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8A2E902B-F66D-4FCD-9C66-A5B2C5FD6EB4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68" i="9" l="1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58" i="9"/>
  <c r="V58" i="9"/>
  <c r="P58" i="9"/>
  <c r="M58" i="9"/>
  <c r="G58" i="9"/>
  <c r="D58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5" i="9"/>
  <c r="V35" i="9"/>
  <c r="P35" i="9"/>
  <c r="M35" i="9"/>
  <c r="G35" i="9"/>
  <c r="D35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58" i="9"/>
  <c r="U58" i="9"/>
  <c r="O58" i="9"/>
  <c r="L58" i="9"/>
  <c r="F58" i="9"/>
  <c r="C58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5" i="9"/>
  <c r="U35" i="9"/>
  <c r="O35" i="9"/>
  <c r="L35" i="9"/>
  <c r="F35" i="9"/>
  <c r="C35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8"/>
  <c r="M30" i="18"/>
  <c r="G30" i="18"/>
  <c r="D30" i="18"/>
  <c r="G28" i="18"/>
  <c r="D28" i="18"/>
  <c r="P27" i="18"/>
  <c r="M27" i="18"/>
  <c r="G27" i="18"/>
  <c r="D27" i="18"/>
  <c r="P24" i="18"/>
  <c r="M24" i="18"/>
  <c r="G24" i="18"/>
  <c r="D24" i="18"/>
  <c r="P23" i="18"/>
  <c r="M23" i="18"/>
  <c r="G23" i="18"/>
  <c r="D23" i="18"/>
  <c r="P22" i="18"/>
  <c r="M22" i="18"/>
  <c r="G22" i="18"/>
  <c r="D22" i="18"/>
  <c r="P21" i="18"/>
  <c r="M21" i="18"/>
  <c r="G21" i="18"/>
  <c r="D21" i="18"/>
  <c r="P18" i="18"/>
  <c r="M18" i="18"/>
  <c r="G18" i="18"/>
  <c r="D18" i="18"/>
  <c r="P17" i="18"/>
  <c r="M17" i="18"/>
  <c r="G17" i="18"/>
  <c r="D17" i="18"/>
  <c r="P16" i="18"/>
  <c r="M16" i="18"/>
  <c r="G16" i="18"/>
  <c r="D16" i="18"/>
  <c r="P15" i="18"/>
  <c r="M15" i="18"/>
  <c r="G15" i="18"/>
  <c r="D15" i="18"/>
  <c r="P14" i="18"/>
  <c r="M14" i="18"/>
  <c r="G14" i="18"/>
  <c r="D14" i="18"/>
  <c r="P13" i="18"/>
  <c r="M13" i="18"/>
  <c r="G13" i="18"/>
  <c r="D13" i="18"/>
  <c r="P12" i="18"/>
  <c r="M12" i="18"/>
  <c r="G12" i="18"/>
  <c r="D12" i="18"/>
  <c r="P11" i="18"/>
  <c r="M11" i="18"/>
  <c r="G11" i="18"/>
  <c r="D11" i="18"/>
  <c r="P10" i="18"/>
  <c r="M10" i="18"/>
  <c r="G10" i="18"/>
  <c r="D10" i="18"/>
  <c r="P7" i="18"/>
  <c r="M7" i="18"/>
  <c r="G7" i="18"/>
  <c r="D7" i="18"/>
  <c r="P6" i="18"/>
  <c r="M6" i="18"/>
  <c r="G6" i="18"/>
  <c r="D6" i="18"/>
  <c r="O30" i="18"/>
  <c r="L30" i="18"/>
  <c r="F30" i="18"/>
  <c r="C30" i="18"/>
  <c r="F28" i="18"/>
  <c r="C28" i="18"/>
  <c r="O27" i="18"/>
  <c r="L27" i="18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31" i="7"/>
  <c r="L31" i="7"/>
  <c r="O32" i="7"/>
  <c r="J32" i="7"/>
  <c r="C31" i="7"/>
  <c r="B31" i="7"/>
  <c r="E32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M30" i="7"/>
  <c r="L30" i="7"/>
  <c r="C30" i="7"/>
  <c r="B30" i="7"/>
  <c r="O31" i="7"/>
  <c r="J31" i="7"/>
  <c r="E31" i="7"/>
  <c r="N31" i="7" l="1"/>
  <c r="D31" i="7"/>
  <c r="N30" i="7"/>
  <c r="D30" i="7"/>
  <c r="O30" i="7"/>
  <c r="M29" i="7"/>
  <c r="L29" i="7"/>
  <c r="O29" i="7"/>
  <c r="J30" i="7"/>
  <c r="C29" i="7"/>
  <c r="B29" i="7"/>
  <c r="E30" i="7"/>
  <c r="D29" i="7" l="1"/>
  <c r="J2" i="9"/>
  <c r="J29" i="7" l="1"/>
  <c r="E29" i="7"/>
  <c r="O28" i="7" l="1"/>
  <c r="J28" i="7"/>
  <c r="E28" i="7"/>
  <c r="O27" i="7" l="1"/>
  <c r="J27" i="7"/>
  <c r="E27" i="7"/>
  <c r="O9" i="18" l="1"/>
  <c r="G23" i="9"/>
  <c r="V23" i="9"/>
  <c r="C23" i="9"/>
  <c r="L23" i="9"/>
  <c r="D23" i="9"/>
  <c r="U23" i="9"/>
  <c r="M72" i="9"/>
  <c r="M23" i="9"/>
  <c r="V72" i="9"/>
  <c r="C72" i="9"/>
  <c r="P23" i="9"/>
  <c r="Y72" i="9"/>
  <c r="F72" i="9"/>
  <c r="P72" i="9"/>
  <c r="L72" i="9"/>
  <c r="F23" i="9"/>
  <c r="O72" i="9"/>
  <c r="H66" i="9"/>
  <c r="D72" i="9"/>
  <c r="C60" i="9"/>
  <c r="U72" i="9"/>
  <c r="G72" i="9"/>
  <c r="O23" i="9"/>
  <c r="X72" i="9"/>
  <c r="N66" i="9"/>
  <c r="D20" i="1"/>
  <c r="G20" i="1" s="1"/>
  <c r="Q66" i="9"/>
  <c r="E66" i="9"/>
  <c r="W66" i="9"/>
  <c r="Z66" i="9"/>
  <c r="D21" i="1"/>
  <c r="O26" i="7"/>
  <c r="J26" i="7"/>
  <c r="E26" i="7"/>
  <c r="P26" i="18"/>
  <c r="L26" i="18"/>
  <c r="H28" i="8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G21" i="1" l="1"/>
  <c r="S4" i="8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B21" i="7"/>
  <c r="O34" i="18" l="1"/>
  <c r="N5" i="18"/>
  <c r="M34" i="18"/>
  <c r="N9" i="18"/>
  <c r="N20" i="18"/>
  <c r="H33" i="8"/>
  <c r="P34" i="18"/>
  <c r="E5" i="18"/>
  <c r="N26" i="18"/>
  <c r="E26" i="18"/>
  <c r="L34" i="18"/>
  <c r="E20" i="18"/>
  <c r="H9" i="18"/>
  <c r="H5" i="18"/>
  <c r="G34" i="18"/>
  <c r="H26" i="18"/>
  <c r="C34" i="18"/>
  <c r="Q26" i="18"/>
  <c r="D34" i="18"/>
  <c r="Q9" i="18"/>
  <c r="Q20" i="18"/>
  <c r="E9" i="18"/>
  <c r="F34" i="18"/>
  <c r="I16" i="18" s="1"/>
  <c r="Q5" i="18"/>
  <c r="H20" i="18"/>
  <c r="C21" i="7"/>
  <c r="D21" i="7" l="1"/>
  <c r="R16" i="18"/>
  <c r="N34" i="18"/>
  <c r="R5" i="18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5" i="9"/>
  <c r="Z35" i="9"/>
  <c r="E35" i="9"/>
  <c r="N35" i="9"/>
  <c r="H35" i="9"/>
  <c r="Q35" i="9"/>
  <c r="K5" i="3" l="1"/>
  <c r="Z67" i="9"/>
  <c r="W67" i="9"/>
  <c r="W65" i="9"/>
  <c r="W63" i="9"/>
  <c r="Z62" i="9"/>
  <c r="Z61" i="9"/>
  <c r="V60" i="9"/>
  <c r="Z54" i="9"/>
  <c r="W54" i="9"/>
  <c r="Z52" i="9"/>
  <c r="W48" i="9"/>
  <c r="Z46" i="9"/>
  <c r="Z44" i="9"/>
  <c r="W42" i="9"/>
  <c r="Z41" i="9"/>
  <c r="W41" i="9"/>
  <c r="W40" i="9"/>
  <c r="W39" i="9"/>
  <c r="V37" i="9"/>
  <c r="W38" i="9"/>
  <c r="W31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Z29" i="9"/>
  <c r="W46" i="9"/>
  <c r="W50" i="9"/>
  <c r="Z56" i="9"/>
  <c r="V18" i="9"/>
  <c r="Y23" i="9"/>
  <c r="Z26" i="9"/>
  <c r="Z31" i="9"/>
  <c r="Y37" i="9"/>
  <c r="Z40" i="9"/>
  <c r="W44" i="9"/>
  <c r="W58" i="9"/>
  <c r="W68" i="9"/>
  <c r="X18" i="9"/>
  <c r="Y60" i="9"/>
  <c r="W4" i="9"/>
  <c r="U6" i="9"/>
  <c r="W6" i="9" s="1"/>
  <c r="Y18" i="9"/>
  <c r="W33" i="9"/>
  <c r="Z42" i="9"/>
  <c r="W52" i="9"/>
  <c r="Z58" i="9"/>
  <c r="W62" i="9"/>
  <c r="W64" i="9"/>
  <c r="W14" i="9"/>
  <c r="U37" i="9"/>
  <c r="W37" i="9" s="1"/>
  <c r="W43" i="9"/>
  <c r="W56" i="9"/>
  <c r="W61" i="9"/>
  <c r="X23" i="9"/>
  <c r="Z10" i="9"/>
  <c r="U18" i="9"/>
  <c r="Z24" i="9"/>
  <c r="Z33" i="9"/>
  <c r="Z43" i="9"/>
  <c r="X6" i="9"/>
  <c r="Z68" i="9"/>
  <c r="U60" i="9"/>
  <c r="Z65" i="9"/>
  <c r="Z4" i="9"/>
  <c r="Z19" i="9"/>
  <c r="Z28" i="9"/>
  <c r="X37" i="9"/>
  <c r="Z39" i="9"/>
  <c r="Z50" i="9"/>
  <c r="Z64" i="9"/>
  <c r="W10" i="9"/>
  <c r="Z27" i="9"/>
  <c r="Z38" i="9"/>
  <c r="Z48" i="9"/>
  <c r="Z63" i="9"/>
  <c r="X60" i="9"/>
  <c r="V73" i="9" l="1"/>
  <c r="V71" i="9" s="1"/>
  <c r="X73" i="9"/>
  <c r="Y73" i="9"/>
  <c r="U73" i="9"/>
  <c r="W23" i="9"/>
  <c r="Z72" i="9"/>
  <c r="W72" i="9"/>
  <c r="Z18" i="9"/>
  <c r="W18" i="9"/>
  <c r="Z60" i="9"/>
  <c r="W60" i="9"/>
  <c r="Z6" i="9"/>
  <c r="Z23" i="9"/>
  <c r="Z37" i="9"/>
  <c r="AA16" i="9" l="1"/>
  <c r="AA66" i="9"/>
  <c r="W73" i="9"/>
  <c r="Z73" i="9"/>
  <c r="AA73" i="9" s="1"/>
  <c r="U71" i="9"/>
  <c r="W71" i="9" s="1"/>
  <c r="Y71" i="9"/>
  <c r="X71" i="9"/>
  <c r="AA35" i="9" s="1"/>
  <c r="AA9" i="9"/>
  <c r="AA4" i="9"/>
  <c r="AA6" i="9"/>
  <c r="AA23" i="9"/>
  <c r="AA62" i="9"/>
  <c r="AA46" i="9"/>
  <c r="AA21" i="9"/>
  <c r="AA68" i="9"/>
  <c r="AA56" i="9"/>
  <c r="AA42" i="9"/>
  <c r="AA7" i="9"/>
  <c r="AA8" i="9"/>
  <c r="AA31" i="9"/>
  <c r="AA67" i="9"/>
  <c r="AA57" i="9"/>
  <c r="AA54" i="9"/>
  <c r="AA41" i="9"/>
  <c r="AA58" i="9"/>
  <c r="AA14" i="9"/>
  <c r="AA61" i="9"/>
  <c r="AA26" i="9"/>
  <c r="AA38" i="9"/>
  <c r="AA20" i="9"/>
  <c r="AA65" i="9"/>
  <c r="AA72" i="9"/>
  <c r="AA48" i="9"/>
  <c r="AA52" i="9"/>
  <c r="AA10" i="9"/>
  <c r="AA27" i="9"/>
  <c r="AA43" i="9"/>
  <c r="AA25" i="9"/>
  <c r="AA12" i="9"/>
  <c r="AA33" i="9"/>
  <c r="AA29" i="9"/>
  <c r="AA18" i="9"/>
  <c r="AA39" i="9"/>
  <c r="AA28" i="9"/>
  <c r="AA64" i="9"/>
  <c r="AA24" i="9"/>
  <c r="AA50" i="9"/>
  <c r="AA44" i="9"/>
  <c r="AA40" i="9"/>
  <c r="AA63" i="9"/>
  <c r="AA19" i="9"/>
  <c r="AA37" i="9"/>
  <c r="AA60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D19" i="1" l="1"/>
  <c r="S31" i="8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4" i="9"/>
  <c r="E54" i="9"/>
  <c r="N54" i="9"/>
  <c r="H54" i="9"/>
  <c r="G19" i="1" l="1"/>
  <c r="S33" i="8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0" i="9" l="1"/>
  <c r="E68" i="9" l="1"/>
  <c r="Q68" i="9"/>
  <c r="N68" i="9"/>
  <c r="E50" i="9"/>
  <c r="N50" i="9"/>
  <c r="Q50" i="9"/>
  <c r="H50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37" i="9"/>
  <c r="C6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0" i="9"/>
  <c r="N67" i="9"/>
  <c r="H67" i="9"/>
  <c r="E67" i="9"/>
  <c r="Q65" i="9"/>
  <c r="N64" i="9"/>
  <c r="H64" i="9"/>
  <c r="E64" i="9"/>
  <c r="Q63" i="9"/>
  <c r="N62" i="9"/>
  <c r="H62" i="9"/>
  <c r="E62" i="9"/>
  <c r="P60" i="9"/>
  <c r="Q61" i="9"/>
  <c r="M60" i="9"/>
  <c r="D60" i="9"/>
  <c r="Q58" i="9"/>
  <c r="N58" i="9"/>
  <c r="E58" i="9"/>
  <c r="N56" i="9"/>
  <c r="E56" i="9"/>
  <c r="Q52" i="9"/>
  <c r="N52" i="9"/>
  <c r="H52" i="9"/>
  <c r="N48" i="9"/>
  <c r="E48" i="9"/>
  <c r="N46" i="9"/>
  <c r="E46" i="9"/>
  <c r="N44" i="9"/>
  <c r="H44" i="9"/>
  <c r="Q42" i="9"/>
  <c r="N42" i="9"/>
  <c r="H42" i="9"/>
  <c r="N41" i="9"/>
  <c r="E41" i="9"/>
  <c r="N40" i="9"/>
  <c r="H40" i="9"/>
  <c r="M37" i="9"/>
  <c r="E39" i="9"/>
  <c r="Q38" i="9"/>
  <c r="N38" i="9"/>
  <c r="H38" i="9"/>
  <c r="G37" i="9"/>
  <c r="Q33" i="9"/>
  <c r="N33" i="9"/>
  <c r="H33" i="9"/>
  <c r="N31" i="9"/>
  <c r="E31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H24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7" i="9"/>
  <c r="D37" i="9"/>
  <c r="E37" i="9" s="1"/>
  <c r="G6" i="9"/>
  <c r="P6" i="9"/>
  <c r="Q6" i="9" s="1"/>
  <c r="N12" i="9"/>
  <c r="E14" i="9"/>
  <c r="L18" i="9"/>
  <c r="N18" i="9" s="1"/>
  <c r="Q19" i="9"/>
  <c r="E42" i="9"/>
  <c r="P37" i="9"/>
  <c r="E8" i="9"/>
  <c r="N8" i="9"/>
  <c r="H23" i="9"/>
  <c r="O37" i="9"/>
  <c r="O73" i="9" s="1"/>
  <c r="R66" i="9" s="1"/>
  <c r="N39" i="9"/>
  <c r="Q40" i="9"/>
  <c r="E43" i="9"/>
  <c r="N43" i="9"/>
  <c r="Q44" i="9"/>
  <c r="E63" i="9"/>
  <c r="N63" i="9"/>
  <c r="E65" i="9"/>
  <c r="N65" i="9"/>
  <c r="H41" i="9"/>
  <c r="H56" i="9"/>
  <c r="F6" i="9"/>
  <c r="L6" i="9"/>
  <c r="N6" i="9" s="1"/>
  <c r="H8" i="9"/>
  <c r="D18" i="9"/>
  <c r="E21" i="9"/>
  <c r="E24" i="9"/>
  <c r="H27" i="9"/>
  <c r="E33" i="9"/>
  <c r="F37" i="9"/>
  <c r="H39" i="9"/>
  <c r="E44" i="9"/>
  <c r="E52" i="9"/>
  <c r="H18" i="9"/>
  <c r="H25" i="9"/>
  <c r="E6" i="9"/>
  <c r="E10" i="9"/>
  <c r="N23" i="9"/>
  <c r="E26" i="9"/>
  <c r="H29" i="9"/>
  <c r="H46" i="9"/>
  <c r="Q60" i="9"/>
  <c r="G60" i="9"/>
  <c r="Q62" i="9"/>
  <c r="H20" i="9"/>
  <c r="E28" i="9"/>
  <c r="H31" i="9"/>
  <c r="E38" i="9"/>
  <c r="E40" i="9"/>
  <c r="H43" i="9"/>
  <c r="H48" i="9"/>
  <c r="E61" i="9"/>
  <c r="N61" i="9"/>
  <c r="Q64" i="9"/>
  <c r="Q67" i="9"/>
  <c r="Q12" i="9"/>
  <c r="Q18" i="9"/>
  <c r="Q20" i="9"/>
  <c r="Q23" i="9"/>
  <c r="Q25" i="9"/>
  <c r="Q27" i="9"/>
  <c r="Q29" i="9"/>
  <c r="Q31" i="9"/>
  <c r="Q39" i="9"/>
  <c r="Q41" i="9"/>
  <c r="Q43" i="9"/>
  <c r="Q46" i="9"/>
  <c r="Q48" i="9"/>
  <c r="Q56" i="9"/>
  <c r="H58" i="9"/>
  <c r="F60" i="9"/>
  <c r="H61" i="9"/>
  <c r="H63" i="9"/>
  <c r="H65" i="9"/>
  <c r="P73" i="9" l="1"/>
  <c r="R16" i="9"/>
  <c r="L73" i="9"/>
  <c r="L71" i="9" s="1"/>
  <c r="G73" i="9"/>
  <c r="G71" i="9" s="1"/>
  <c r="F73" i="9"/>
  <c r="D73" i="9"/>
  <c r="D71" i="9" s="1"/>
  <c r="N37" i="9"/>
  <c r="Q37" i="9"/>
  <c r="E23" i="9"/>
  <c r="E72" i="9"/>
  <c r="N72" i="9"/>
  <c r="H60" i="9"/>
  <c r="H37" i="9"/>
  <c r="H6" i="9"/>
  <c r="Q72" i="9"/>
  <c r="N60" i="9"/>
  <c r="E18" i="9"/>
  <c r="H72" i="9"/>
  <c r="E60" i="9"/>
  <c r="Q73" i="9" l="1"/>
  <c r="R73" i="9" s="1"/>
  <c r="I16" i="9"/>
  <c r="I66" i="9"/>
  <c r="P71" i="9"/>
  <c r="N73" i="9"/>
  <c r="O71" i="9"/>
  <c r="R9" i="9"/>
  <c r="F71" i="9"/>
  <c r="I9" i="9"/>
  <c r="R35" i="9"/>
  <c r="I54" i="9"/>
  <c r="I35" i="9"/>
  <c r="R4" i="9"/>
  <c r="R54" i="9"/>
  <c r="I4" i="9"/>
  <c r="R50" i="9"/>
  <c r="R19" i="9"/>
  <c r="I50" i="9"/>
  <c r="I6" i="9"/>
  <c r="I68" i="9"/>
  <c r="R63" i="9"/>
  <c r="R68" i="9"/>
  <c r="R61" i="9"/>
  <c r="R41" i="9"/>
  <c r="R27" i="9"/>
  <c r="R52" i="9"/>
  <c r="R37" i="9"/>
  <c r="R72" i="9"/>
  <c r="R28" i="9"/>
  <c r="R39" i="9"/>
  <c r="R29" i="9"/>
  <c r="R24" i="9"/>
  <c r="R48" i="9"/>
  <c r="R60" i="9"/>
  <c r="R25" i="9"/>
  <c r="R67" i="9"/>
  <c r="R18" i="9"/>
  <c r="R62" i="9"/>
  <c r="R12" i="9"/>
  <c r="R56" i="9"/>
  <c r="R31" i="9"/>
  <c r="R65" i="9"/>
  <c r="R10" i="9"/>
  <c r="R8" i="9"/>
  <c r="R38" i="9"/>
  <c r="R58" i="9"/>
  <c r="R46" i="9"/>
  <c r="R64" i="9"/>
  <c r="R7" i="9"/>
  <c r="R40" i="9"/>
  <c r="R21" i="9"/>
  <c r="R23" i="9"/>
  <c r="R33" i="9"/>
  <c r="R57" i="9"/>
  <c r="R20" i="9"/>
  <c r="R6" i="9"/>
  <c r="R43" i="9"/>
  <c r="R42" i="9"/>
  <c r="R26" i="9"/>
  <c r="R14" i="9"/>
  <c r="R44" i="9"/>
  <c r="I72" i="9"/>
  <c r="I37" i="9"/>
  <c r="I60" i="9"/>
  <c r="H73" i="9"/>
  <c r="I73" i="9" s="1"/>
  <c r="I67" i="9"/>
  <c r="I64" i="9"/>
  <c r="I12" i="9"/>
  <c r="I62" i="9"/>
  <c r="I7" i="9"/>
  <c r="I42" i="9"/>
  <c r="I58" i="9"/>
  <c r="I18" i="9"/>
  <c r="I19" i="9"/>
  <c r="I29" i="9"/>
  <c r="I46" i="9"/>
  <c r="I24" i="9"/>
  <c r="I43" i="9"/>
  <c r="I48" i="9"/>
  <c r="I65" i="9"/>
  <c r="I8" i="9"/>
  <c r="I56" i="9"/>
  <c r="I28" i="9"/>
  <c r="I38" i="9"/>
  <c r="I40" i="9"/>
  <c r="I26" i="9"/>
  <c r="I33" i="9"/>
  <c r="I41" i="9"/>
  <c r="I27" i="9"/>
  <c r="I39" i="9"/>
  <c r="I25" i="9"/>
  <c r="I14" i="9"/>
  <c r="I63" i="9"/>
  <c r="I21" i="9"/>
  <c r="I31" i="9"/>
  <c r="I23" i="9"/>
  <c r="I61" i="9"/>
  <c r="I10" i="9"/>
  <c r="I20" i="9"/>
  <c r="I44" i="9"/>
  <c r="I52" i="9"/>
  <c r="E73" i="9"/>
  <c r="R71" i="9" l="1"/>
  <c r="Q71" i="9"/>
  <c r="N71" i="9"/>
  <c r="E71" i="9"/>
  <c r="H71" i="9"/>
  <c r="I71" i="9"/>
  <c r="S2" i="9" l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32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2" i="7" l="1"/>
  <c r="D18" i="1"/>
  <c r="B33" i="1"/>
  <c r="D33" i="1" s="1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7" i="1" l="1"/>
  <c r="G18" i="1"/>
  <c r="D32" i="7"/>
  <c r="F32" i="7" s="1"/>
  <c r="F31" i="7"/>
  <c r="C20" i="5"/>
  <c r="D16" i="1"/>
  <c r="B17" i="5"/>
  <c r="D22" i="7"/>
  <c r="F22" i="7" s="1"/>
  <c r="F30" i="7"/>
  <c r="F29" i="7"/>
  <c r="K23" i="3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D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I5" i="5" s="1"/>
  <c r="G16" i="1" l="1"/>
  <c r="G6" i="1"/>
  <c r="G5" i="1"/>
  <c r="D17" i="1"/>
  <c r="G17" i="1" s="1"/>
  <c r="B20" i="5"/>
  <c r="E20" i="5" s="1"/>
  <c r="B21" i="5"/>
  <c r="E21" i="5" s="1"/>
  <c r="C33" i="1"/>
  <c r="D10" i="1"/>
  <c r="E6" i="5"/>
  <c r="F6" i="5" s="1"/>
  <c r="I6" i="5" s="1"/>
  <c r="E10" i="5"/>
  <c r="F10" i="5" s="1"/>
  <c r="I10" i="5" s="1"/>
  <c r="F5" i="1"/>
  <c r="D8" i="1"/>
  <c r="F8" i="1" s="1"/>
  <c r="F6" i="1"/>
  <c r="C11" i="1"/>
  <c r="M32" i="7" s="1"/>
  <c r="H32" i="7" s="1"/>
  <c r="B11" i="1"/>
  <c r="L32" i="7" s="1"/>
  <c r="D28" i="1"/>
  <c r="G28" i="1" s="1"/>
  <c r="B22" i="1"/>
  <c r="B29" i="1"/>
  <c r="C12" i="5"/>
  <c r="E11" i="5"/>
  <c r="F11" i="5" s="1"/>
  <c r="I11" i="5" s="1"/>
  <c r="C29" i="1"/>
  <c r="F16" i="1"/>
  <c r="D22" i="5"/>
  <c r="F15" i="5"/>
  <c r="I15" i="5" s="1"/>
  <c r="E17" i="5"/>
  <c r="D27" i="1" s="1"/>
  <c r="G27" i="1" s="1"/>
  <c r="G10" i="1" l="1"/>
  <c r="N32" i="7"/>
  <c r="G32" i="7"/>
  <c r="G31" i="7"/>
  <c r="H30" i="7"/>
  <c r="H31" i="7"/>
  <c r="G30" i="7"/>
  <c r="F17" i="1"/>
  <c r="G29" i="7"/>
  <c r="H29" i="7"/>
  <c r="D22" i="1"/>
  <c r="B22" i="5"/>
  <c r="H22" i="7"/>
  <c r="N21" i="7"/>
  <c r="E22" i="5"/>
  <c r="C32" i="1"/>
  <c r="H6" i="5"/>
  <c r="F28" i="1"/>
  <c r="F10" i="1"/>
  <c r="E7" i="5"/>
  <c r="F21" i="5"/>
  <c r="I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I32" i="7" l="1"/>
  <c r="I30" i="7"/>
  <c r="K30" i="7" s="1"/>
  <c r="F22" i="1"/>
  <c r="I31" i="7"/>
  <c r="K31" i="7" s="1"/>
  <c r="P31" i="7"/>
  <c r="N29" i="7"/>
  <c r="P29" i="7" s="1"/>
  <c r="I29" i="7"/>
  <c r="K29" i="7" s="1"/>
  <c r="N22" i="7"/>
  <c r="P22" i="7" s="1"/>
  <c r="G22" i="7"/>
  <c r="P32" i="7"/>
  <c r="P30" i="7"/>
  <c r="H21" i="5"/>
  <c r="F22" i="5"/>
  <c r="H22" i="5" s="1"/>
  <c r="H20" i="5"/>
  <c r="I22" i="7" l="1"/>
  <c r="K22" i="7" s="1"/>
  <c r="K32" i="7"/>
  <c r="I21" i="7" l="1"/>
  <c r="P21" i="7"/>
  <c r="K21" i="7" l="1"/>
  <c r="B28" i="7" l="1"/>
  <c r="C28" i="7" l="1"/>
  <c r="D28" i="7" l="1"/>
  <c r="F28" i="7" s="1"/>
  <c r="L28" i="7"/>
  <c r="G28" i="7" l="1"/>
  <c r="M28" i="7"/>
  <c r="H28" i="7" s="1"/>
  <c r="I28" i="7" l="1"/>
  <c r="K28" i="7" s="1"/>
  <c r="N28" i="7"/>
  <c r="P28" i="7" s="1"/>
  <c r="B27" i="7" l="1"/>
  <c r="C27" i="7" l="1"/>
  <c r="D27" i="7" l="1"/>
  <c r="F27" i="7" s="1"/>
  <c r="L27" i="7"/>
  <c r="M27" i="7"/>
  <c r="H27" i="7" s="1"/>
  <c r="N27" i="7" l="1"/>
  <c r="P27" i="7" s="1"/>
  <c r="G27" i="7"/>
  <c r="I27" i="7" l="1"/>
  <c r="K27" i="7" s="1"/>
  <c r="B26" i="7"/>
  <c r="C26" i="7" l="1"/>
  <c r="D26" i="7" l="1"/>
  <c r="F26" i="7" s="1"/>
  <c r="M26" i="7"/>
  <c r="H26" i="7" s="1"/>
  <c r="L26" i="7"/>
  <c r="G26" i="7" l="1"/>
  <c r="N26" i="7"/>
  <c r="P26" i="7" s="1"/>
  <c r="I26" i="7" l="1"/>
  <c r="K26" i="7" s="1"/>
  <c r="B25" i="7"/>
  <c r="C25" i="7" l="1"/>
  <c r="D25" i="7" l="1"/>
  <c r="F25" i="7" s="1"/>
  <c r="L25" i="7"/>
  <c r="G25" i="7" l="1"/>
  <c r="M25" i="7" l="1"/>
  <c r="H25" i="7" l="1"/>
  <c r="N25" i="7"/>
  <c r="P25" i="7" s="1"/>
  <c r="I25" i="7" l="1"/>
  <c r="K25" i="7" s="1"/>
  <c r="B24" i="7"/>
  <c r="C24" i="7" l="1"/>
  <c r="D24" i="7" l="1"/>
  <c r="F24" i="7" s="1"/>
  <c r="L24" i="7"/>
  <c r="G24" i="7" l="1"/>
  <c r="M24" i="7"/>
  <c r="H24" i="7" s="1"/>
  <c r="I24" i="7" l="1"/>
  <c r="K24" i="7" s="1"/>
  <c r="N24" i="7"/>
  <c r="P24" i="7" s="1"/>
  <c r="B23" i="7" l="1"/>
  <c r="C23" i="7" l="1"/>
  <c r="B33" i="7"/>
  <c r="C33" i="7" l="1"/>
  <c r="D23" i="7"/>
  <c r="F23" i="7" s="1"/>
  <c r="K5" i="5"/>
  <c r="I16" i="1"/>
  <c r="D33" i="7" l="1"/>
  <c r="I5" i="1"/>
  <c r="I27" i="1"/>
  <c r="L23" i="7"/>
  <c r="K10" i="5"/>
  <c r="I17" i="5"/>
  <c r="K17" i="5" s="1"/>
  <c r="K15" i="5"/>
  <c r="M23" i="7"/>
  <c r="F33" i="7" l="1"/>
  <c r="K20" i="5"/>
  <c r="N23" i="7"/>
  <c r="G23" i="7"/>
  <c r="L33" i="7"/>
  <c r="I17" i="1"/>
  <c r="H23" i="7"/>
  <c r="M33" i="7"/>
  <c r="I20" i="1"/>
  <c r="K6" i="5"/>
  <c r="I7" i="5"/>
  <c r="K7" i="5" s="1"/>
  <c r="H33" i="7" l="1"/>
  <c r="I21" i="1"/>
  <c r="D34" i="1"/>
  <c r="P23" i="7"/>
  <c r="N33" i="7"/>
  <c r="P33" i="7" s="1"/>
  <c r="I6" i="1"/>
  <c r="I23" i="7"/>
  <c r="G33" i="7"/>
  <c r="K11" i="5"/>
  <c r="I12" i="5"/>
  <c r="K12" i="5" s="1"/>
  <c r="I28" i="1"/>
  <c r="G29" i="1"/>
  <c r="I29" i="1" l="1"/>
  <c r="I19" i="1"/>
  <c r="K21" i="5"/>
  <c r="I22" i="5"/>
  <c r="K22" i="5" s="1"/>
  <c r="E32" i="1"/>
  <c r="E33" i="1"/>
  <c r="I18" i="1"/>
  <c r="G22" i="1"/>
  <c r="K23" i="7"/>
  <c r="I33" i="7"/>
  <c r="I22" i="1" l="1"/>
  <c r="K33" i="7"/>
  <c r="I7" i="1"/>
  <c r="G8" i="1"/>
  <c r="I10" i="1" l="1"/>
  <c r="G11" i="1"/>
  <c r="I8" i="1"/>
  <c r="I11" i="1" l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<sst xmlns="http://schemas.openxmlformats.org/spreadsheetml/2006/main" count="700" uniqueCount="250">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</sst>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164" fontId="1" fillId="0" borderId="58" xfId="3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0" fontId="1" fillId="0" borderId="64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5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6" xfId="0" applyFont="1" applyBorder="1"/>
    <xf numFmtId="0" fontId="18" fillId="0" borderId="6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1" xfId="0" applyNumberFormat="1" applyFont="1" applyBorder="1"/>
    <xf numFmtId="10" fontId="28" fillId="0" borderId="71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3" xfId="0" applyNumberFormat="1" applyFont="1" applyFill="1" applyBorder="1" applyAlignment="1">
      <alignment horizontal="center"/>
    </xf>
    <xf numFmtId="41" fontId="4" fillId="3" borderId="7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7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7" xfId="0" applyNumberFormat="1" applyFont="1" applyBorder="1" applyAlignment="1">
      <alignment horizontal="center"/>
    </xf>
    <xf numFmtId="3" fontId="4" fillId="0" borderId="75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0" fontId="0" fillId="0" borderId="0" xfId="3" applyNumberFormat="1" applyFont="1"/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69" xfId="0" applyFont="1" applyFill="1" applyBorder="1" applyAlignment="1">
      <alignment horizontal="center"/>
    </xf>
    <xf numFmtId="0" fontId="4" fillId="6" borderId="57" xfId="0" applyFont="1" applyFill="1" applyBorder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6" xfId="0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1\December%202021.xlsx" TargetMode="External"/><Relationship Id="rId1" Type="http://schemas.openxmlformats.org/officeDocument/2006/relationships/externalLinkPath" Target="/data/Finance%20Stats/Monthly%20Operations%20report/2021/December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ly%20202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ly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ugust%202022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ugust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November%202022.xlsx" TargetMode="External"/><Relationship Id="rId1" Type="http://schemas.openxmlformats.org/officeDocument/2006/relationships/externalLinkPath" Target="MSP%20November%202022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September%202022.xlsx" TargetMode="External"/><Relationship Id="rId1" Type="http://schemas.openxmlformats.org/officeDocument/2006/relationships/externalLinkPath" Target="MSP%20September%202022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September%202021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October%202022.xlsx" TargetMode="External"/><Relationship Id="rId1" Type="http://schemas.openxmlformats.org/officeDocument/2006/relationships/externalLinkPath" Target="MSP%20October%20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October%20202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November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1810377</v>
          </cell>
          <cell r="G5">
            <v>18813026</v>
          </cell>
        </row>
        <row r="6">
          <cell r="D6">
            <v>435747</v>
          </cell>
          <cell r="G6">
            <v>5609060</v>
          </cell>
        </row>
        <row r="7">
          <cell r="D7">
            <v>283</v>
          </cell>
          <cell r="G7">
            <v>4025</v>
          </cell>
        </row>
        <row r="10">
          <cell r="D10">
            <v>63175</v>
          </cell>
          <cell r="G10">
            <v>776009</v>
          </cell>
        </row>
        <row r="16">
          <cell r="D16">
            <v>13653</v>
          </cell>
          <cell r="G16">
            <v>150969</v>
          </cell>
        </row>
        <row r="17">
          <cell r="D17">
            <v>9068</v>
          </cell>
          <cell r="G17">
            <v>119594</v>
          </cell>
        </row>
        <row r="18">
          <cell r="D18">
            <v>4</v>
          </cell>
          <cell r="G18">
            <v>38</v>
          </cell>
        </row>
        <row r="19">
          <cell r="D19">
            <v>1632</v>
          </cell>
          <cell r="G19">
            <v>16720</v>
          </cell>
        </row>
        <row r="20">
          <cell r="D20">
            <v>1443</v>
          </cell>
          <cell r="G20">
            <v>15387</v>
          </cell>
        </row>
        <row r="21">
          <cell r="D21">
            <v>95</v>
          </cell>
          <cell r="G21">
            <v>1184</v>
          </cell>
        </row>
        <row r="27">
          <cell r="D27">
            <v>22114.185673698579</v>
          </cell>
          <cell r="G27">
            <v>212677.4628606537</v>
          </cell>
        </row>
        <row r="28">
          <cell r="D28">
            <v>1777.61625103601</v>
          </cell>
          <cell r="G28">
            <v>22069.491856705368</v>
          </cell>
        </row>
        <row r="32">
          <cell r="B32">
            <v>790047</v>
          </cell>
          <cell r="D32">
            <v>8142616</v>
          </cell>
        </row>
        <row r="33">
          <cell r="B33">
            <v>345028</v>
          </cell>
          <cell r="D33">
            <v>4054620</v>
          </cell>
        </row>
      </sheetData>
      <sheetData sheetId="1"/>
      <sheetData sheetId="2"/>
      <sheetData sheetId="3"/>
      <sheetData sheetId="4"/>
      <sheetData sheetId="5">
        <row r="32">
          <cell r="D32">
            <v>120954</v>
          </cell>
          <cell r="I32">
            <v>2188628</v>
          </cell>
          <cell r="N32">
            <v>2309582</v>
          </cell>
        </row>
      </sheetData>
      <sheetData sheetId="6"/>
      <sheetData sheetId="7">
        <row r="5">
          <cell r="F5">
            <v>12643.3566106771</v>
          </cell>
          <cell r="I5">
            <v>118603.29284416446</v>
          </cell>
        </row>
        <row r="6">
          <cell r="F6">
            <v>788.21880115825002</v>
          </cell>
          <cell r="I6">
            <v>11158.319685285078</v>
          </cell>
        </row>
        <row r="10">
          <cell r="F10">
            <v>9470.8290630214797</v>
          </cell>
          <cell r="I10">
            <v>94074.0253205232</v>
          </cell>
        </row>
        <row r="11">
          <cell r="F11">
            <v>989.39744987775998</v>
          </cell>
          <cell r="I11">
            <v>10911.17217142029</v>
          </cell>
        </row>
        <row r="15">
          <cell r="F15">
            <v>0</v>
          </cell>
          <cell r="I15">
            <v>0.14469596602999998</v>
          </cell>
        </row>
        <row r="16">
          <cell r="F16">
            <v>0</v>
          </cell>
          <cell r="I16">
            <v>0</v>
          </cell>
        </row>
        <row r="20">
          <cell r="F20">
            <v>22114.185673698579</v>
          </cell>
          <cell r="I20">
            <v>212677.4628606537</v>
          </cell>
        </row>
        <row r="21">
          <cell r="F21">
            <v>1777.61625103601</v>
          </cell>
          <cell r="I21">
            <v>22069.491856705368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85825</v>
          </cell>
          <cell r="C26">
            <v>94178</v>
          </cell>
          <cell r="L26">
            <v>1429723</v>
          </cell>
          <cell r="M26">
            <v>1417158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94721</v>
          </cell>
          <cell r="C27">
            <v>85909</v>
          </cell>
          <cell r="L27">
            <v>1479867</v>
          </cell>
          <cell r="M27">
            <v>1478951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63577</v>
          </cell>
          <cell r="I27">
            <v>2795105</v>
          </cell>
          <cell r="N27">
            <v>2858682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94137</v>
          </cell>
          <cell r="C28">
            <v>87466</v>
          </cell>
          <cell r="L28">
            <v>1461843</v>
          </cell>
          <cell r="M28">
            <v>1451368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67922</v>
          </cell>
          <cell r="I28">
            <v>2595445</v>
          </cell>
          <cell r="N28">
            <v>2663367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23139138</v>
          </cell>
        </row>
        <row r="6">
          <cell r="G6">
            <v>4784620</v>
          </cell>
        </row>
        <row r="7">
          <cell r="G7">
            <v>6170</v>
          </cell>
        </row>
        <row r="10">
          <cell r="G10">
            <v>819439</v>
          </cell>
        </row>
        <row r="16">
          <cell r="G16">
            <v>165517</v>
          </cell>
        </row>
        <row r="17">
          <cell r="G17">
            <v>88890</v>
          </cell>
        </row>
        <row r="18">
          <cell r="G18">
            <v>60</v>
          </cell>
        </row>
        <row r="19">
          <cell r="G19">
            <v>14245</v>
          </cell>
        </row>
        <row r="20">
          <cell r="G20">
            <v>16270</v>
          </cell>
        </row>
        <row r="21">
          <cell r="G21">
            <v>850</v>
          </cell>
        </row>
        <row r="27">
          <cell r="G27">
            <v>189472.66777554314</v>
          </cell>
        </row>
        <row r="28">
          <cell r="G28">
            <v>26734.373409710424</v>
          </cell>
        </row>
        <row r="32">
          <cell r="D32">
            <v>9584637</v>
          </cell>
        </row>
        <row r="33">
          <cell r="D33">
            <v>4359979</v>
          </cell>
        </row>
      </sheetData>
      <sheetData sheetId="1"/>
      <sheetData sheetId="2"/>
      <sheetData sheetId="3"/>
      <sheetData sheetId="4"/>
      <sheetData sheetId="5">
        <row r="31">
          <cell r="B31">
            <v>72361</v>
          </cell>
          <cell r="C31">
            <v>76166</v>
          </cell>
          <cell r="L31">
            <v>1258818</v>
          </cell>
          <cell r="M31">
            <v>1266909</v>
          </cell>
        </row>
      </sheetData>
      <sheetData sheetId="6"/>
      <sheetData sheetId="7">
        <row r="5">
          <cell r="I5">
            <v>104980.25108982826</v>
          </cell>
        </row>
        <row r="6">
          <cell r="I6">
            <v>15046.488986937098</v>
          </cell>
        </row>
        <row r="10">
          <cell r="I10">
            <v>84492.416685714881</v>
          </cell>
        </row>
        <row r="11">
          <cell r="I11">
            <v>11687.884422773326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189472.66777554317</v>
          </cell>
        </row>
        <row r="21">
          <cell r="I21">
            <v>26734.373409710432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72885</v>
          </cell>
          <cell r="C29">
            <v>73450</v>
          </cell>
          <cell r="L29">
            <v>1297371</v>
          </cell>
          <cell r="M29">
            <v>1300232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60381</v>
          </cell>
          <cell r="I29">
            <v>2267332</v>
          </cell>
          <cell r="N29">
            <v>2327713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70829</v>
          </cell>
          <cell r="C30">
            <v>67477</v>
          </cell>
          <cell r="L30">
            <v>1338124</v>
          </cell>
          <cell r="M30">
            <v>1351729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57177</v>
          </cell>
          <cell r="I30">
            <v>2429943</v>
          </cell>
          <cell r="N30">
            <v>2487120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65728</v>
          </cell>
          <cell r="I31">
            <v>2323828</v>
          </cell>
          <cell r="N31">
            <v>2389556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Sheet1"/>
      <sheetName val="DHL_ABX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"/>
      <sheetData sheetId="4">
        <row r="8">
          <cell r="IC8"/>
        </row>
        <row r="9">
          <cell r="IC9"/>
        </row>
        <row r="15">
          <cell r="HR15"/>
          <cell r="HS15"/>
          <cell r="HT15"/>
          <cell r="HU15"/>
          <cell r="HV15">
            <v>16</v>
          </cell>
          <cell r="HW15">
            <v>19</v>
          </cell>
          <cell r="HX15">
            <v>22</v>
          </cell>
          <cell r="HY15">
            <v>22</v>
          </cell>
          <cell r="HZ15">
            <v>18</v>
          </cell>
          <cell r="IA15"/>
          <cell r="IB15"/>
          <cell r="IC15"/>
        </row>
        <row r="16">
          <cell r="HR16"/>
          <cell r="HS16"/>
          <cell r="HT16"/>
          <cell r="HU16"/>
          <cell r="HV16">
            <v>16</v>
          </cell>
          <cell r="HW16">
            <v>19</v>
          </cell>
          <cell r="HX16">
            <v>22</v>
          </cell>
          <cell r="HY16">
            <v>22</v>
          </cell>
          <cell r="HZ16">
            <v>18</v>
          </cell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B19">
            <v>0</v>
          </cell>
          <cell r="IC19">
            <v>0</v>
          </cell>
        </row>
        <row r="32">
          <cell r="HR32"/>
          <cell r="HS32"/>
          <cell r="HT32"/>
          <cell r="HU32"/>
          <cell r="HV32">
            <v>3072</v>
          </cell>
          <cell r="HW32">
            <v>5298</v>
          </cell>
          <cell r="HX32">
            <v>6400</v>
          </cell>
          <cell r="HY32">
            <v>6040</v>
          </cell>
          <cell r="HZ32">
            <v>4644</v>
          </cell>
          <cell r="IA32"/>
          <cell r="IB32"/>
          <cell r="IC32"/>
        </row>
        <row r="33">
          <cell r="HR33"/>
          <cell r="HS33"/>
          <cell r="HT33"/>
          <cell r="HU33"/>
          <cell r="HV33">
            <v>3870</v>
          </cell>
          <cell r="HW33">
            <v>5636</v>
          </cell>
          <cell r="HX33">
            <v>5069</v>
          </cell>
          <cell r="HY33">
            <v>5074</v>
          </cell>
          <cell r="HZ33">
            <v>4102</v>
          </cell>
          <cell r="IA33"/>
          <cell r="IB33"/>
          <cell r="IC33"/>
        </row>
        <row r="37">
          <cell r="HR37"/>
          <cell r="HS37"/>
          <cell r="HT37"/>
          <cell r="HU37"/>
          <cell r="HV37">
            <v>20</v>
          </cell>
          <cell r="HW37">
            <v>10</v>
          </cell>
          <cell r="HX37">
            <v>55</v>
          </cell>
          <cell r="HY37">
            <v>88</v>
          </cell>
          <cell r="HZ37">
            <v>13</v>
          </cell>
          <cell r="IA37"/>
          <cell r="IB37"/>
          <cell r="IC37"/>
        </row>
        <row r="38">
          <cell r="HR38"/>
          <cell r="HS38"/>
          <cell r="HT38"/>
          <cell r="HU38"/>
          <cell r="HV38">
            <v>1</v>
          </cell>
          <cell r="HW38">
            <v>6</v>
          </cell>
          <cell r="HX38">
            <v>3</v>
          </cell>
          <cell r="HY38">
            <v>4</v>
          </cell>
          <cell r="HZ38">
            <v>1</v>
          </cell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B64">
            <v>0</v>
          </cell>
          <cell r="IC64">
            <v>0</v>
          </cell>
        </row>
      </sheetData>
      <sheetData sheetId="5">
        <row r="4">
          <cell r="IC4">
            <v>50</v>
          </cell>
        </row>
        <row r="5">
          <cell r="IC5">
            <v>50</v>
          </cell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N19">
            <v>80</v>
          </cell>
          <cell r="HO19">
            <v>72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B19">
            <v>82</v>
          </cell>
          <cell r="IC19">
            <v>100</v>
          </cell>
        </row>
        <row r="22">
          <cell r="IC22">
            <v>6793</v>
          </cell>
        </row>
        <row r="23">
          <cell r="IC23">
            <v>7228</v>
          </cell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N41">
            <v>7424</v>
          </cell>
          <cell r="HO41">
            <v>8432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B41">
            <v>11876</v>
          </cell>
          <cell r="IC41">
            <v>14021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6">
        <row r="4">
          <cell r="IC4"/>
        </row>
        <row r="5">
          <cell r="IC5"/>
        </row>
        <row r="8">
          <cell r="IC8"/>
        </row>
        <row r="9">
          <cell r="IC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">
        <row r="4">
          <cell r="IC4">
            <v>45</v>
          </cell>
        </row>
        <row r="5">
          <cell r="IC5">
            <v>45</v>
          </cell>
        </row>
        <row r="8">
          <cell r="IC8"/>
        </row>
        <row r="9">
          <cell r="IC9"/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N19">
            <v>93</v>
          </cell>
          <cell r="HO19">
            <v>58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B19">
            <v>112</v>
          </cell>
          <cell r="IC19">
            <v>90</v>
          </cell>
        </row>
        <row r="22">
          <cell r="IC22">
            <v>5699</v>
          </cell>
        </row>
        <row r="23">
          <cell r="IC23">
            <v>5692</v>
          </cell>
        </row>
        <row r="27">
          <cell r="IC27">
            <v>282</v>
          </cell>
        </row>
        <row r="28">
          <cell r="IC28">
            <v>251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N41">
            <v>12934</v>
          </cell>
          <cell r="HO41">
            <v>7795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B41">
            <v>15629</v>
          </cell>
          <cell r="IC41">
            <v>11391</v>
          </cell>
        </row>
        <row r="47">
          <cell r="IC47">
            <v>7101</v>
          </cell>
        </row>
        <row r="48">
          <cell r="IC48"/>
        </row>
        <row r="52">
          <cell r="IC52">
            <v>11772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N64">
            <v>14859</v>
          </cell>
          <cell r="HO64">
            <v>6933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B64">
            <v>25709</v>
          </cell>
          <cell r="IC64">
            <v>18873</v>
          </cell>
        </row>
      </sheetData>
      <sheetData sheetId="8"/>
      <sheetData sheetId="9">
        <row r="4">
          <cell r="IC4">
            <v>311</v>
          </cell>
        </row>
        <row r="5">
          <cell r="IC5">
            <v>310</v>
          </cell>
        </row>
        <row r="8">
          <cell r="IC8"/>
        </row>
        <row r="9">
          <cell r="IC9"/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N19">
            <v>769</v>
          </cell>
          <cell r="HO19">
            <v>621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B19">
            <v>568</v>
          </cell>
          <cell r="IC19">
            <v>621</v>
          </cell>
        </row>
        <row r="22">
          <cell r="IC22">
            <v>43329</v>
          </cell>
        </row>
        <row r="23">
          <cell r="IC23">
            <v>43246</v>
          </cell>
        </row>
        <row r="27">
          <cell r="IC27">
            <v>1603</v>
          </cell>
        </row>
        <row r="28">
          <cell r="IC28">
            <v>1676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N41">
            <v>110604</v>
          </cell>
          <cell r="HO41">
            <v>91352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B41">
            <v>84025</v>
          </cell>
          <cell r="IC41">
            <v>86575</v>
          </cell>
        </row>
        <row r="47">
          <cell r="IC47">
            <v>41754</v>
          </cell>
        </row>
        <row r="48">
          <cell r="IC48">
            <v>24735</v>
          </cell>
        </row>
        <row r="52">
          <cell r="IC52">
            <v>3763</v>
          </cell>
        </row>
        <row r="53">
          <cell r="IC53">
            <v>13968</v>
          </cell>
        </row>
        <row r="57">
          <cell r="IC57"/>
        </row>
        <row r="58">
          <cell r="IC58"/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N64">
            <v>106323</v>
          </cell>
          <cell r="HO64">
            <v>142080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B64">
            <v>88269</v>
          </cell>
          <cell r="IC64">
            <v>84220</v>
          </cell>
        </row>
      </sheetData>
      <sheetData sheetId="10"/>
      <sheetData sheetId="11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2">
        <row r="8">
          <cell r="IC8"/>
        </row>
        <row r="9">
          <cell r="IC9"/>
        </row>
        <row r="15">
          <cell r="HR15"/>
          <cell r="HS15"/>
          <cell r="HT15"/>
          <cell r="HU15"/>
          <cell r="HV15">
            <v>1</v>
          </cell>
          <cell r="HW15">
            <v>13</v>
          </cell>
          <cell r="HX15">
            <v>13</v>
          </cell>
          <cell r="HY15">
            <v>14</v>
          </cell>
          <cell r="HZ15">
            <v>8</v>
          </cell>
          <cell r="IA15"/>
          <cell r="IB15"/>
          <cell r="IC15"/>
        </row>
        <row r="16">
          <cell r="HR16"/>
          <cell r="HS16"/>
          <cell r="HT16"/>
          <cell r="HU16"/>
          <cell r="HV16">
            <v>1</v>
          </cell>
          <cell r="HW16">
            <v>13</v>
          </cell>
          <cell r="HX16">
            <v>13</v>
          </cell>
          <cell r="HY16">
            <v>14</v>
          </cell>
          <cell r="HZ16">
            <v>8</v>
          </cell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B19">
            <v>0</v>
          </cell>
          <cell r="IC19">
            <v>0</v>
          </cell>
        </row>
        <row r="32">
          <cell r="HR32"/>
          <cell r="HS32"/>
          <cell r="HT32"/>
          <cell r="HU32"/>
          <cell r="HV32">
            <v>181</v>
          </cell>
          <cell r="HW32">
            <v>2383</v>
          </cell>
          <cell r="HX32">
            <v>2973</v>
          </cell>
          <cell r="HY32">
            <v>3255</v>
          </cell>
          <cell r="HZ32">
            <v>1569</v>
          </cell>
          <cell r="IA32"/>
          <cell r="IB32"/>
          <cell r="IC32"/>
        </row>
        <row r="33">
          <cell r="HR33"/>
          <cell r="HS33"/>
          <cell r="HT33"/>
          <cell r="HU33"/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  <cell r="HZ33">
            <v>1171</v>
          </cell>
          <cell r="IA33"/>
          <cell r="IB33"/>
          <cell r="IC33"/>
        </row>
        <row r="37">
          <cell r="HR37"/>
          <cell r="HS37"/>
          <cell r="HT37"/>
          <cell r="HU37"/>
          <cell r="HV37"/>
          <cell r="HW37">
            <v>3</v>
          </cell>
          <cell r="HX37">
            <v>10</v>
          </cell>
          <cell r="HY37">
            <v>6</v>
          </cell>
          <cell r="HZ37">
            <v>5</v>
          </cell>
          <cell r="IA37"/>
          <cell r="IB37"/>
          <cell r="IC37"/>
        </row>
        <row r="38">
          <cell r="HR38"/>
          <cell r="HS38"/>
          <cell r="HT38"/>
          <cell r="HU38"/>
          <cell r="HV38"/>
          <cell r="HW38">
            <v>11</v>
          </cell>
          <cell r="HX38">
            <v>3</v>
          </cell>
          <cell r="HY38">
            <v>4</v>
          </cell>
          <cell r="HZ38">
            <v>10</v>
          </cell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B64">
            <v>0</v>
          </cell>
          <cell r="IC64">
            <v>0</v>
          </cell>
        </row>
      </sheetData>
      <sheetData sheetId="13">
        <row r="4">
          <cell r="IC4">
            <v>4513</v>
          </cell>
        </row>
        <row r="5">
          <cell r="IC5">
            <v>4504</v>
          </cell>
        </row>
        <row r="8">
          <cell r="IC8">
            <v>9</v>
          </cell>
        </row>
        <row r="9">
          <cell r="IC9">
            <v>9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  <cell r="HY15">
            <v>317</v>
          </cell>
          <cell r="HZ15">
            <v>268</v>
          </cell>
          <cell r="IA15">
            <v>287</v>
          </cell>
          <cell r="IB15">
            <v>322</v>
          </cell>
          <cell r="IC15">
            <v>448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  <cell r="HY16">
            <v>319</v>
          </cell>
          <cell r="HZ16">
            <v>273</v>
          </cell>
          <cell r="IA16">
            <v>287</v>
          </cell>
          <cell r="IB16">
            <v>327</v>
          </cell>
          <cell r="IC16">
            <v>448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N19">
            <v>9604</v>
          </cell>
          <cell r="HO19">
            <v>9176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B19">
            <v>10034</v>
          </cell>
          <cell r="IC19">
            <v>9931</v>
          </cell>
        </row>
        <row r="22">
          <cell r="IC22">
            <v>626108</v>
          </cell>
        </row>
        <row r="23">
          <cell r="IC23">
            <v>622866</v>
          </cell>
        </row>
        <row r="27">
          <cell r="IC27">
            <v>20153</v>
          </cell>
        </row>
        <row r="28">
          <cell r="IC28">
            <v>19747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  <cell r="HY32">
            <v>61432</v>
          </cell>
          <cell r="HZ32">
            <v>49565</v>
          </cell>
          <cell r="IA32">
            <v>53196</v>
          </cell>
          <cell r="IB32">
            <v>53600</v>
          </cell>
          <cell r="IC32">
            <v>57665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  <cell r="HY33">
            <v>58300</v>
          </cell>
          <cell r="HZ33">
            <v>50856</v>
          </cell>
          <cell r="IA33">
            <v>51080</v>
          </cell>
          <cell r="IB33">
            <v>57315</v>
          </cell>
          <cell r="IC33">
            <v>79968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  <cell r="HY37">
            <v>1334</v>
          </cell>
          <cell r="HZ37">
            <v>1200</v>
          </cell>
          <cell r="IA37">
            <v>1535</v>
          </cell>
          <cell r="IB37">
            <v>1659</v>
          </cell>
          <cell r="IC37">
            <v>1891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  <cell r="HY38">
            <v>1281</v>
          </cell>
          <cell r="HZ38">
            <v>1341</v>
          </cell>
          <cell r="IA38">
            <v>1457</v>
          </cell>
          <cell r="IB38">
            <v>1617</v>
          </cell>
          <cell r="IC38">
            <v>2251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N41">
            <v>1268828</v>
          </cell>
          <cell r="HO41">
            <v>1233313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B41">
            <v>1406262</v>
          </cell>
          <cell r="IC41">
            <v>1386607</v>
          </cell>
        </row>
        <row r="47">
          <cell r="IC47">
            <v>2661492</v>
          </cell>
        </row>
        <row r="48">
          <cell r="IC48">
            <v>1146410</v>
          </cell>
        </row>
        <row r="52">
          <cell r="IC52">
            <v>1361617</v>
          </cell>
        </row>
        <row r="53">
          <cell r="IC53">
            <v>1090727</v>
          </cell>
        </row>
        <row r="57">
          <cell r="IC57"/>
        </row>
        <row r="58">
          <cell r="IC58"/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N64">
            <v>5993333</v>
          </cell>
          <cell r="HO64">
            <v>5408965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B64">
            <v>6993350</v>
          </cell>
          <cell r="IC64">
            <v>6260246</v>
          </cell>
        </row>
        <row r="70">
          <cell r="IC70">
            <v>387479</v>
          </cell>
        </row>
        <row r="71">
          <cell r="IC71">
            <v>235387</v>
          </cell>
        </row>
        <row r="73">
          <cell r="IC73">
            <v>49747</v>
          </cell>
        </row>
        <row r="74">
          <cell r="IC74">
            <v>30221</v>
          </cell>
        </row>
      </sheetData>
      <sheetData sheetId="14">
        <row r="4">
          <cell r="IC4">
            <v>80</v>
          </cell>
        </row>
        <row r="5">
          <cell r="IC5">
            <v>80</v>
          </cell>
        </row>
        <row r="8">
          <cell r="IC8">
            <v>1</v>
          </cell>
        </row>
        <row r="9">
          <cell r="IC9">
            <v>1</v>
          </cell>
        </row>
        <row r="15">
          <cell r="IC15"/>
        </row>
        <row r="16">
          <cell r="IC16"/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N19">
            <v>152</v>
          </cell>
          <cell r="HO19">
            <v>162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B19">
            <v>152</v>
          </cell>
          <cell r="IC19">
            <v>162</v>
          </cell>
        </row>
        <row r="22">
          <cell r="IC22">
            <v>982</v>
          </cell>
        </row>
        <row r="23">
          <cell r="IC23">
            <v>953</v>
          </cell>
        </row>
        <row r="27">
          <cell r="IC27">
            <v>21</v>
          </cell>
        </row>
        <row r="28">
          <cell r="IC28">
            <v>19</v>
          </cell>
        </row>
        <row r="32">
          <cell r="IC32"/>
        </row>
        <row r="33">
          <cell r="IC33"/>
        </row>
        <row r="37">
          <cell r="IC37"/>
        </row>
        <row r="38">
          <cell r="IC38"/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N41">
            <v>1723</v>
          </cell>
          <cell r="HO41">
            <v>1908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B41">
            <v>1347</v>
          </cell>
          <cell r="IC41">
            <v>1935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5">
        <row r="4">
          <cell r="IC4">
            <v>30</v>
          </cell>
        </row>
        <row r="5">
          <cell r="IC5">
            <v>30</v>
          </cell>
        </row>
        <row r="8">
          <cell r="IC8"/>
        </row>
        <row r="9">
          <cell r="IC9"/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  <cell r="HV15"/>
          <cell r="HX15"/>
          <cell r="HY15"/>
          <cell r="HZ15"/>
          <cell r="IA15"/>
          <cell r="IB15"/>
          <cell r="IC15"/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  <cell r="HV16"/>
          <cell r="HX16"/>
          <cell r="HY16"/>
          <cell r="HZ16"/>
          <cell r="IA16"/>
          <cell r="IB16"/>
          <cell r="IC16"/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N19">
            <v>107</v>
          </cell>
          <cell r="HO19">
            <v>139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B19">
            <v>68</v>
          </cell>
          <cell r="IC19">
            <v>60</v>
          </cell>
        </row>
        <row r="22">
          <cell r="IC22">
            <v>4799</v>
          </cell>
        </row>
        <row r="23">
          <cell r="IC23">
            <v>4703</v>
          </cell>
        </row>
        <row r="27">
          <cell r="IC27">
            <v>38</v>
          </cell>
        </row>
        <row r="28">
          <cell r="IC28">
            <v>38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  <cell r="HV32"/>
          <cell r="HW32"/>
          <cell r="HX32"/>
          <cell r="HY32"/>
          <cell r="HZ32"/>
          <cell r="IA32"/>
          <cell r="IB32"/>
          <cell r="IC32"/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  <cell r="HV33"/>
          <cell r="HW33"/>
          <cell r="HX33"/>
          <cell r="HY33"/>
          <cell r="HZ33"/>
          <cell r="IA33"/>
          <cell r="IB33"/>
          <cell r="IC33"/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  <cell r="HV37"/>
          <cell r="HW37"/>
          <cell r="HX37"/>
          <cell r="HY37"/>
          <cell r="HZ37"/>
          <cell r="IA37"/>
          <cell r="IB37"/>
          <cell r="IC37"/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N41">
            <v>13512</v>
          </cell>
          <cell r="HO41">
            <v>17003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B41">
            <v>10676</v>
          </cell>
          <cell r="IC41">
            <v>9502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6">
        <row r="8">
          <cell r="IC8"/>
        </row>
        <row r="9">
          <cell r="IC9"/>
        </row>
        <row r="15">
          <cell r="HR15"/>
          <cell r="HS15"/>
          <cell r="HT15"/>
          <cell r="HU15">
            <v>3</v>
          </cell>
          <cell r="HV15">
            <v>27</v>
          </cell>
          <cell r="HW15">
            <v>27</v>
          </cell>
          <cell r="HX15">
            <v>31</v>
          </cell>
          <cell r="HY15">
            <v>31</v>
          </cell>
          <cell r="HZ15">
            <v>33</v>
          </cell>
          <cell r="IA15">
            <v>19</v>
          </cell>
          <cell r="IB15">
            <v>17</v>
          </cell>
          <cell r="IC15">
            <v>10</v>
          </cell>
        </row>
        <row r="16">
          <cell r="HR16"/>
          <cell r="HS16"/>
          <cell r="HT16"/>
          <cell r="HU16">
            <v>3</v>
          </cell>
          <cell r="HV16">
            <v>27</v>
          </cell>
          <cell r="HW16">
            <v>27</v>
          </cell>
          <cell r="HX16">
            <v>31</v>
          </cell>
          <cell r="HY16">
            <v>31</v>
          </cell>
          <cell r="HZ16">
            <v>33</v>
          </cell>
          <cell r="IA16">
            <v>19</v>
          </cell>
          <cell r="IB16">
            <v>17</v>
          </cell>
          <cell r="IC16">
            <v>10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B19">
            <v>34</v>
          </cell>
          <cell r="IC19">
            <v>20</v>
          </cell>
        </row>
        <row r="32">
          <cell r="HR32"/>
          <cell r="HS32"/>
          <cell r="HT32"/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  <cell r="HY32">
            <v>4978</v>
          </cell>
          <cell r="HZ32">
            <v>4714</v>
          </cell>
          <cell r="IA32">
            <v>3042</v>
          </cell>
          <cell r="IB32">
            <v>2029</v>
          </cell>
          <cell r="IC32">
            <v>1017</v>
          </cell>
        </row>
        <row r="33">
          <cell r="HR33"/>
          <cell r="HS33"/>
          <cell r="HT33"/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  <cell r="HZ33">
            <v>4595</v>
          </cell>
          <cell r="IA33">
            <v>2538</v>
          </cell>
          <cell r="IB33">
            <v>1987</v>
          </cell>
          <cell r="IC33">
            <v>932</v>
          </cell>
        </row>
        <row r="37">
          <cell r="HR37"/>
          <cell r="HS37"/>
          <cell r="HT37"/>
          <cell r="HU37"/>
          <cell r="HV37">
            <v>29</v>
          </cell>
          <cell r="HW37">
            <v>9</v>
          </cell>
          <cell r="HX37"/>
          <cell r="HY37">
            <v>28</v>
          </cell>
          <cell r="HZ37">
            <v>16</v>
          </cell>
          <cell r="IA37">
            <v>36</v>
          </cell>
          <cell r="IB37">
            <v>46</v>
          </cell>
          <cell r="IC37">
            <v>13</v>
          </cell>
        </row>
        <row r="38">
          <cell r="HR38"/>
          <cell r="HS38"/>
          <cell r="HT38"/>
          <cell r="HU38">
            <v>6</v>
          </cell>
          <cell r="HV38">
            <v>35</v>
          </cell>
          <cell r="HW38">
            <v>25</v>
          </cell>
          <cell r="HX38"/>
          <cell r="HY38">
            <v>25</v>
          </cell>
          <cell r="HZ38">
            <v>20</v>
          </cell>
          <cell r="IA38">
            <v>26</v>
          </cell>
          <cell r="IB38">
            <v>53</v>
          </cell>
          <cell r="IC38">
            <v>21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B41">
            <v>4016</v>
          </cell>
          <cell r="IC41">
            <v>1949</v>
          </cell>
        </row>
        <row r="47">
          <cell r="IC47">
            <v>1216</v>
          </cell>
        </row>
        <row r="48">
          <cell r="IC48"/>
        </row>
        <row r="52">
          <cell r="IC52">
            <v>24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B64">
            <v>1716</v>
          </cell>
          <cell r="IC64">
            <v>1240</v>
          </cell>
        </row>
      </sheetData>
      <sheetData sheetId="17">
        <row r="4">
          <cell r="IC4">
            <v>84</v>
          </cell>
        </row>
        <row r="5">
          <cell r="IC5">
            <v>85</v>
          </cell>
        </row>
        <row r="8">
          <cell r="IC8"/>
        </row>
        <row r="9">
          <cell r="IC9"/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N19">
            <v>93</v>
          </cell>
          <cell r="HO19">
            <v>96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B19">
            <v>177</v>
          </cell>
          <cell r="IC19">
            <v>169</v>
          </cell>
        </row>
        <row r="22">
          <cell r="IC22">
            <v>7156</v>
          </cell>
        </row>
        <row r="23">
          <cell r="IC23">
            <v>6323</v>
          </cell>
        </row>
        <row r="27">
          <cell r="IC27">
            <v>245</v>
          </cell>
        </row>
        <row r="28">
          <cell r="IC28">
            <v>261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N41">
            <v>6458</v>
          </cell>
          <cell r="HO41">
            <v>6109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B41">
            <v>15386</v>
          </cell>
          <cell r="IC41">
            <v>13479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8">
        <row r="4">
          <cell r="IC4"/>
        </row>
        <row r="5">
          <cell r="IC5"/>
        </row>
        <row r="8">
          <cell r="IC8"/>
        </row>
        <row r="9">
          <cell r="IC9"/>
        </row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  <cell r="HY15">
            <v>22</v>
          </cell>
          <cell r="HZ15">
            <v>17</v>
          </cell>
          <cell r="IA15">
            <v>18</v>
          </cell>
          <cell r="IB15">
            <v>17</v>
          </cell>
          <cell r="IC15">
            <v>17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  <cell r="HY16">
            <v>22</v>
          </cell>
          <cell r="HZ16">
            <v>17</v>
          </cell>
          <cell r="IA16">
            <v>18</v>
          </cell>
          <cell r="IB16">
            <v>17</v>
          </cell>
          <cell r="IC16">
            <v>17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N19">
            <v>22</v>
          </cell>
          <cell r="HO19">
            <v>28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B19">
            <v>34</v>
          </cell>
          <cell r="IC19">
            <v>34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  <cell r="HY32">
            <v>6040</v>
          </cell>
          <cell r="HZ32">
            <v>4186</v>
          </cell>
          <cell r="IA32">
            <v>4296</v>
          </cell>
          <cell r="IB32">
            <v>3875</v>
          </cell>
          <cell r="IC32">
            <v>3880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  <cell r="HY33">
            <v>5074</v>
          </cell>
          <cell r="HZ33">
            <v>4083</v>
          </cell>
          <cell r="IA33">
            <v>2929</v>
          </cell>
          <cell r="IB33">
            <v>3257</v>
          </cell>
          <cell r="IC33">
            <v>4202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  <cell r="HY37">
            <v>88</v>
          </cell>
          <cell r="HZ37">
            <v>11</v>
          </cell>
          <cell r="IA37">
            <v>17</v>
          </cell>
          <cell r="IB37">
            <v>3</v>
          </cell>
          <cell r="IC37"/>
        </row>
        <row r="38">
          <cell r="HR38">
            <v>2</v>
          </cell>
          <cell r="HS38">
            <v>1</v>
          </cell>
          <cell r="HT38">
            <v>0</v>
          </cell>
          <cell r="HU38"/>
          <cell r="HV38">
            <v>8</v>
          </cell>
          <cell r="HW38">
            <v>4</v>
          </cell>
          <cell r="HX38">
            <v>0</v>
          </cell>
          <cell r="HY38">
            <v>4</v>
          </cell>
          <cell r="HZ38">
            <v>6</v>
          </cell>
          <cell r="IA38">
            <v>0</v>
          </cell>
          <cell r="IB38">
            <v>2</v>
          </cell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N41">
            <v>4163</v>
          </cell>
          <cell r="HO41">
            <v>6138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B41">
            <v>7132</v>
          </cell>
          <cell r="IC41">
            <v>8082</v>
          </cell>
        </row>
        <row r="47">
          <cell r="IC47">
            <v>483070</v>
          </cell>
        </row>
        <row r="48">
          <cell r="IC48"/>
        </row>
        <row r="52">
          <cell r="IC52">
            <v>66187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N64">
            <v>638466</v>
          </cell>
          <cell r="HO64">
            <v>584943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B64">
            <v>708810</v>
          </cell>
          <cell r="IC64">
            <v>549257</v>
          </cell>
        </row>
      </sheetData>
      <sheetData sheetId="19"/>
      <sheetData sheetId="20"/>
      <sheetData sheetId="21"/>
      <sheetData sheetId="22">
        <row r="4">
          <cell r="IC4">
            <v>401</v>
          </cell>
        </row>
        <row r="5">
          <cell r="IC5">
            <v>396</v>
          </cell>
        </row>
        <row r="8">
          <cell r="IC8"/>
        </row>
        <row r="9">
          <cell r="IC9"/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N19">
            <v>751</v>
          </cell>
          <cell r="HO19">
            <v>736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B19">
            <v>912</v>
          </cell>
          <cell r="IC19">
            <v>797</v>
          </cell>
        </row>
        <row r="22">
          <cell r="IC22">
            <v>45545</v>
          </cell>
        </row>
        <row r="23">
          <cell r="IC23">
            <v>44539</v>
          </cell>
        </row>
        <row r="27">
          <cell r="IC27">
            <v>922</v>
          </cell>
        </row>
        <row r="28">
          <cell r="IC28">
            <v>990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N41">
            <v>96112</v>
          </cell>
          <cell r="HO41">
            <v>94215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B41">
            <v>110504</v>
          </cell>
          <cell r="IC41">
            <v>90084</v>
          </cell>
        </row>
        <row r="47">
          <cell r="IC47">
            <v>131391</v>
          </cell>
        </row>
        <row r="48">
          <cell r="IC48"/>
        </row>
        <row r="52">
          <cell r="IC52">
            <v>24458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N64">
            <v>270480</v>
          </cell>
          <cell r="HO64">
            <v>234739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B64">
            <v>219740</v>
          </cell>
          <cell r="IC64">
            <v>155849</v>
          </cell>
        </row>
        <row r="70">
          <cell r="IC70">
            <v>44366</v>
          </cell>
        </row>
        <row r="71">
          <cell r="IC71">
            <v>173</v>
          </cell>
        </row>
        <row r="73">
          <cell r="IC73"/>
        </row>
        <row r="74">
          <cell r="IC74"/>
        </row>
      </sheetData>
      <sheetData sheetId="23">
        <row r="4">
          <cell r="IC4">
            <v>139</v>
          </cell>
        </row>
        <row r="5">
          <cell r="IC5">
            <v>136</v>
          </cell>
        </row>
        <row r="8">
          <cell r="IC8"/>
        </row>
        <row r="9">
          <cell r="IC9"/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N19">
            <v>270</v>
          </cell>
          <cell r="HO19">
            <v>251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B19">
            <v>252</v>
          </cell>
          <cell r="IC19">
            <v>275</v>
          </cell>
        </row>
        <row r="22">
          <cell r="IC22">
            <v>19775</v>
          </cell>
        </row>
        <row r="23">
          <cell r="IC23">
            <v>17237</v>
          </cell>
        </row>
        <row r="27">
          <cell r="IC27">
            <v>185</v>
          </cell>
        </row>
        <row r="28">
          <cell r="IC28">
            <v>199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N41">
            <v>37391</v>
          </cell>
          <cell r="HO41">
            <v>38052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B41">
            <v>34940</v>
          </cell>
          <cell r="IC41">
            <v>37012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C70"/>
        </row>
        <row r="71">
          <cell r="IC71"/>
        </row>
        <row r="73">
          <cell r="IC73"/>
        </row>
        <row r="74">
          <cell r="IC74"/>
        </row>
      </sheetData>
      <sheetData sheetId="24">
        <row r="4">
          <cell r="IC4">
            <v>889</v>
          </cell>
        </row>
        <row r="5">
          <cell r="IC5">
            <v>878</v>
          </cell>
        </row>
        <row r="8">
          <cell r="IC8">
            <v>66</v>
          </cell>
        </row>
        <row r="9">
          <cell r="IC9">
            <v>68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  <cell r="HY15">
            <v>23</v>
          </cell>
          <cell r="HZ15">
            <v>5</v>
          </cell>
          <cell r="IA15">
            <v>19</v>
          </cell>
          <cell r="IB15">
            <v>34</v>
          </cell>
          <cell r="IC15">
            <v>156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  <cell r="HY16">
            <v>25</v>
          </cell>
          <cell r="HZ16">
            <v>1</v>
          </cell>
          <cell r="IA16">
            <v>17</v>
          </cell>
          <cell r="IB16">
            <v>36</v>
          </cell>
          <cell r="IC16">
            <v>162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N19">
            <v>1636</v>
          </cell>
          <cell r="HO19">
            <v>1821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B19">
            <v>1817</v>
          </cell>
          <cell r="IC19">
            <v>2219</v>
          </cell>
        </row>
        <row r="22">
          <cell r="IC22">
            <v>137002</v>
          </cell>
        </row>
        <row r="23">
          <cell r="IC23">
            <v>142115</v>
          </cell>
        </row>
        <row r="27">
          <cell r="IC27">
            <v>1871</v>
          </cell>
        </row>
        <row r="28">
          <cell r="IC28">
            <v>1997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  <cell r="HY32">
            <v>2810</v>
          </cell>
          <cell r="HZ32">
            <v>177</v>
          </cell>
          <cell r="IA32">
            <v>1495</v>
          </cell>
          <cell r="IB32">
            <v>4743</v>
          </cell>
          <cell r="IC32">
            <v>17342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  <cell r="HZ33">
            <v>82</v>
          </cell>
          <cell r="IA33">
            <v>2436</v>
          </cell>
          <cell r="IB33">
            <v>5608</v>
          </cell>
          <cell r="IC33">
            <v>25855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  <cell r="HY37">
            <v>25</v>
          </cell>
          <cell r="HZ37">
            <v>1</v>
          </cell>
          <cell r="IA37">
            <v>29</v>
          </cell>
          <cell r="IB37">
            <v>92</v>
          </cell>
          <cell r="IC37">
            <v>382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  <cell r="HZ38">
            <v>2</v>
          </cell>
          <cell r="IA38">
            <v>42</v>
          </cell>
          <cell r="IB38">
            <v>97</v>
          </cell>
          <cell r="IC38">
            <v>416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N41">
            <v>212833</v>
          </cell>
          <cell r="HO41">
            <v>245717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B41">
            <v>264614</v>
          </cell>
          <cell r="IC41">
            <v>322314</v>
          </cell>
        </row>
        <row r="47">
          <cell r="IC47">
            <v>14300</v>
          </cell>
        </row>
        <row r="48">
          <cell r="IC48">
            <v>75052</v>
          </cell>
        </row>
        <row r="52">
          <cell r="IC52">
            <v>1201</v>
          </cell>
        </row>
        <row r="53">
          <cell r="IC53">
            <v>30614</v>
          </cell>
        </row>
        <row r="57">
          <cell r="IC57"/>
        </row>
        <row r="58">
          <cell r="IC58"/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N64">
            <v>284287</v>
          </cell>
          <cell r="HO64">
            <v>447632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B64">
            <v>90199</v>
          </cell>
          <cell r="IC64">
            <v>121167</v>
          </cell>
        </row>
        <row r="70">
          <cell r="IC70">
            <v>142115</v>
          </cell>
        </row>
        <row r="71">
          <cell r="IC71"/>
        </row>
        <row r="73">
          <cell r="IC73">
            <v>25855</v>
          </cell>
        </row>
        <row r="74">
          <cell r="IC74"/>
        </row>
      </sheetData>
      <sheetData sheetId="25"/>
      <sheetData sheetId="26"/>
      <sheetData sheetId="27">
        <row r="4">
          <cell r="IC4">
            <v>372</v>
          </cell>
        </row>
        <row r="5">
          <cell r="IC5">
            <v>372</v>
          </cell>
        </row>
        <row r="8">
          <cell r="IC8"/>
        </row>
        <row r="9">
          <cell r="IC9"/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N19">
            <v>510</v>
          </cell>
          <cell r="HO19">
            <v>493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B19">
            <v>758</v>
          </cell>
          <cell r="IC19">
            <v>744</v>
          </cell>
        </row>
        <row r="22">
          <cell r="IC22">
            <v>49248</v>
          </cell>
        </row>
        <row r="23">
          <cell r="IC23">
            <v>49225</v>
          </cell>
        </row>
        <row r="27">
          <cell r="IC27">
            <v>1356</v>
          </cell>
        </row>
        <row r="28">
          <cell r="IC28">
            <v>1376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N41">
            <v>59867</v>
          </cell>
          <cell r="HO41">
            <v>60343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B41">
            <v>101372</v>
          </cell>
          <cell r="IC41">
            <v>98473</v>
          </cell>
        </row>
        <row r="47">
          <cell r="IC47">
            <v>57450</v>
          </cell>
        </row>
        <row r="48">
          <cell r="IC48">
            <v>35238</v>
          </cell>
        </row>
        <row r="52">
          <cell r="IC52">
            <v>37628</v>
          </cell>
        </row>
        <row r="53">
          <cell r="IC53">
            <v>8707</v>
          </cell>
        </row>
        <row r="57">
          <cell r="IC57"/>
        </row>
        <row r="58">
          <cell r="IC58"/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N64">
            <v>66035</v>
          </cell>
          <cell r="HO64">
            <v>111521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B64">
            <v>71641</v>
          </cell>
          <cell r="IC64">
            <v>139023</v>
          </cell>
        </row>
      </sheetData>
      <sheetData sheetId="28"/>
      <sheetData sheetId="29"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0">
        <row r="4">
          <cell r="IC4">
            <v>82</v>
          </cell>
        </row>
        <row r="5">
          <cell r="IC5">
            <v>82</v>
          </cell>
        </row>
        <row r="8">
          <cell r="IC8"/>
        </row>
        <row r="9">
          <cell r="IC9"/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N19">
            <v>100</v>
          </cell>
          <cell r="HO19">
            <v>58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B19">
            <v>113</v>
          </cell>
          <cell r="IC19">
            <v>164</v>
          </cell>
        </row>
        <row r="22">
          <cell r="IC22">
            <v>4187</v>
          </cell>
        </row>
        <row r="23">
          <cell r="IC23">
            <v>4374</v>
          </cell>
        </row>
        <row r="27">
          <cell r="IC27">
            <v>271</v>
          </cell>
        </row>
        <row r="28">
          <cell r="IC28">
            <v>205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N41">
            <v>4818</v>
          </cell>
          <cell r="HO41">
            <v>3159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B41">
            <v>7056</v>
          </cell>
          <cell r="IC41">
            <v>8561</v>
          </cell>
        </row>
        <row r="47">
          <cell r="IC47">
            <v>121</v>
          </cell>
        </row>
        <row r="48">
          <cell r="IC48"/>
        </row>
        <row r="52">
          <cell r="IC52">
            <v>402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N64">
            <v>500</v>
          </cell>
          <cell r="HO64">
            <v>1503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B64">
            <v>221</v>
          </cell>
          <cell r="IC64">
            <v>523</v>
          </cell>
        </row>
      </sheetData>
      <sheetData sheetId="31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B19">
            <v>2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2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N19">
            <v>18</v>
          </cell>
          <cell r="HO19">
            <v>24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32">
          <cell r="IC32"/>
        </row>
        <row r="33">
          <cell r="IC33"/>
        </row>
        <row r="37">
          <cell r="IC37"/>
        </row>
        <row r="38"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N41">
            <v>1236</v>
          </cell>
          <cell r="HO41">
            <v>1654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F58"/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N64">
            <v>1099</v>
          </cell>
          <cell r="HO64">
            <v>647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3">
        <row r="4">
          <cell r="IC4"/>
        </row>
        <row r="5">
          <cell r="IC5"/>
        </row>
        <row r="8">
          <cell r="IC8"/>
        </row>
        <row r="9">
          <cell r="IC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C70"/>
        </row>
        <row r="71">
          <cell r="IC71"/>
        </row>
        <row r="73">
          <cell r="IC73"/>
        </row>
        <row r="74">
          <cell r="IC74"/>
        </row>
      </sheetData>
      <sheetData sheetId="34"/>
      <sheetData sheetId="35"/>
      <sheetData sheetId="36"/>
      <sheetData sheetId="3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8"/>
      <sheetData sheetId="39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0"/>
      <sheetData sheetId="41">
        <row r="4">
          <cell r="IC4"/>
        </row>
        <row r="5">
          <cell r="IC5"/>
        </row>
        <row r="8">
          <cell r="IC8"/>
        </row>
        <row r="9">
          <cell r="IC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K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C70"/>
        </row>
        <row r="71">
          <cell r="IC71"/>
        </row>
        <row r="73">
          <cell r="IC73"/>
        </row>
        <row r="74">
          <cell r="IC74"/>
        </row>
      </sheetData>
      <sheetData sheetId="42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AJ57"/>
        </row>
        <row r="58">
          <cell r="AJ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3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N19">
            <v>64</v>
          </cell>
          <cell r="HO19">
            <v>144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B19">
            <v>8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N41">
            <v>3910</v>
          </cell>
          <cell r="HO41">
            <v>9275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B41">
            <v>554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4">
        <row r="4">
          <cell r="IC4"/>
        </row>
        <row r="5">
          <cell r="IC5"/>
        </row>
        <row r="8">
          <cell r="IC8"/>
        </row>
        <row r="9">
          <cell r="IC9"/>
        </row>
        <row r="15">
          <cell r="IC15">
            <v>85</v>
          </cell>
        </row>
        <row r="16">
          <cell r="IC16">
            <v>90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N19">
            <v>62</v>
          </cell>
          <cell r="HO19">
            <v>62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B19">
            <v>167</v>
          </cell>
          <cell r="IC19">
            <v>175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32">
          <cell r="IC32">
            <v>4459</v>
          </cell>
        </row>
        <row r="33">
          <cell r="IC33">
            <v>4373</v>
          </cell>
        </row>
        <row r="37">
          <cell r="IC37">
            <v>60</v>
          </cell>
        </row>
        <row r="38">
          <cell r="IC38">
            <v>61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N41">
            <v>3329</v>
          </cell>
          <cell r="HO41">
            <v>3106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B41">
            <v>10346</v>
          </cell>
          <cell r="IC41">
            <v>8832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F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B64">
            <v>0</v>
          </cell>
          <cell r="IC64">
            <v>0</v>
          </cell>
        </row>
      </sheetData>
      <sheetData sheetId="45">
        <row r="4">
          <cell r="IC4">
            <v>36</v>
          </cell>
        </row>
        <row r="5">
          <cell r="IC5">
            <v>36</v>
          </cell>
        </row>
        <row r="8">
          <cell r="IC8"/>
        </row>
        <row r="9">
          <cell r="IC9"/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N19">
            <v>256</v>
          </cell>
          <cell r="HO19">
            <v>163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B19">
            <v>82</v>
          </cell>
          <cell r="IC19">
            <v>72</v>
          </cell>
        </row>
        <row r="22">
          <cell r="IC22">
            <v>2296</v>
          </cell>
        </row>
        <row r="23">
          <cell r="IC23">
            <v>2496</v>
          </cell>
        </row>
        <row r="27">
          <cell r="IC27">
            <v>81</v>
          </cell>
        </row>
        <row r="28">
          <cell r="IC28">
            <v>67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N41">
            <v>16208</v>
          </cell>
          <cell r="HO41">
            <v>10645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B41">
            <v>5332</v>
          </cell>
          <cell r="IC41">
            <v>4792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6"/>
      <sheetData sheetId="47"/>
      <sheetData sheetId="48">
        <row r="4">
          <cell r="IC4">
            <v>701</v>
          </cell>
        </row>
        <row r="5">
          <cell r="IC5">
            <v>701</v>
          </cell>
        </row>
        <row r="8">
          <cell r="IC8"/>
        </row>
        <row r="9">
          <cell r="IC9"/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  <cell r="HY15">
            <v>30</v>
          </cell>
          <cell r="HZ15">
            <v>24</v>
          </cell>
          <cell r="IA15">
            <v>5</v>
          </cell>
          <cell r="IB15"/>
          <cell r="IC15"/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  <cell r="HY16">
            <v>30</v>
          </cell>
          <cell r="HZ16">
            <v>24</v>
          </cell>
          <cell r="IA16">
            <v>4</v>
          </cell>
          <cell r="IB16"/>
          <cell r="IC16"/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N19">
            <v>2225</v>
          </cell>
          <cell r="HO19">
            <v>2225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B19">
            <v>1184</v>
          </cell>
          <cell r="IC19">
            <v>1402</v>
          </cell>
        </row>
        <row r="22">
          <cell r="IC22">
            <v>39539</v>
          </cell>
        </row>
        <row r="23">
          <cell r="IC23">
            <v>39250</v>
          </cell>
        </row>
        <row r="27">
          <cell r="IC27">
            <v>1499</v>
          </cell>
        </row>
        <row r="28">
          <cell r="IC28">
            <v>1613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  <cell r="HY32">
            <v>1826</v>
          </cell>
          <cell r="HZ32">
            <v>1427</v>
          </cell>
          <cell r="IA32">
            <v>271</v>
          </cell>
          <cell r="IB32"/>
          <cell r="IC32"/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  <cell r="HY33">
            <v>1773</v>
          </cell>
          <cell r="HZ33">
            <v>1330</v>
          </cell>
          <cell r="IA33">
            <v>174</v>
          </cell>
          <cell r="IB33"/>
          <cell r="IC33"/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  <cell r="HY37">
            <v>40</v>
          </cell>
          <cell r="HZ37">
            <v>12</v>
          </cell>
          <cell r="IA37">
            <v>8</v>
          </cell>
          <cell r="IB37"/>
          <cell r="IC37"/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  <cell r="HY38">
            <v>33</v>
          </cell>
          <cell r="HZ38">
            <v>17</v>
          </cell>
          <cell r="IA38">
            <v>6</v>
          </cell>
          <cell r="IB38"/>
          <cell r="IC38"/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N41">
            <v>109861</v>
          </cell>
          <cell r="HO41">
            <v>106778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B41">
            <v>60456</v>
          </cell>
          <cell r="IC41">
            <v>78789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C70">
            <v>16023</v>
          </cell>
        </row>
        <row r="71">
          <cell r="IC71">
            <v>23227</v>
          </cell>
        </row>
        <row r="73">
          <cell r="IC73"/>
        </row>
        <row r="74">
          <cell r="IC74"/>
        </row>
      </sheetData>
      <sheetData sheetId="49">
        <row r="4">
          <cell r="IC4">
            <v>58</v>
          </cell>
        </row>
        <row r="5">
          <cell r="IC5">
            <v>58</v>
          </cell>
        </row>
        <row r="8">
          <cell r="IC8"/>
        </row>
        <row r="9">
          <cell r="IC9"/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N19">
            <v>94</v>
          </cell>
          <cell r="HO19">
            <v>90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B19">
            <v>118</v>
          </cell>
          <cell r="IC19">
            <v>116</v>
          </cell>
        </row>
        <row r="22">
          <cell r="IC22">
            <v>3225</v>
          </cell>
        </row>
        <row r="23">
          <cell r="IC23">
            <v>2927</v>
          </cell>
        </row>
        <row r="27">
          <cell r="IC27">
            <v>90</v>
          </cell>
        </row>
        <row r="28">
          <cell r="IC28">
            <v>106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  <cell r="HN41">
            <v>5398</v>
          </cell>
          <cell r="HO41">
            <v>5169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B41">
            <v>7104</v>
          </cell>
          <cell r="IC41">
            <v>6152</v>
          </cell>
        </row>
        <row r="47">
          <cell r="IC47">
            <v>206</v>
          </cell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B64">
            <v>164</v>
          </cell>
          <cell r="IC64">
            <v>206</v>
          </cell>
        </row>
      </sheetData>
      <sheetData sheetId="50">
        <row r="4">
          <cell r="IC4">
            <v>75</v>
          </cell>
        </row>
        <row r="5">
          <cell r="IC5">
            <v>75</v>
          </cell>
        </row>
        <row r="8">
          <cell r="IC8"/>
        </row>
        <row r="9">
          <cell r="IC9"/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N19">
            <v>168</v>
          </cell>
          <cell r="HO19">
            <v>170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B19">
            <v>158</v>
          </cell>
          <cell r="IC19">
            <v>150</v>
          </cell>
        </row>
        <row r="22">
          <cell r="IC22">
            <v>4561</v>
          </cell>
        </row>
        <row r="23">
          <cell r="IC23">
            <v>4711</v>
          </cell>
        </row>
        <row r="27">
          <cell r="IC27">
            <v>117</v>
          </cell>
        </row>
        <row r="28">
          <cell r="IC28">
            <v>135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N41">
            <v>8235</v>
          </cell>
          <cell r="HO41">
            <v>8785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B41">
            <v>9284</v>
          </cell>
          <cell r="IC41">
            <v>9272</v>
          </cell>
        </row>
        <row r="47">
          <cell r="IC47">
            <v>2730</v>
          </cell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N64">
            <v>1844</v>
          </cell>
          <cell r="HO64">
            <v>5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B64">
            <v>1348</v>
          </cell>
          <cell r="IC64">
            <v>2730</v>
          </cell>
        </row>
      </sheetData>
      <sheetData sheetId="51">
        <row r="4">
          <cell r="IC4">
            <v>11</v>
          </cell>
        </row>
        <row r="5">
          <cell r="IC5">
            <v>11</v>
          </cell>
        </row>
        <row r="8">
          <cell r="IC8"/>
        </row>
        <row r="9">
          <cell r="IC9"/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N19">
            <v>152</v>
          </cell>
          <cell r="HO19">
            <v>203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B19">
            <v>28</v>
          </cell>
          <cell r="IC19">
            <v>22</v>
          </cell>
        </row>
        <row r="22">
          <cell r="IC22">
            <v>693</v>
          </cell>
        </row>
        <row r="23">
          <cell r="IC23">
            <v>768</v>
          </cell>
        </row>
        <row r="27">
          <cell r="IC27">
            <v>49</v>
          </cell>
        </row>
        <row r="28">
          <cell r="IC28">
            <v>21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N41">
            <v>9619</v>
          </cell>
          <cell r="HO41">
            <v>12781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B41">
            <v>1837</v>
          </cell>
          <cell r="IC41">
            <v>1461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2">
        <row r="8">
          <cell r="IC8"/>
        </row>
        <row r="9">
          <cell r="IC9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3">
        <row r="4">
          <cell r="IC4">
            <v>2039</v>
          </cell>
        </row>
        <row r="5">
          <cell r="IC5">
            <v>2030</v>
          </cell>
        </row>
        <row r="8">
          <cell r="IC8">
            <v>2</v>
          </cell>
        </row>
        <row r="9">
          <cell r="IC9">
            <v>1</v>
          </cell>
        </row>
        <row r="15">
          <cell r="HR15">
            <v>6</v>
          </cell>
          <cell r="HS15"/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  <cell r="HY15">
            <v>92</v>
          </cell>
          <cell r="HZ15">
            <v>91</v>
          </cell>
          <cell r="IA15">
            <v>110</v>
          </cell>
          <cell r="IB15">
            <v>111</v>
          </cell>
          <cell r="IC15">
            <v>93</v>
          </cell>
        </row>
        <row r="16">
          <cell r="HR16">
            <v>5</v>
          </cell>
          <cell r="HS16"/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  <cell r="HY16">
            <v>92</v>
          </cell>
          <cell r="HZ16">
            <v>92</v>
          </cell>
          <cell r="IA16">
            <v>111</v>
          </cell>
          <cell r="IB16">
            <v>111</v>
          </cell>
          <cell r="IC16">
            <v>92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N19">
            <v>5827</v>
          </cell>
          <cell r="HO19">
            <v>5813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B19">
            <v>4795</v>
          </cell>
          <cell r="IC19">
            <v>4257</v>
          </cell>
        </row>
        <row r="22">
          <cell r="IC22">
            <v>108289</v>
          </cell>
        </row>
        <row r="23">
          <cell r="IC23">
            <v>105359</v>
          </cell>
        </row>
        <row r="27">
          <cell r="IC27">
            <v>3186</v>
          </cell>
        </row>
        <row r="28">
          <cell r="IC28">
            <v>3161</v>
          </cell>
        </row>
        <row r="32">
          <cell r="HR32">
            <v>364</v>
          </cell>
          <cell r="HS32"/>
          <cell r="HT32">
            <v>194</v>
          </cell>
          <cell r="HU32">
            <v>2311</v>
          </cell>
          <cell r="HV32"/>
          <cell r="HW32">
            <v>3052</v>
          </cell>
          <cell r="HX32">
            <v>5283</v>
          </cell>
          <cell r="HY32">
            <v>6042</v>
          </cell>
          <cell r="HZ32">
            <v>5258</v>
          </cell>
          <cell r="IA32">
            <v>6783</v>
          </cell>
          <cell r="IB32">
            <v>6203</v>
          </cell>
          <cell r="IC32">
            <v>5514</v>
          </cell>
        </row>
        <row r="33">
          <cell r="HR33">
            <v>191</v>
          </cell>
          <cell r="HS33"/>
          <cell r="HT33">
            <v>163</v>
          </cell>
          <cell r="HU33">
            <v>2425</v>
          </cell>
          <cell r="HV33"/>
          <cell r="HW33">
            <v>3536</v>
          </cell>
          <cell r="HX33">
            <v>5117</v>
          </cell>
          <cell r="HY33">
            <v>5837</v>
          </cell>
          <cell r="HZ33">
            <v>5747</v>
          </cell>
          <cell r="IA33">
            <v>6677</v>
          </cell>
          <cell r="IB33">
            <v>6108</v>
          </cell>
          <cell r="IC33">
            <v>4886</v>
          </cell>
        </row>
        <row r="37">
          <cell r="HR37">
            <v>0</v>
          </cell>
          <cell r="HS37"/>
          <cell r="HT37">
            <v>1</v>
          </cell>
          <cell r="HU37">
            <v>19</v>
          </cell>
          <cell r="HV37"/>
          <cell r="HW37">
            <v>57</v>
          </cell>
          <cell r="HX37">
            <v>102</v>
          </cell>
          <cell r="HY37">
            <v>105</v>
          </cell>
          <cell r="HZ37">
            <v>87</v>
          </cell>
          <cell r="IA37">
            <v>121</v>
          </cell>
          <cell r="IB37">
            <v>111</v>
          </cell>
          <cell r="IC37">
            <v>98</v>
          </cell>
        </row>
        <row r="38">
          <cell r="HR38">
            <v>5</v>
          </cell>
          <cell r="HS38"/>
          <cell r="HT38">
            <v>2</v>
          </cell>
          <cell r="HU38">
            <v>24</v>
          </cell>
          <cell r="HV38"/>
          <cell r="HW38">
            <v>42</v>
          </cell>
          <cell r="HX38">
            <v>120</v>
          </cell>
          <cell r="HY38">
            <v>115</v>
          </cell>
          <cell r="HZ38">
            <v>87</v>
          </cell>
          <cell r="IA38">
            <v>112</v>
          </cell>
          <cell r="IB38">
            <v>122</v>
          </cell>
          <cell r="IC38">
            <v>100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N41">
            <v>318017</v>
          </cell>
          <cell r="HO41">
            <v>267769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B41">
            <v>279168</v>
          </cell>
          <cell r="IC41">
            <v>224048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C70">
            <v>44636</v>
          </cell>
        </row>
        <row r="71">
          <cell r="IC71">
            <v>60723</v>
          </cell>
        </row>
        <row r="73">
          <cell r="IC73">
            <v>2070</v>
          </cell>
        </row>
        <row r="74">
          <cell r="IC74">
            <v>2816</v>
          </cell>
        </row>
      </sheetData>
      <sheetData sheetId="54"/>
      <sheetData sheetId="55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N19">
            <v>92</v>
          </cell>
          <cell r="HO19">
            <v>116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N41">
            <v>5303</v>
          </cell>
          <cell r="HO41">
            <v>6626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N64">
            <v>564</v>
          </cell>
          <cell r="HO64">
            <v>191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6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N19">
            <v>36</v>
          </cell>
          <cell r="HO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N41">
            <v>2425</v>
          </cell>
          <cell r="HO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N64">
            <v>3778</v>
          </cell>
          <cell r="HO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7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G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8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C22"/>
        </row>
        <row r="23">
          <cell r="IC23"/>
        </row>
        <row r="27">
          <cell r="IC27"/>
        </row>
        <row r="28">
          <cell r="IC2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BH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C70"/>
        </row>
        <row r="71">
          <cell r="IC71"/>
        </row>
        <row r="73">
          <cell r="IC73"/>
        </row>
        <row r="74">
          <cell r="IC74"/>
        </row>
      </sheetData>
      <sheetData sheetId="59"/>
      <sheetData sheetId="60"/>
      <sheetData sheetId="61"/>
      <sheetData sheetId="62">
        <row r="4">
          <cell r="IC4"/>
        </row>
        <row r="5">
          <cell r="IC5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22">
          <cell r="IC22"/>
        </row>
        <row r="23">
          <cell r="IC23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3">
        <row r="4">
          <cell r="IC4"/>
        </row>
        <row r="5">
          <cell r="IC5"/>
        </row>
        <row r="15">
          <cell r="IC15"/>
        </row>
        <row r="16">
          <cell r="IC16"/>
        </row>
        <row r="22">
          <cell r="IC22"/>
        </row>
        <row r="23">
          <cell r="IC23"/>
        </row>
        <row r="32">
          <cell r="IC32"/>
        </row>
        <row r="33">
          <cell r="IC33"/>
        </row>
      </sheetData>
      <sheetData sheetId="64"/>
      <sheetData sheetId="65">
        <row r="5">
          <cell r="IC5"/>
        </row>
        <row r="15">
          <cell r="HR15"/>
          <cell r="HS15">
            <v>1</v>
          </cell>
          <cell r="HT15"/>
          <cell r="HU15">
            <v>1</v>
          </cell>
          <cell r="HV15"/>
          <cell r="HX15"/>
          <cell r="HY15"/>
          <cell r="HZ15"/>
          <cell r="IA15"/>
          <cell r="IB15"/>
          <cell r="IC15"/>
        </row>
        <row r="16">
          <cell r="HR16"/>
          <cell r="HS16">
            <v>1</v>
          </cell>
          <cell r="HT16"/>
          <cell r="HU16">
            <v>1</v>
          </cell>
          <cell r="HV16"/>
          <cell r="HX16"/>
          <cell r="HY16"/>
          <cell r="HZ16"/>
          <cell r="IA16"/>
          <cell r="IB16"/>
          <cell r="IC16"/>
        </row>
        <row r="22">
          <cell r="IC22"/>
        </row>
        <row r="23">
          <cell r="IC23"/>
        </row>
        <row r="32">
          <cell r="HR32"/>
          <cell r="HS32">
            <v>105</v>
          </cell>
          <cell r="HT32"/>
          <cell r="HU32">
            <v>103</v>
          </cell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>
            <v>103</v>
          </cell>
          <cell r="HT33"/>
          <cell r="HU33">
            <v>104</v>
          </cell>
          <cell r="HV33">
            <v>188</v>
          </cell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6">
        <row r="4">
          <cell r="IC4"/>
        </row>
        <row r="5">
          <cell r="IC5"/>
        </row>
        <row r="15">
          <cell r="HR15"/>
          <cell r="HS15"/>
          <cell r="HT15">
            <v>1</v>
          </cell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22">
          <cell r="IC22"/>
        </row>
        <row r="23">
          <cell r="IC23"/>
        </row>
        <row r="32">
          <cell r="HR32"/>
          <cell r="HS32"/>
          <cell r="HT32">
            <v>55</v>
          </cell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67">
        <row r="4">
          <cell r="IC4">
            <v>31</v>
          </cell>
        </row>
        <row r="5">
          <cell r="IC5">
            <v>31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  <cell r="HN19">
            <v>58</v>
          </cell>
          <cell r="HO19">
            <v>54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A19">
            <v>64</v>
          </cell>
          <cell r="IB19">
            <v>58</v>
          </cell>
          <cell r="IC19">
            <v>62</v>
          </cell>
        </row>
        <row r="47">
          <cell r="IC47">
            <v>2232206</v>
          </cell>
        </row>
        <row r="48">
          <cell r="IC48"/>
        </row>
        <row r="52">
          <cell r="IC52">
            <v>1847072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  <cell r="HN64">
            <v>3782104</v>
          </cell>
          <cell r="HO64">
            <v>3634561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A64">
            <v>4203543</v>
          </cell>
          <cell r="IB64">
            <v>3211931</v>
          </cell>
          <cell r="IC64">
            <v>4079278</v>
          </cell>
        </row>
      </sheetData>
      <sheetData sheetId="68">
        <row r="4">
          <cell r="IC4">
            <v>59</v>
          </cell>
        </row>
        <row r="5">
          <cell r="IC5">
            <v>58</v>
          </cell>
        </row>
        <row r="8">
          <cell r="IC8"/>
        </row>
        <row r="9">
          <cell r="IC9"/>
        </row>
        <row r="15">
          <cell r="IC15"/>
        </row>
        <row r="16">
          <cell r="IC16"/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  <cell r="HN19">
            <v>116</v>
          </cell>
          <cell r="HO19">
            <v>106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A19">
            <v>65</v>
          </cell>
          <cell r="IB19">
            <v>114</v>
          </cell>
          <cell r="IC19">
            <v>117</v>
          </cell>
        </row>
        <row r="47">
          <cell r="IC47">
            <v>1265852</v>
          </cell>
        </row>
        <row r="48">
          <cell r="IC48"/>
        </row>
        <row r="52">
          <cell r="IC52">
            <v>1375372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  <cell r="HN64">
            <v>3033268</v>
          </cell>
          <cell r="HO64">
            <v>3312247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A64">
            <v>1386834</v>
          </cell>
          <cell r="IB64">
            <v>2659123</v>
          </cell>
          <cell r="IC64">
            <v>2641224</v>
          </cell>
        </row>
      </sheetData>
      <sheetData sheetId="69">
        <row r="4">
          <cell r="IC4"/>
        </row>
        <row r="5">
          <cell r="IC5"/>
        </row>
        <row r="15">
          <cell r="IC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  <cell r="HN19">
            <v>0</v>
          </cell>
          <cell r="HO19">
            <v>2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  <cell r="HN64">
            <v>0</v>
          </cell>
          <cell r="HO64">
            <v>71144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0">
        <row r="4">
          <cell r="IC4">
            <v>1</v>
          </cell>
        </row>
        <row r="5">
          <cell r="IC5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2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2</v>
          </cell>
        </row>
        <row r="47">
          <cell r="IC47">
            <v>13386</v>
          </cell>
        </row>
        <row r="48">
          <cell r="IC48"/>
        </row>
        <row r="52">
          <cell r="IC52">
            <v>22562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54500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35948</v>
          </cell>
        </row>
      </sheetData>
      <sheetData sheetId="71">
        <row r="4">
          <cell r="IC4"/>
        </row>
        <row r="5">
          <cell r="IC5"/>
        </row>
        <row r="8">
          <cell r="IC8"/>
        </row>
        <row r="9">
          <cell r="IC9"/>
        </row>
        <row r="15">
          <cell r="IC15"/>
        </row>
        <row r="16">
          <cell r="IC16"/>
        </row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7">
          <cell r="IC47"/>
        </row>
        <row r="52">
          <cell r="IC52"/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2"/>
      <sheetData sheetId="73">
        <row r="4">
          <cell r="IC4">
            <v>27</v>
          </cell>
        </row>
        <row r="5">
          <cell r="IC5">
            <v>27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  <cell r="HN19">
            <v>80</v>
          </cell>
          <cell r="HO19">
            <v>76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A19">
            <v>82</v>
          </cell>
          <cell r="IB19">
            <v>68</v>
          </cell>
          <cell r="IC19">
            <v>54</v>
          </cell>
        </row>
        <row r="47">
          <cell r="IC47">
            <v>32021</v>
          </cell>
        </row>
        <row r="48">
          <cell r="IC48"/>
        </row>
        <row r="52">
          <cell r="IC52">
            <v>35406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  <cell r="HN64">
            <v>146634</v>
          </cell>
          <cell r="HO64">
            <v>124559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A64">
            <v>100964</v>
          </cell>
          <cell r="IB64">
            <v>84106</v>
          </cell>
          <cell r="IC64">
            <v>67427</v>
          </cell>
        </row>
      </sheetData>
      <sheetData sheetId="74">
        <row r="4">
          <cell r="IC4"/>
        </row>
        <row r="5">
          <cell r="IC5"/>
        </row>
        <row r="12">
          <cell r="IC12">
            <v>0</v>
          </cell>
        </row>
        <row r="15">
          <cell r="IC15"/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5">
        <row r="4">
          <cell r="IC4"/>
        </row>
        <row r="5">
          <cell r="IC5"/>
        </row>
        <row r="15">
          <cell r="IC15"/>
        </row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  <cell r="HN19">
            <v>0</v>
          </cell>
          <cell r="HO19">
            <v>0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  <cell r="HN64">
            <v>0</v>
          </cell>
          <cell r="HO64">
            <v>0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6">
        <row r="4">
          <cell r="IC4">
            <v>40</v>
          </cell>
        </row>
        <row r="5">
          <cell r="IC5">
            <v>40</v>
          </cell>
        </row>
        <row r="12">
          <cell r="IC12">
            <v>80</v>
          </cell>
        </row>
        <row r="15">
          <cell r="IC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A19">
            <v>76</v>
          </cell>
          <cell r="IB19">
            <v>82</v>
          </cell>
          <cell r="IC19">
            <v>80</v>
          </cell>
        </row>
        <row r="47">
          <cell r="IC47">
            <v>814143</v>
          </cell>
        </row>
        <row r="48">
          <cell r="IC48"/>
        </row>
        <row r="52">
          <cell r="IC52">
            <v>413638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A64">
            <v>1189952</v>
          </cell>
          <cell r="IB64">
            <v>1257795</v>
          </cell>
          <cell r="IC64">
            <v>1227781</v>
          </cell>
        </row>
      </sheetData>
      <sheetData sheetId="77">
        <row r="4">
          <cell r="IC4"/>
        </row>
        <row r="5">
          <cell r="IC5"/>
        </row>
        <row r="15">
          <cell r="IC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8">
        <row r="4">
          <cell r="IC4">
            <v>7</v>
          </cell>
        </row>
        <row r="5">
          <cell r="IC5">
            <v>7</v>
          </cell>
        </row>
        <row r="15">
          <cell r="IC15"/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  <cell r="HN19">
            <v>88</v>
          </cell>
          <cell r="HO19">
            <v>86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A19">
            <v>10</v>
          </cell>
          <cell r="IB19">
            <v>10</v>
          </cell>
          <cell r="IC19">
            <v>14</v>
          </cell>
        </row>
        <row r="47">
          <cell r="IC47">
            <v>159523</v>
          </cell>
        </row>
        <row r="48">
          <cell r="IC48"/>
        </row>
        <row r="52">
          <cell r="IC52">
            <v>5728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  <cell r="HN64">
            <v>1387767</v>
          </cell>
          <cell r="HO64">
            <v>1581757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A64">
            <v>133471</v>
          </cell>
          <cell r="IB64">
            <v>117128</v>
          </cell>
          <cell r="IC64">
            <v>165251</v>
          </cell>
        </row>
      </sheetData>
      <sheetData sheetId="79">
        <row r="4">
          <cell r="IC4"/>
        </row>
        <row r="5">
          <cell r="IC5"/>
        </row>
        <row r="15">
          <cell r="IC15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80"/>
      <sheetData sheetId="81">
        <row r="4">
          <cell r="IC4">
            <v>136</v>
          </cell>
        </row>
        <row r="5">
          <cell r="IC5">
            <v>136</v>
          </cell>
        </row>
        <row r="15">
          <cell r="IC15"/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  <cell r="HN19">
            <v>278</v>
          </cell>
          <cell r="HO19">
            <v>364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A19">
            <v>234</v>
          </cell>
          <cell r="IB19">
            <v>260</v>
          </cell>
          <cell r="IC19">
            <v>272</v>
          </cell>
        </row>
        <row r="47">
          <cell r="IC47">
            <v>8659947</v>
          </cell>
        </row>
        <row r="48">
          <cell r="IC48"/>
        </row>
        <row r="52">
          <cell r="IC52">
            <v>7388116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  <cell r="HN64">
            <v>15513033</v>
          </cell>
          <cell r="HO64">
            <v>18092314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A64">
            <v>14743955</v>
          </cell>
          <cell r="IB64">
            <v>15030231</v>
          </cell>
          <cell r="IC64">
            <v>16048063</v>
          </cell>
        </row>
      </sheetData>
      <sheetData sheetId="82">
        <row r="4">
          <cell r="IC4">
            <v>16</v>
          </cell>
        </row>
        <row r="5">
          <cell r="IC5">
            <v>16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  <cell r="HN19">
            <v>40</v>
          </cell>
          <cell r="HO19">
            <v>42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A19">
            <v>42</v>
          </cell>
          <cell r="IB19">
            <v>40</v>
          </cell>
          <cell r="IC19">
            <v>32</v>
          </cell>
        </row>
        <row r="47">
          <cell r="IC47"/>
        </row>
        <row r="48">
          <cell r="IC48">
            <v>34272</v>
          </cell>
        </row>
        <row r="52">
          <cell r="IC52"/>
        </row>
        <row r="53">
          <cell r="IC53">
            <v>89578</v>
          </cell>
        </row>
        <row r="57">
          <cell r="IC57"/>
        </row>
        <row r="58">
          <cell r="IC58"/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  <cell r="HN64">
            <v>167275</v>
          </cell>
          <cell r="HO64">
            <v>174232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A64">
            <v>167301</v>
          </cell>
          <cell r="IB64">
            <v>159749</v>
          </cell>
          <cell r="IC64">
            <v>123850</v>
          </cell>
        </row>
      </sheetData>
      <sheetData sheetId="83">
        <row r="4">
          <cell r="IC4">
            <v>14</v>
          </cell>
        </row>
        <row r="5">
          <cell r="IC5">
            <v>14</v>
          </cell>
        </row>
        <row r="15">
          <cell r="IC15"/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  <cell r="HN19">
            <v>30</v>
          </cell>
          <cell r="HO19">
            <v>34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A19">
            <v>32</v>
          </cell>
          <cell r="IB19">
            <v>30</v>
          </cell>
          <cell r="IC19">
            <v>28</v>
          </cell>
        </row>
        <row r="47">
          <cell r="IC47">
            <v>71818</v>
          </cell>
        </row>
        <row r="48">
          <cell r="IC48"/>
        </row>
        <row r="52">
          <cell r="IC52">
            <v>1371</v>
          </cell>
        </row>
        <row r="53">
          <cell r="IC53"/>
        </row>
        <row r="57">
          <cell r="IC57"/>
        </row>
        <row r="58">
          <cell r="IC58"/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  <cell r="HN64">
            <v>50195</v>
          </cell>
          <cell r="HO64">
            <v>55457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A64">
            <v>55160</v>
          </cell>
          <cell r="IB64">
            <v>61563</v>
          </cell>
          <cell r="IC64">
            <v>73189</v>
          </cell>
        </row>
      </sheetData>
      <sheetData sheetId="84">
        <row r="4">
          <cell r="IC4">
            <v>185</v>
          </cell>
        </row>
        <row r="5">
          <cell r="IC5">
            <v>185</v>
          </cell>
        </row>
        <row r="15">
          <cell r="IC15"/>
        </row>
        <row r="16">
          <cell r="IC16"/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  <cell r="HM19">
            <v>356</v>
          </cell>
          <cell r="HN19">
            <v>284</v>
          </cell>
          <cell r="HO19">
            <v>456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A19">
            <v>244</v>
          </cell>
          <cell r="IB19">
            <v>264</v>
          </cell>
          <cell r="IC19">
            <v>370</v>
          </cell>
        </row>
        <row r="47">
          <cell r="IC47">
            <v>8068939</v>
          </cell>
        </row>
        <row r="48">
          <cell r="IC48">
            <v>109417</v>
          </cell>
        </row>
        <row r="52">
          <cell r="IC52">
            <v>6436297</v>
          </cell>
        </row>
        <row r="53">
          <cell r="IC53">
            <v>378320</v>
          </cell>
        </row>
        <row r="57">
          <cell r="IC57"/>
        </row>
        <row r="58">
          <cell r="IC58"/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  <cell r="HN64">
            <v>13471413</v>
          </cell>
          <cell r="HO64">
            <v>18632477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A64">
            <v>12069906</v>
          </cell>
          <cell r="IB64">
            <v>12678743</v>
          </cell>
          <cell r="IC64">
            <v>14992973</v>
          </cell>
        </row>
      </sheetData>
      <sheetData sheetId="85"/>
      <sheetData sheetId="86"/>
      <sheetData sheetId="87"/>
      <sheetData sheetId="88">
        <row r="4">
          <cell r="IC4">
            <v>250</v>
          </cell>
        </row>
        <row r="5">
          <cell r="IC5">
            <v>250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  <cell r="HN19">
            <v>408</v>
          </cell>
          <cell r="HO19">
            <v>410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A19">
            <v>364</v>
          </cell>
          <cell r="IB19">
            <v>428</v>
          </cell>
          <cell r="IC19">
            <v>500</v>
          </cell>
        </row>
      </sheetData>
      <sheetData sheetId="89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90">
        <row r="4">
          <cell r="IC4"/>
        </row>
        <row r="5">
          <cell r="IC5"/>
        </row>
        <row r="8">
          <cell r="IC8"/>
        </row>
        <row r="9">
          <cell r="IC9"/>
        </row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2</v>
          </cell>
          <cell r="HO19">
            <v>0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10</v>
          </cell>
          <cell r="IB19">
            <v>0</v>
          </cell>
          <cell r="IC19">
            <v>0</v>
          </cell>
        </row>
        <row r="47">
          <cell r="IC47"/>
        </row>
        <row r="48">
          <cell r="IC48"/>
        </row>
        <row r="52">
          <cell r="IC52"/>
        </row>
        <row r="53">
          <cell r="IC53"/>
        </row>
        <row r="57">
          <cell r="IC57"/>
        </row>
        <row r="58">
          <cell r="IC58"/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30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111244</v>
          </cell>
          <cell r="IB64">
            <v>0</v>
          </cell>
          <cell r="IC64">
            <v>0</v>
          </cell>
        </row>
      </sheetData>
      <sheetData sheetId="91">
        <row r="4">
          <cell r="IC4">
            <v>27</v>
          </cell>
        </row>
        <row r="5">
          <cell r="IC5">
            <v>26</v>
          </cell>
        </row>
      </sheetData>
      <sheetData sheetId="92">
        <row r="4">
          <cell r="IC4">
            <v>637</v>
          </cell>
        </row>
        <row r="5">
          <cell r="IC5">
            <v>636</v>
          </cell>
        </row>
      </sheetData>
      <sheetData sheetId="93" refreshError="1"/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2" zoomScale="115" zoomScaleNormal="115" zoomScaleSheetLayoutView="100" workbookViewId="0">
      <selection activeCell="M9" sqref="M9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11.28515625" bestFit="1" customWidth="1"/>
  </cols>
  <sheetData>
    <row r="1" spans="1:15" hidden="1" x14ac:dyDescent="0.2"/>
    <row r="2" spans="1:15" ht="12.75" customHeight="1" x14ac:dyDescent="0.2">
      <c r="A2" s="439">
        <v>44896</v>
      </c>
      <c r="B2" s="10"/>
      <c r="C2" s="10"/>
      <c r="D2" s="456" t="s">
        <v>238</v>
      </c>
      <c r="E2" s="456" t="s">
        <v>220</v>
      </c>
      <c r="F2" s="5"/>
      <c r="G2" s="5"/>
      <c r="H2" s="5"/>
      <c r="I2" s="5"/>
      <c r="J2" s="5"/>
    </row>
    <row r="3" spans="1:15" ht="13.5" thickBot="1" x14ac:dyDescent="0.25">
      <c r="A3" s="307"/>
      <c r="B3" s="5" t="s">
        <v>0</v>
      </c>
      <c r="C3" s="5" t="s">
        <v>1</v>
      </c>
      <c r="D3" s="457"/>
      <c r="E3" s="458"/>
      <c r="F3" s="5" t="s">
        <v>2</v>
      </c>
      <c r="G3" s="5" t="s">
        <v>239</v>
      </c>
      <c r="H3" s="5" t="s">
        <v>219</v>
      </c>
      <c r="I3" s="5" t="s">
        <v>2</v>
      </c>
    </row>
    <row r="4" spans="1:15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5" x14ac:dyDescent="0.2">
      <c r="A5" s="51" t="s">
        <v>4</v>
      </c>
      <c r="B5" s="231">
        <f>'Major Airline Stats'!K4</f>
        <v>1026340</v>
      </c>
      <c r="C5" s="10">
        <f>'Major Airline Stats'!K5</f>
        <v>1055084</v>
      </c>
      <c r="D5" s="2">
        <f>'Major Airline Stats'!K6</f>
        <v>2081424</v>
      </c>
      <c r="E5" s="2">
        <f>'[1]Monthly Summary'!D5</f>
        <v>1810377</v>
      </c>
      <c r="F5" s="3">
        <f>(D5-E5)/E5</f>
        <v>0.14971853928767323</v>
      </c>
      <c r="G5" s="2">
        <f>+'[2]Monthly Summary'!G5+D5</f>
        <v>25220562</v>
      </c>
      <c r="H5" s="2">
        <f>+'[1]Monthly Summary'!G5</f>
        <v>18813026</v>
      </c>
      <c r="I5" s="66">
        <f>(G5-H5)/H5</f>
        <v>0.34059039731301066</v>
      </c>
      <c r="J5" s="2"/>
      <c r="M5" s="2"/>
    </row>
    <row r="6" spans="1:15" x14ac:dyDescent="0.2">
      <c r="A6" s="51" t="s">
        <v>5</v>
      </c>
      <c r="B6" s="231">
        <f>'Regional Major'!M5</f>
        <v>172763</v>
      </c>
      <c r="C6" s="231">
        <f>'Regional Major'!M6</f>
        <v>169144</v>
      </c>
      <c r="D6" s="2">
        <f>B6+C6</f>
        <v>341907</v>
      </c>
      <c r="E6" s="2">
        <f>'[1]Monthly Summary'!D6</f>
        <v>435747</v>
      </c>
      <c r="F6" s="3">
        <f>(D6-E6)/E6</f>
        <v>-0.21535432257709175</v>
      </c>
      <c r="G6" s="2">
        <f>+'[2]Monthly Summary'!G6+D6</f>
        <v>5126527</v>
      </c>
      <c r="H6" s="2">
        <f>+'[1]Monthly Summary'!G6</f>
        <v>5609060</v>
      </c>
      <c r="I6" s="66">
        <f>(G6-H6)/H6</f>
        <v>-8.6027427055513764E-2</v>
      </c>
      <c r="K6" s="2"/>
    </row>
    <row r="7" spans="1:15" x14ac:dyDescent="0.2">
      <c r="A7" s="51" t="s">
        <v>6</v>
      </c>
      <c r="B7" s="2">
        <f>Charter!G5</f>
        <v>0</v>
      </c>
      <c r="C7" s="231">
        <f>Charter!G6</f>
        <v>0</v>
      </c>
      <c r="D7" s="2">
        <f>B7+C7</f>
        <v>0</v>
      </c>
      <c r="E7" s="2">
        <f>'[1]Monthly Summary'!D7</f>
        <v>283</v>
      </c>
      <c r="F7" s="3">
        <f>(D7-E7)/E7</f>
        <v>-1</v>
      </c>
      <c r="G7" s="2">
        <f>+'[2]Monthly Summary'!G7+D7</f>
        <v>6170</v>
      </c>
      <c r="H7" s="2">
        <f>+'[1]Monthly Summary'!G7</f>
        <v>4025</v>
      </c>
      <c r="I7" s="66">
        <f>(G7-H7)/H7</f>
        <v>0.53291925465838508</v>
      </c>
      <c r="K7" s="2"/>
    </row>
    <row r="8" spans="1:15" x14ac:dyDescent="0.2">
      <c r="A8" s="53" t="s">
        <v>7</v>
      </c>
      <c r="B8" s="120">
        <f>SUM(B5:B7)</f>
        <v>1199103</v>
      </c>
      <c r="C8" s="120">
        <f>SUM(C5:C7)</f>
        <v>1224228</v>
      </c>
      <c r="D8" s="120">
        <f>SUM(D5:D7)</f>
        <v>2423331</v>
      </c>
      <c r="E8" s="120">
        <f>SUM(E5:E7)</f>
        <v>2246407</v>
      </c>
      <c r="F8" s="72">
        <f>(D8-E8)/E8</f>
        <v>7.8758657714296659E-2</v>
      </c>
      <c r="G8" s="120">
        <f>SUM(G5:G7)</f>
        <v>30353259</v>
      </c>
      <c r="H8" s="120">
        <f>SUM(H5:H7)</f>
        <v>24426111</v>
      </c>
      <c r="I8" s="71">
        <f>(G8-H8)/H8</f>
        <v>0.24265622963884836</v>
      </c>
    </row>
    <row r="9" spans="1:15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5" x14ac:dyDescent="0.2">
      <c r="A10" s="51" t="s">
        <v>8</v>
      </c>
      <c r="B10" s="232">
        <f>'Major Airline Stats'!K9+'Regional Major'!M10</f>
        <v>34413</v>
      </c>
      <c r="C10" s="232">
        <f>'Major Airline Stats'!K10+'Regional Major'!M11</f>
        <v>34711</v>
      </c>
      <c r="D10" s="97">
        <f>SUM(B10:C10)</f>
        <v>69124</v>
      </c>
      <c r="E10" s="97">
        <f>'[1]Monthly Summary'!D10</f>
        <v>63175</v>
      </c>
      <c r="F10" s="73">
        <f>(D10-E10)/E10</f>
        <v>9.4166996438464587E-2</v>
      </c>
      <c r="G10" s="445">
        <f>+'[2]Monthly Summary'!G10+D10</f>
        <v>888563</v>
      </c>
      <c r="H10" s="445">
        <f>+'[1]Monthly Summary'!G10</f>
        <v>776009</v>
      </c>
      <c r="I10" s="76">
        <f>(G10-H10)/H10</f>
        <v>0.14504213224331161</v>
      </c>
      <c r="J10" s="170"/>
    </row>
    <row r="11" spans="1:15" ht="15.75" thickBot="1" x14ac:dyDescent="0.3">
      <c r="A11" s="52" t="s">
        <v>13</v>
      </c>
      <c r="B11" s="211">
        <f>B10+B8</f>
        <v>1233516</v>
      </c>
      <c r="C11" s="211">
        <f>C10+C8</f>
        <v>1258939</v>
      </c>
      <c r="D11" s="211">
        <f>D10+D8</f>
        <v>2492455</v>
      </c>
      <c r="E11" s="211">
        <f>E10+E8</f>
        <v>2309582</v>
      </c>
      <c r="F11" s="74">
        <f>(D11-E11)/E11</f>
        <v>7.9180128698612989E-2</v>
      </c>
      <c r="G11" s="211">
        <f>G8+G10</f>
        <v>31241822</v>
      </c>
      <c r="H11" s="211">
        <f>H8+H10</f>
        <v>25202120</v>
      </c>
      <c r="I11" s="77">
        <f>(G11-H11)/H11</f>
        <v>0.23965055320742859</v>
      </c>
      <c r="L11" s="2"/>
      <c r="N11" s="430"/>
    </row>
    <row r="12" spans="1:15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  <c r="N12" s="96"/>
      <c r="O12" s="452"/>
    </row>
    <row r="13" spans="1:15" ht="16.5" customHeight="1" x14ac:dyDescent="0.2">
      <c r="B13" s="10"/>
      <c r="C13" s="10"/>
      <c r="D13" s="456" t="s">
        <v>238</v>
      </c>
      <c r="E13" s="456" t="s">
        <v>220</v>
      </c>
      <c r="F13" s="5"/>
      <c r="G13" s="5"/>
      <c r="H13" s="5"/>
      <c r="I13" s="5"/>
    </row>
    <row r="14" spans="1:15" ht="13.5" thickBot="1" x14ac:dyDescent="0.25">
      <c r="A14" s="9"/>
      <c r="B14" s="5" t="s">
        <v>189</v>
      </c>
      <c r="C14" s="5" t="s">
        <v>190</v>
      </c>
      <c r="D14" s="457"/>
      <c r="E14" s="458"/>
      <c r="F14" s="5" t="s">
        <v>2</v>
      </c>
      <c r="G14" s="5" t="s">
        <v>239</v>
      </c>
      <c r="H14" s="5" t="s">
        <v>219</v>
      </c>
      <c r="I14" s="5" t="s">
        <v>2</v>
      </c>
    </row>
    <row r="15" spans="1:15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5" x14ac:dyDescent="0.2">
      <c r="A16" s="51" t="s">
        <v>4</v>
      </c>
      <c r="B16" s="240">
        <f>'Major Airline Stats'!K15+'Major Airline Stats'!K19</f>
        <v>7621</v>
      </c>
      <c r="C16" s="240">
        <f>'Major Airline Stats'!K16+'Major Airline Stats'!K20</f>
        <v>7601</v>
      </c>
      <c r="D16" s="32">
        <f t="shared" ref="D16:D21" si="0">SUM(B16:C16)</f>
        <v>15222</v>
      </c>
      <c r="E16" s="2">
        <f>'[1]Monthly Summary'!D16</f>
        <v>13653</v>
      </c>
      <c r="F16" s="75">
        <f t="shared" ref="F16:F22" si="1">(D16-E16)/E16</f>
        <v>0.11491979784662712</v>
      </c>
      <c r="G16" s="2">
        <f>+'[2]Monthly Summary'!G16+D16</f>
        <v>180739</v>
      </c>
      <c r="H16" s="2">
        <f>+'[1]Monthly Summary'!G16</f>
        <v>150969</v>
      </c>
      <c r="I16" s="202">
        <f t="shared" ref="I16:I22" si="2">(G16-H16)/H16</f>
        <v>0.19719280117110136</v>
      </c>
      <c r="M16" s="2"/>
      <c r="N16" s="96"/>
    </row>
    <row r="17" spans="1:14" x14ac:dyDescent="0.2">
      <c r="A17" s="51" t="s">
        <v>5</v>
      </c>
      <c r="B17" s="32">
        <f>'Regional Major'!M15+'Regional Major'!M18</f>
        <v>3182</v>
      </c>
      <c r="C17" s="32">
        <f>'Regional Major'!M16+'Regional Major'!M19</f>
        <v>3176</v>
      </c>
      <c r="D17" s="32">
        <f t="shared" si="0"/>
        <v>6358</v>
      </c>
      <c r="E17" s="2">
        <f>'[1]Monthly Summary'!D17</f>
        <v>9068</v>
      </c>
      <c r="F17" s="75">
        <f t="shared" si="1"/>
        <v>-0.2988531098367887</v>
      </c>
      <c r="G17" s="2">
        <f>+'[2]Monthly Summary'!G17+D17</f>
        <v>95248</v>
      </c>
      <c r="H17" s="2">
        <f>+'[1]Monthly Summary'!G17</f>
        <v>119594</v>
      </c>
      <c r="I17" s="202">
        <f t="shared" si="2"/>
        <v>-0.20357208555613157</v>
      </c>
      <c r="L17" s="2"/>
      <c r="M17" s="2"/>
    </row>
    <row r="18" spans="1:14" x14ac:dyDescent="0.2">
      <c r="A18" s="51" t="s">
        <v>10</v>
      </c>
      <c r="B18" s="32">
        <f>Charter!G10</f>
        <v>0</v>
      </c>
      <c r="C18" s="32">
        <f>Charter!G11</f>
        <v>0</v>
      </c>
      <c r="D18" s="32">
        <f t="shared" si="0"/>
        <v>0</v>
      </c>
      <c r="E18" s="2">
        <f>'[1]Monthly Summary'!D18</f>
        <v>4</v>
      </c>
      <c r="F18" s="75">
        <f t="shared" si="1"/>
        <v>-1</v>
      </c>
      <c r="G18" s="2">
        <f>+'[2]Monthly Summary'!G18+D18</f>
        <v>60</v>
      </c>
      <c r="H18" s="2">
        <f>+'[1]Monthly Summary'!G18</f>
        <v>38</v>
      </c>
      <c r="I18" s="202">
        <f t="shared" si="2"/>
        <v>0.57894736842105265</v>
      </c>
      <c r="M18" s="2"/>
    </row>
    <row r="19" spans="1:14" x14ac:dyDescent="0.2">
      <c r="A19" s="51" t="s">
        <v>11</v>
      </c>
      <c r="B19" s="32">
        <f>Cargo!S4+Cargo!S8</f>
        <v>766</v>
      </c>
      <c r="C19" s="32">
        <f>Cargo!S5+Cargo!S9</f>
        <v>765</v>
      </c>
      <c r="D19" s="32">
        <f t="shared" si="0"/>
        <v>1531</v>
      </c>
      <c r="E19" s="2">
        <f>'[1]Monthly Summary'!D19</f>
        <v>1632</v>
      </c>
      <c r="F19" s="75">
        <f t="shared" si="1"/>
        <v>-6.1887254901960786E-2</v>
      </c>
      <c r="G19" s="2">
        <f>+'[2]Monthly Summary'!G19+D19</f>
        <v>15776</v>
      </c>
      <c r="H19" s="2">
        <f>+'[1]Monthly Summary'!G19</f>
        <v>16720</v>
      </c>
      <c r="I19" s="202">
        <f t="shared" si="2"/>
        <v>-5.6459330143540667E-2</v>
      </c>
      <c r="L19" s="96"/>
      <c r="M19" s="2"/>
    </row>
    <row r="20" spans="1:14" x14ac:dyDescent="0.2">
      <c r="A20" s="51" t="s">
        <v>148</v>
      </c>
      <c r="B20" s="32">
        <f>'[3]General Avation'!$IC$4</f>
        <v>637</v>
      </c>
      <c r="C20" s="32">
        <f>'[3]General Avation'!$IC$5</f>
        <v>636</v>
      </c>
      <c r="D20" s="32">
        <f t="shared" si="0"/>
        <v>1273</v>
      </c>
      <c r="E20" s="2">
        <f>'[1]Monthly Summary'!D20</f>
        <v>1443</v>
      </c>
      <c r="F20" s="75">
        <f t="shared" si="1"/>
        <v>-0.11781011781011781</v>
      </c>
      <c r="G20" s="2">
        <f>+'[2]Monthly Summary'!G20+D20</f>
        <v>17543</v>
      </c>
      <c r="H20" s="2">
        <f>+'[1]Monthly Summary'!G20</f>
        <v>15387</v>
      </c>
      <c r="I20" s="202">
        <f t="shared" si="2"/>
        <v>0.14011828166634172</v>
      </c>
      <c r="M20" s="2"/>
    </row>
    <row r="21" spans="1:14" ht="12.75" customHeight="1" x14ac:dyDescent="0.2">
      <c r="A21" s="51" t="s">
        <v>12</v>
      </c>
      <c r="B21" s="11">
        <f>'[3]Military '!$IC$4</f>
        <v>27</v>
      </c>
      <c r="C21" s="11">
        <f>'[3]Military '!$IC$5</f>
        <v>26</v>
      </c>
      <c r="D21" s="11">
        <f t="shared" si="0"/>
        <v>53</v>
      </c>
      <c r="E21" s="97">
        <f>'[1]Monthly Summary'!D21</f>
        <v>95</v>
      </c>
      <c r="F21" s="200">
        <f t="shared" si="1"/>
        <v>-0.44210526315789472</v>
      </c>
      <c r="G21" s="445">
        <f>+'[2]Monthly Summary'!G21+D21</f>
        <v>903</v>
      </c>
      <c r="H21" s="445">
        <f>+'[1]Monthly Summary'!G21</f>
        <v>1184</v>
      </c>
      <c r="I21" s="203">
        <f t="shared" si="2"/>
        <v>-0.23733108108108109</v>
      </c>
      <c r="M21" s="2"/>
    </row>
    <row r="22" spans="1:14" ht="15.75" thickBot="1" x14ac:dyDescent="0.3">
      <c r="A22" s="52" t="s">
        <v>28</v>
      </c>
      <c r="B22" s="212">
        <f>SUM(B16:B21)</f>
        <v>12233</v>
      </c>
      <c r="C22" s="212">
        <f>SUM(C16:C21)</f>
        <v>12204</v>
      </c>
      <c r="D22" s="212">
        <f>SUM(D16:D21)</f>
        <v>24437</v>
      </c>
      <c r="E22" s="212">
        <f>SUM(E16:E21)</f>
        <v>25895</v>
      </c>
      <c r="F22" s="209">
        <f t="shared" si="1"/>
        <v>-5.6304305850550303E-2</v>
      </c>
      <c r="G22" s="212">
        <f>SUM(G16:G21)</f>
        <v>310269</v>
      </c>
      <c r="H22" s="212">
        <f>SUM(H16:H21)</f>
        <v>303892</v>
      </c>
      <c r="I22" s="210">
        <f t="shared" si="2"/>
        <v>2.0984428678609505E-2</v>
      </c>
      <c r="N22" s="96"/>
    </row>
    <row r="23" spans="1:14" x14ac:dyDescent="0.2">
      <c r="B23" s="96"/>
      <c r="C23" s="96"/>
      <c r="L23" s="2"/>
      <c r="M23" s="2"/>
    </row>
    <row r="24" spans="1:14" ht="12.75" customHeight="1" x14ac:dyDescent="0.2">
      <c r="B24" s="10"/>
      <c r="C24" s="10"/>
      <c r="D24" s="456" t="s">
        <v>238</v>
      </c>
      <c r="E24" s="456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57"/>
      <c r="E25" s="458"/>
      <c r="F25" s="5" t="s">
        <v>2</v>
      </c>
      <c r="G25" s="5" t="s">
        <v>239</v>
      </c>
      <c r="H25" s="5" t="s">
        <v>219</v>
      </c>
      <c r="I25" s="5" t="s">
        <v>2</v>
      </c>
    </row>
    <row r="26" spans="1:14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4" x14ac:dyDescent="0.2">
      <c r="A27" s="46" t="s">
        <v>15</v>
      </c>
      <c r="B27" s="14">
        <f>(Cargo!S16+'Major Airline Stats'!K28+'Regional Major'!M25)*0.00045359237</f>
        <v>11212.198294178419</v>
      </c>
      <c r="C27" s="14">
        <f>(Cargo!S21+'Major Airline Stats'!K33+'Regional Major'!M30)*0.00045359237</f>
        <v>8633.0484915551806</v>
      </c>
      <c r="D27" s="14">
        <f>(SUM(B27:C27)+('Cargo Summary'!E17*0.00045359237))</f>
        <v>19845.246785733601</v>
      </c>
      <c r="E27" s="2">
        <f>'[1]Monthly Summary'!D27</f>
        <v>22114.185673698579</v>
      </c>
      <c r="F27" s="78">
        <f>(D27-E27)/E27</f>
        <v>-0.102601059855599</v>
      </c>
      <c r="G27" s="2">
        <f>+'[2]Monthly Summary'!G27+D27</f>
        <v>209317.91456127673</v>
      </c>
      <c r="H27" s="2">
        <f>+'[1]Monthly Summary'!G27</f>
        <v>212677.4628606537</v>
      </c>
      <c r="I27" s="80">
        <f>(G27-H27)/H27</f>
        <v>-1.5796447137316781E-2</v>
      </c>
    </row>
    <row r="28" spans="1:14" x14ac:dyDescent="0.2">
      <c r="A28" s="46" t="s">
        <v>16</v>
      </c>
      <c r="B28" s="14">
        <f>(Cargo!S17+'Major Airline Stats'!K29+'Regional Major'!M26)*0.00045359237</f>
        <v>646.42537270387993</v>
      </c>
      <c r="C28" s="14">
        <f>(Cargo!S22+'Major Airline Stats'!K34+'Regional Major'!M31)*0.00045359237</f>
        <v>731.15189149617993</v>
      </c>
      <c r="D28" s="14">
        <f>SUM(B28:C28)</f>
        <v>1377.5772642000597</v>
      </c>
      <c r="E28" s="2">
        <f>'[1]Monthly Summary'!D28</f>
        <v>1777.61625103601</v>
      </c>
      <c r="F28" s="78">
        <f>(D28-E28)/E28</f>
        <v>-0.22504237717381584</v>
      </c>
      <c r="G28" s="2">
        <f>+'[2]Monthly Summary'!G28+D28</f>
        <v>28111.950673910484</v>
      </c>
      <c r="H28" s="2">
        <f>+'[1]Monthly Summary'!G28</f>
        <v>22069.491856705368</v>
      </c>
      <c r="I28" s="80">
        <f>(G28-H28)/H28</f>
        <v>0.27379238527276001</v>
      </c>
    </row>
    <row r="29" spans="1:14" ht="15.75" thickBot="1" x14ac:dyDescent="0.3">
      <c r="A29" s="47" t="s">
        <v>62</v>
      </c>
      <c r="B29" s="39">
        <f>SUM(B27:B28)</f>
        <v>11858.623666882298</v>
      </c>
      <c r="C29" s="39">
        <f>SUM(C27:C28)</f>
        <v>9364.2003830513604</v>
      </c>
      <c r="D29" s="39">
        <f>SUM(D27:D28)</f>
        <v>21222.824049933661</v>
      </c>
      <c r="E29" s="39">
        <f>SUM(E27:E28)</f>
        <v>23891.801924734587</v>
      </c>
      <c r="F29" s="79">
        <f>(D29-E29)/E29</f>
        <v>-0.11171103306518712</v>
      </c>
      <c r="G29" s="39">
        <f>SUM(G27:G28)</f>
        <v>237429.86523518723</v>
      </c>
      <c r="H29" s="39">
        <f>SUM(H27:H28)</f>
        <v>234746.95471735907</v>
      </c>
      <c r="I29" s="81">
        <f>(G29-H29)/H29</f>
        <v>1.1428947059434483E-2</v>
      </c>
    </row>
    <row r="30" spans="1:14" ht="4.5" customHeight="1" thickBot="1" x14ac:dyDescent="0.3">
      <c r="A30" s="43"/>
      <c r="B30" s="308"/>
      <c r="C30" s="308"/>
      <c r="D30" s="308"/>
      <c r="E30" s="308"/>
      <c r="F30" s="213"/>
      <c r="G30" s="308"/>
      <c r="H30" s="308"/>
      <c r="I30" s="213"/>
    </row>
    <row r="31" spans="1:14" ht="13.5" thickBot="1" x14ac:dyDescent="0.25">
      <c r="B31" s="455" t="s">
        <v>144</v>
      </c>
      <c r="C31" s="454"/>
      <c r="D31" s="455" t="s">
        <v>151</v>
      </c>
      <c r="E31" s="454"/>
      <c r="F31" s="330"/>
      <c r="G31" s="331"/>
    </row>
    <row r="32" spans="1:14" x14ac:dyDescent="0.2">
      <c r="A32" s="312" t="s">
        <v>145</v>
      </c>
      <c r="B32" s="313">
        <f>C8-B33</f>
        <v>871681</v>
      </c>
      <c r="C32" s="314">
        <f>B32/C8</f>
        <v>0.71202504762184826</v>
      </c>
      <c r="D32" s="315">
        <f>+B32+'[2]Monthly Summary'!D32</f>
        <v>10456318</v>
      </c>
      <c r="E32" s="316">
        <f>+D32/D34</f>
        <v>0.68932860012272523</v>
      </c>
      <c r="G32" s="2"/>
      <c r="I32" s="329"/>
    </row>
    <row r="33" spans="1:14" ht="13.5" thickBot="1" x14ac:dyDescent="0.25">
      <c r="A33" s="317" t="s">
        <v>146</v>
      </c>
      <c r="B33" s="318">
        <f>'Major Airline Stats'!K51+'Regional Major'!M45</f>
        <v>352547</v>
      </c>
      <c r="C33" s="319">
        <f>+B33/C8</f>
        <v>0.28797495237815179</v>
      </c>
      <c r="D33" s="320">
        <f>+B33+'[2]Monthly Summary'!D33</f>
        <v>4712526</v>
      </c>
      <c r="E33" s="321">
        <f>+D33/D34</f>
        <v>0.31067139987727477</v>
      </c>
      <c r="I33" s="329"/>
    </row>
    <row r="34" spans="1:14" ht="13.5" thickBot="1" x14ac:dyDescent="0.25">
      <c r="B34" s="244"/>
      <c r="D34" s="322">
        <f>SUM(D32:D33)</f>
        <v>15168844</v>
      </c>
    </row>
    <row r="35" spans="1:14" ht="13.5" thickBot="1" x14ac:dyDescent="0.25">
      <c r="B35" s="453" t="s">
        <v>249</v>
      </c>
      <c r="C35" s="454"/>
      <c r="D35" s="455" t="s">
        <v>240</v>
      </c>
      <c r="E35" s="454"/>
    </row>
    <row r="36" spans="1:14" x14ac:dyDescent="0.2">
      <c r="A36" s="312" t="s">
        <v>145</v>
      </c>
      <c r="B36" s="313">
        <f>'[1]Monthly Summary'!$B$32</f>
        <v>790047</v>
      </c>
      <c r="C36" s="314">
        <f>+B36/B38</f>
        <v>0.69603065876704184</v>
      </c>
      <c r="D36" s="315">
        <f>+'[1]Monthly Summary'!D32</f>
        <v>8142616</v>
      </c>
      <c r="E36" s="316">
        <f>+D36/D38</f>
        <v>0.66757878588230968</v>
      </c>
    </row>
    <row r="37" spans="1:14" ht="13.5" thickBot="1" x14ac:dyDescent="0.25">
      <c r="A37" s="317" t="s">
        <v>146</v>
      </c>
      <c r="B37" s="318">
        <f>'[1]Monthly Summary'!$B$33</f>
        <v>345028</v>
      </c>
      <c r="C37" s="321">
        <f>+B37/B38</f>
        <v>0.30396934123295816</v>
      </c>
      <c r="D37" s="320">
        <f>+'[1]Monthly Summary'!D33</f>
        <v>4054620</v>
      </c>
      <c r="E37" s="321">
        <f>+D37/D38</f>
        <v>0.33242121411769027</v>
      </c>
      <c r="M37" s="1"/>
    </row>
    <row r="38" spans="1:14" x14ac:dyDescent="0.2">
      <c r="B38" s="334">
        <f>+SUM(B36:B37)</f>
        <v>1135075</v>
      </c>
      <c r="D38" s="322">
        <f>SUM(D36:D37)</f>
        <v>12197236</v>
      </c>
    </row>
    <row r="39" spans="1:14" x14ac:dyDescent="0.2">
      <c r="A39" s="326" t="s">
        <v>147</v>
      </c>
    </row>
    <row r="40" spans="1:14" x14ac:dyDescent="0.2">
      <c r="A40" s="171" t="s">
        <v>149</v>
      </c>
      <c r="I40" s="2"/>
    </row>
    <row r="41" spans="1:14" x14ac:dyDescent="0.2">
      <c r="N41" s="327"/>
    </row>
    <row r="42" spans="1:14" x14ac:dyDescent="0.2">
      <c r="G42" s="2"/>
      <c r="N42" s="327"/>
    </row>
    <row r="43" spans="1:14" x14ac:dyDescent="0.2">
      <c r="B43" s="244"/>
      <c r="J43" s="2"/>
      <c r="N43" s="327"/>
    </row>
    <row r="44" spans="1:14" x14ac:dyDescent="0.2">
      <c r="B44" s="244"/>
      <c r="N44" s="327"/>
    </row>
    <row r="45" spans="1:14" x14ac:dyDescent="0.2">
      <c r="J45" s="2"/>
      <c r="N45" s="327"/>
    </row>
    <row r="46" spans="1:14" x14ac:dyDescent="0.2">
      <c r="B46" s="2"/>
      <c r="F46" s="244"/>
    </row>
    <row r="47" spans="1:14" x14ac:dyDescent="0.2">
      <c r="N47" s="327"/>
    </row>
    <row r="51" spans="12:12" x14ac:dyDescent="0.2">
      <c r="L51" s="32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E4:E13 B15:I22 B26:I30">
    <cfRule type="expression" dxfId="3" priority="25" stopIfTrue="1">
      <formula>"*.*"</formula>
    </cfRule>
  </conditionalFormatting>
  <conditionalFormatting sqref="B4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topLeftCell="A4" zoomScaleNormal="100" zoomScaleSheetLayoutView="100" workbookViewId="0">
      <selection activeCell="M43" sqref="M4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39">
        <v>44896</v>
      </c>
      <c r="B1" s="349" t="s">
        <v>18</v>
      </c>
      <c r="C1" s="348" t="s">
        <v>195</v>
      </c>
      <c r="D1" s="397" t="s">
        <v>157</v>
      </c>
      <c r="E1" s="348" t="s">
        <v>163</v>
      </c>
      <c r="F1" s="348" t="s">
        <v>162</v>
      </c>
      <c r="G1" s="348" t="s">
        <v>49</v>
      </c>
      <c r="H1" s="348" t="s">
        <v>113</v>
      </c>
      <c r="I1" s="348" t="s">
        <v>194</v>
      </c>
      <c r="J1" s="348" t="s">
        <v>191</v>
      </c>
      <c r="K1" s="348" t="s">
        <v>196</v>
      </c>
      <c r="L1" s="348" t="s">
        <v>161</v>
      </c>
      <c r="M1" s="348" t="s">
        <v>203</v>
      </c>
      <c r="N1" s="348" t="s">
        <v>156</v>
      </c>
      <c r="O1" s="348" t="s">
        <v>47</v>
      </c>
      <c r="P1" s="348" t="s">
        <v>139</v>
      </c>
      <c r="Q1" s="348" t="s">
        <v>21</v>
      </c>
    </row>
    <row r="2" spans="1:17" ht="15" x14ac:dyDescent="0.25">
      <c r="A2" s="486" t="s">
        <v>140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8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[3]Delta!$IC$32</f>
        <v>57665</v>
      </c>
      <c r="C4" s="13">
        <f>'[3]Atlantic Southeast'!$IC$32</f>
        <v>0</v>
      </c>
      <c r="D4" s="13">
        <f>[3]Pinnacle!$IC$32</f>
        <v>0</v>
      </c>
      <c r="E4" s="13">
        <f>'[3]Sky West'!$IC$32</f>
        <v>5514</v>
      </c>
      <c r="F4" s="13">
        <f>'[3]Go Jet'!$IC$32</f>
        <v>0</v>
      </c>
      <c r="G4" s="13">
        <f>'[3]Sun Country'!$IC$32</f>
        <v>17342</v>
      </c>
      <c r="H4" s="13">
        <f>[3]Icelandair!$IC$32</f>
        <v>1017</v>
      </c>
      <c r="I4" s="13">
        <f>[3]KLM!$IC$32</f>
        <v>3880</v>
      </c>
      <c r="J4" s="13">
        <f>'[3]Air Georgian'!$IC$32</f>
        <v>0</v>
      </c>
      <c r="K4" s="13">
        <f>'[3]Sky Regional'!$IC$32</f>
        <v>0</v>
      </c>
      <c r="L4" s="13">
        <f>[3]Condor!$IC$32</f>
        <v>0</v>
      </c>
      <c r="M4" s="13">
        <f>'[3]Aer Lingus'!$IC$32</f>
        <v>0</v>
      </c>
      <c r="N4" s="13">
        <f>'[3]Air France'!$IC$32</f>
        <v>0</v>
      </c>
      <c r="O4" s="13">
        <f>[3]Frontier!$IC$32</f>
        <v>0</v>
      </c>
      <c r="P4" s="13">
        <f>'[3]Charter Misc'!$IC$32+[3]Ryan!$IC$32+[3]Omni!$IC$32</f>
        <v>0</v>
      </c>
      <c r="Q4" s="219">
        <f>SUM(B4:P4)</f>
        <v>85418</v>
      </c>
    </row>
    <row r="5" spans="1:17" x14ac:dyDescent="0.2">
      <c r="A5" s="46" t="s">
        <v>31</v>
      </c>
      <c r="B5" s="7">
        <f>[3]Delta!$IC$33</f>
        <v>79968</v>
      </c>
      <c r="C5" s="7">
        <f>'[3]Atlantic Southeast'!$IC$33</f>
        <v>0</v>
      </c>
      <c r="D5" s="7">
        <f>[3]Pinnacle!$IC$33</f>
        <v>0</v>
      </c>
      <c r="E5" s="7">
        <f>'[3]Sky West'!$IC$33</f>
        <v>4886</v>
      </c>
      <c r="F5" s="7">
        <f>'[3]Go Jet'!$IC$33</f>
        <v>0</v>
      </c>
      <c r="G5" s="7">
        <f>'[3]Sun Country'!$IC$33</f>
        <v>25855</v>
      </c>
      <c r="H5" s="7">
        <f>[3]Icelandair!$IC$33</f>
        <v>932</v>
      </c>
      <c r="I5" s="7">
        <f>[3]KLM!$IC$33</f>
        <v>4202</v>
      </c>
      <c r="J5" s="7">
        <f>'[3]Air Georgian'!$IC$33</f>
        <v>0</v>
      </c>
      <c r="K5" s="7">
        <f>'[3]Sky Regional'!$IC$33</f>
        <v>0</v>
      </c>
      <c r="L5" s="7">
        <f>[3]Condor!$IC$33</f>
        <v>0</v>
      </c>
      <c r="M5" s="7">
        <f>'[3]Aer Lingus'!$IC$33</f>
        <v>0</v>
      </c>
      <c r="N5" s="7">
        <f>'[3]Air France'!$IC$33</f>
        <v>0</v>
      </c>
      <c r="O5" s="7">
        <f>[3]Frontier!$IC$33</f>
        <v>0</v>
      </c>
      <c r="P5" s="7">
        <f>'[3]Charter Misc'!$IC$33++[3]Ryan!$IC$33+[3]Omni!$IC$33</f>
        <v>0</v>
      </c>
      <c r="Q5" s="220">
        <f>SUM(B5:P5)</f>
        <v>115843</v>
      </c>
    </row>
    <row r="6" spans="1:17" ht="15" x14ac:dyDescent="0.25">
      <c r="A6" s="44" t="s">
        <v>7</v>
      </c>
      <c r="B6" s="25">
        <f t="shared" ref="B6:P6" si="0">SUM(B4:B5)</f>
        <v>137633</v>
      </c>
      <c r="C6" s="25">
        <f t="shared" si="0"/>
        <v>0</v>
      </c>
      <c r="D6" s="25">
        <f t="shared" si="0"/>
        <v>0</v>
      </c>
      <c r="E6" s="25">
        <f t="shared" si="0"/>
        <v>10400</v>
      </c>
      <c r="F6" s="25">
        <f t="shared" ref="F6" si="1">SUM(F4:F5)</f>
        <v>0</v>
      </c>
      <c r="G6" s="25">
        <f t="shared" si="0"/>
        <v>43197</v>
      </c>
      <c r="H6" s="25">
        <f t="shared" si="0"/>
        <v>1949</v>
      </c>
      <c r="I6" s="25">
        <f t="shared" ref="I6" si="2">SUM(I4:I5)</f>
        <v>8082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0</v>
      </c>
      <c r="P6" s="25">
        <f t="shared" si="0"/>
        <v>0</v>
      </c>
      <c r="Q6" s="221">
        <f>SUM(B6:P6)</f>
        <v>201261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[3]Delta!$IC$37</f>
        <v>1891</v>
      </c>
      <c r="C9" s="13">
        <f>'[3]Atlantic Southeast'!$IC$37</f>
        <v>0</v>
      </c>
      <c r="D9" s="13">
        <f>[3]Pinnacle!$IC$37</f>
        <v>0</v>
      </c>
      <c r="E9" s="13">
        <f>'[3]Sky West'!$IC$37</f>
        <v>98</v>
      </c>
      <c r="F9" s="13">
        <f>'[3]Go Jet'!$IC$37</f>
        <v>0</v>
      </c>
      <c r="G9" s="13">
        <f>'[3]Sun Country'!$IC$37</f>
        <v>382</v>
      </c>
      <c r="H9" s="13">
        <f>[3]Icelandair!$IC$37</f>
        <v>13</v>
      </c>
      <c r="I9" s="13">
        <f>[3]KLM!$IC$37</f>
        <v>0</v>
      </c>
      <c r="J9" s="13">
        <f>'[3]Air Georgian'!$IC$37</f>
        <v>0</v>
      </c>
      <c r="K9" s="13">
        <f>'[3]Sky Regional'!$IC$37</f>
        <v>0</v>
      </c>
      <c r="L9" s="13">
        <f>[3]Condor!$IC$37</f>
        <v>0</v>
      </c>
      <c r="M9" s="13">
        <f>'[3]Aer Lingus'!$IC$37</f>
        <v>0</v>
      </c>
      <c r="N9" s="13">
        <f>'[3]Air France'!$IC$37</f>
        <v>0</v>
      </c>
      <c r="O9" s="13">
        <f>[3]Frontier!$IC$37</f>
        <v>0</v>
      </c>
      <c r="P9" s="13">
        <f>'[3]Charter Misc'!$IC$37+[3]Ryan!$IC$37+[3]Omni!$IC$37</f>
        <v>0</v>
      </c>
      <c r="Q9" s="219">
        <f>SUM(B9:P9)</f>
        <v>2384</v>
      </c>
    </row>
    <row r="10" spans="1:17" x14ac:dyDescent="0.2">
      <c r="A10" s="46" t="s">
        <v>33</v>
      </c>
      <c r="B10" s="7">
        <f>[3]Delta!$IC$38</f>
        <v>2251</v>
      </c>
      <c r="C10" s="7">
        <f>'[3]Atlantic Southeast'!$IC$38</f>
        <v>0</v>
      </c>
      <c r="D10" s="7">
        <f>[3]Pinnacle!$IC$38</f>
        <v>0</v>
      </c>
      <c r="E10" s="7">
        <f>'[3]Sky West'!$IC$38</f>
        <v>100</v>
      </c>
      <c r="F10" s="7">
        <f>'[3]Go Jet'!$IC$38</f>
        <v>0</v>
      </c>
      <c r="G10" s="7">
        <f>'[3]Sun Country'!$IC$38</f>
        <v>416</v>
      </c>
      <c r="H10" s="7">
        <f>[3]Icelandair!$IC$38</f>
        <v>21</v>
      </c>
      <c r="I10" s="7">
        <f>[3]KLM!$IC$38</f>
        <v>0</v>
      </c>
      <c r="J10" s="7">
        <f>'[3]Air Georgian'!$IC$38</f>
        <v>0</v>
      </c>
      <c r="K10" s="7">
        <f>'[3]Sky Regional'!$IC$38</f>
        <v>0</v>
      </c>
      <c r="L10" s="7">
        <f>[3]Condor!$IC$38</f>
        <v>0</v>
      </c>
      <c r="M10" s="7">
        <f>'[3]Aer Lingus'!$IC$38</f>
        <v>0</v>
      </c>
      <c r="N10" s="7">
        <f>'[3]Air France'!$IC$38</f>
        <v>0</v>
      </c>
      <c r="O10" s="7">
        <f>[3]Frontier!$IC$38</f>
        <v>0</v>
      </c>
      <c r="P10" s="7">
        <f>'[3]Charter Misc'!$IC$38+[3]Ryan!$IC$38+[3]Omni!$IC$38</f>
        <v>0</v>
      </c>
      <c r="Q10" s="220">
        <f>SUM(B10:P10)</f>
        <v>2788</v>
      </c>
    </row>
    <row r="11" spans="1:17" ht="15.75" thickBot="1" x14ac:dyDescent="0.3">
      <c r="A11" s="47" t="s">
        <v>34</v>
      </c>
      <c r="B11" s="222">
        <f t="shared" ref="B11:G11" si="5">SUM(B9:B10)</f>
        <v>4142</v>
      </c>
      <c r="C11" s="222">
        <f t="shared" si="5"/>
        <v>0</v>
      </c>
      <c r="D11" s="222">
        <f t="shared" si="5"/>
        <v>0</v>
      </c>
      <c r="E11" s="222">
        <f t="shared" si="5"/>
        <v>198</v>
      </c>
      <c r="F11" s="222">
        <f t="shared" ref="F11" si="6">SUM(F9:F10)</f>
        <v>0</v>
      </c>
      <c r="G11" s="222">
        <f t="shared" si="5"/>
        <v>798</v>
      </c>
      <c r="H11" s="222">
        <f t="shared" ref="H11:P11" si="7">SUM(H9:H10)</f>
        <v>34</v>
      </c>
      <c r="I11" s="222">
        <f t="shared" ref="I11" si="8">SUM(I9:I10)</f>
        <v>0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0</v>
      </c>
      <c r="P11" s="222">
        <f t="shared" si="7"/>
        <v>0</v>
      </c>
      <c r="Q11" s="223">
        <f>SUM(B11:P11)</f>
        <v>5172</v>
      </c>
    </row>
    <row r="12" spans="1:17" ht="15" x14ac:dyDescent="0.25">
      <c r="A12" s="306"/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3"/>
    </row>
    <row r="13" spans="1:17" ht="39" thickBot="1" x14ac:dyDescent="0.25">
      <c r="B13" s="349" t="s">
        <v>18</v>
      </c>
      <c r="C13" s="348" t="s">
        <v>195</v>
      </c>
      <c r="D13" s="397" t="s">
        <v>157</v>
      </c>
      <c r="E13" s="348" t="s">
        <v>163</v>
      </c>
      <c r="F13" s="348" t="s">
        <v>162</v>
      </c>
      <c r="G13" s="348" t="s">
        <v>49</v>
      </c>
      <c r="H13" s="348" t="s">
        <v>113</v>
      </c>
      <c r="I13" s="348" t="s">
        <v>194</v>
      </c>
      <c r="J13" s="348" t="s">
        <v>191</v>
      </c>
      <c r="K13" s="348" t="s">
        <v>196</v>
      </c>
      <c r="L13" s="348" t="s">
        <v>161</v>
      </c>
      <c r="M13" s="348" t="s">
        <v>203</v>
      </c>
      <c r="N13" s="348" t="s">
        <v>156</v>
      </c>
      <c r="O13" s="348" t="s">
        <v>47</v>
      </c>
      <c r="P13" s="348" t="s">
        <v>139</v>
      </c>
      <c r="Q13" s="348" t="s">
        <v>21</v>
      </c>
    </row>
    <row r="14" spans="1:17" ht="15" x14ac:dyDescent="0.25">
      <c r="A14" s="489" t="s">
        <v>141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1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SUM([3]Delta!$HR$32:$IC$32)</f>
        <v>670618</v>
      </c>
      <c r="C16" s="13">
        <f>SUM('[3]Atlantic Southeast'!$HR$32:$IC$32)</f>
        <v>0</v>
      </c>
      <c r="D16" s="13">
        <f>SUM([3]Pinnacle!$HR$32:$IC$32)</f>
        <v>13442</v>
      </c>
      <c r="E16" s="13">
        <f>SUM('[3]Sky West'!$HR$32:$IC$32)</f>
        <v>41004</v>
      </c>
      <c r="F16" s="13">
        <f>SUM('[3]Go Jet'!$HR$32:$IC$32)</f>
        <v>0</v>
      </c>
      <c r="G16" s="13">
        <f>SUM('[3]Sun Country'!$HR$32:$IC$32)</f>
        <v>139148</v>
      </c>
      <c r="H16" s="13">
        <f>SUM([3]Icelandair!$HR$32:$IC$32)</f>
        <v>28023</v>
      </c>
      <c r="I16" s="13">
        <f>SUM([3]KLM!$HR$32:$IC$32)</f>
        <v>46317</v>
      </c>
      <c r="J16" s="13">
        <f>SUM('[3]Air Georgian'!$HR$32:$IC$32)</f>
        <v>0</v>
      </c>
      <c r="K16" s="13">
        <f>SUM('[3]Sky Regional'!$HR$32:$IC$32)</f>
        <v>0</v>
      </c>
      <c r="L16" s="13">
        <f>SUM([3]Condor!$HR$32:$IC$32)</f>
        <v>10361</v>
      </c>
      <c r="M16" s="13">
        <f>SUM('[3]Aer Lingus'!$HR$32:$IC$32)</f>
        <v>0</v>
      </c>
      <c r="N16" s="13">
        <f>SUM('[3]Air France'!$HR$32:$IC$32)</f>
        <v>25454</v>
      </c>
      <c r="O16" s="13">
        <f>SUM([3]Frontier!$HR$32:$IC$32)</f>
        <v>9678</v>
      </c>
      <c r="P16" s="13">
        <f>SUM('[3]Charter Misc'!$HR$32:$IC$32)+SUM([3]Ryan!$HR$32:$IC$32)+SUM([3]Omni!$HR$32:$IC$32)</f>
        <v>263</v>
      </c>
      <c r="Q16" s="219">
        <f>SUM(B16:P16)</f>
        <v>984308</v>
      </c>
    </row>
    <row r="17" spans="1:20" x14ac:dyDescent="0.2">
      <c r="A17" s="46" t="s">
        <v>31</v>
      </c>
      <c r="B17" s="7">
        <f>SUM([3]Delta!$HR$33:$IC$33)</f>
        <v>709351</v>
      </c>
      <c r="C17" s="7">
        <f>SUM('[3]Atlantic Southeast'!$HR$33:$IC$33)</f>
        <v>0</v>
      </c>
      <c r="D17" s="7">
        <f>SUM([3]Pinnacle!$HR$33:$IC$33)</f>
        <v>12326</v>
      </c>
      <c r="E17" s="7">
        <f>SUM('[3]Sky West'!$HR$33:$IC$33)</f>
        <v>40687</v>
      </c>
      <c r="F17" s="7">
        <f>SUM('[3]Go Jet'!$HR$33:$IC$33)</f>
        <v>0</v>
      </c>
      <c r="G17" s="7">
        <f>SUM('[3]Sun Country'!$HR$33:$IC$33)</f>
        <v>142614</v>
      </c>
      <c r="H17" s="7">
        <f>SUM([3]Icelandair!$HR$33:$IC$33)</f>
        <v>28047</v>
      </c>
      <c r="I17" s="7">
        <f>SUM([3]KLM!$HR$33:$IC$33)</f>
        <v>40372</v>
      </c>
      <c r="J17" s="7">
        <f>SUM('[3]Air Georgian'!$HR$33:$IC$33)</f>
        <v>0</v>
      </c>
      <c r="K17" s="7">
        <f>SUM('[3]Sky Regional'!$HR$33:$IC$33)</f>
        <v>0</v>
      </c>
      <c r="L17" s="7">
        <f>SUM([3]Condor!$HR$33:$IC$33)</f>
        <v>9033</v>
      </c>
      <c r="M17" s="7">
        <f>SUM('[3]Aer Lingus'!$HR$33:$IC$33)</f>
        <v>0</v>
      </c>
      <c r="N17" s="7">
        <f>SUM('[3]Air France'!$HR$33:$IC$33)</f>
        <v>23751</v>
      </c>
      <c r="O17" s="7">
        <f>SUM([3]Frontier!$HR$33:$IC$33)</f>
        <v>11586</v>
      </c>
      <c r="P17" s="7">
        <f>SUM('[3]Charter Misc'!$HR$33:$IC$33)++SUM([3]Ryan!$HR$33:$IC$33)+SUM([3]Omni!$HR$33:$IC$33)</f>
        <v>395</v>
      </c>
      <c r="Q17" s="220">
        <f>SUM(B17:P17)</f>
        <v>1018162</v>
      </c>
    </row>
    <row r="18" spans="1:20" ht="15" x14ac:dyDescent="0.25">
      <c r="A18" s="44" t="s">
        <v>7</v>
      </c>
      <c r="B18" s="25">
        <f t="shared" ref="B18:P18" si="11">SUM(B16:B17)</f>
        <v>1379969</v>
      </c>
      <c r="C18" s="25">
        <f t="shared" si="11"/>
        <v>0</v>
      </c>
      <c r="D18" s="25">
        <f t="shared" si="11"/>
        <v>25768</v>
      </c>
      <c r="E18" s="25">
        <f t="shared" si="11"/>
        <v>81691</v>
      </c>
      <c r="F18" s="25">
        <f t="shared" ref="F18" si="12">SUM(F16:F17)</f>
        <v>0</v>
      </c>
      <c r="G18" s="25">
        <f t="shared" si="11"/>
        <v>281762</v>
      </c>
      <c r="H18" s="25">
        <f t="shared" si="11"/>
        <v>56070</v>
      </c>
      <c r="I18" s="25">
        <f t="shared" ref="I18" si="13">SUM(I16:I17)</f>
        <v>86689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19394</v>
      </c>
      <c r="M18" s="25">
        <f t="shared" si="15"/>
        <v>0</v>
      </c>
      <c r="N18" s="25">
        <f t="shared" si="11"/>
        <v>49205</v>
      </c>
      <c r="O18" s="25">
        <f t="shared" si="11"/>
        <v>21264</v>
      </c>
      <c r="P18" s="25">
        <f t="shared" si="11"/>
        <v>658</v>
      </c>
      <c r="Q18" s="221">
        <f>SUM(B18:P18)</f>
        <v>2002470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SUM([3]Delta!$HR$37:$IC$37)</f>
        <v>14897</v>
      </c>
      <c r="C21" s="13">
        <f>SUM('[3]Atlantic Southeast'!$HR$37:$IC$37)</f>
        <v>0</v>
      </c>
      <c r="D21" s="13">
        <f>SUM([3]Pinnacle!$HR$37:$IC$37)</f>
        <v>224</v>
      </c>
      <c r="E21" s="13">
        <f>SUM('[3]Sky West'!$HR$37:$IC$37)</f>
        <v>701</v>
      </c>
      <c r="F21" s="13">
        <f>SUM('[3]Go Jet'!$HR$37:$IC$37)</f>
        <v>0</v>
      </c>
      <c r="G21" s="13">
        <f>SUM('[3]Sun Country'!$HR$37:$IC$37)</f>
        <v>2010</v>
      </c>
      <c r="H21" s="13">
        <f>SUM([3]Icelandair!$HR$37:$IC$37)</f>
        <v>177</v>
      </c>
      <c r="I21" s="13">
        <f>SUM([3]KLM!$HR$37:$IC$37)</f>
        <v>188</v>
      </c>
      <c r="J21" s="13">
        <f>SUM('[3]Air Georgian'!$HR$37:$IC$37)</f>
        <v>0</v>
      </c>
      <c r="K21" s="13">
        <f>SUM('[3]Sky Regional'!$HR$37:$IC$37)</f>
        <v>0</v>
      </c>
      <c r="L21" s="13">
        <f>SUM([3]Condor!$HR$37:$IC$37)</f>
        <v>24</v>
      </c>
      <c r="M21" s="13">
        <f>SUM('[3]Aer Lingus'!$HR$37:$IC$37)</f>
        <v>0</v>
      </c>
      <c r="N21" s="13">
        <f>SUM('[3]Air France'!$HR$37:$IC$37)</f>
        <v>186</v>
      </c>
      <c r="O21" s="13">
        <f>SUM([3]Frontier!$HR$37:$IC$37)</f>
        <v>21</v>
      </c>
      <c r="P21" s="13">
        <f>SUM('[3]Charter Misc'!$HR$37:$IC$37)++SUM([3]Ryan!$HR$37:$IC$37)+SUM([3]Omni!$HR$37:$IC$37)</f>
        <v>0</v>
      </c>
      <c r="Q21" s="219">
        <f>SUM(B21:P21)</f>
        <v>18428</v>
      </c>
    </row>
    <row r="22" spans="1:20" x14ac:dyDescent="0.2">
      <c r="A22" s="46" t="s">
        <v>33</v>
      </c>
      <c r="B22" s="7">
        <f>SUM([3]Delta!$HR$38:$IC$38)</f>
        <v>15628</v>
      </c>
      <c r="C22" s="7">
        <f>SUM('[3]Atlantic Southeast'!$HR$38:$IC$38)</f>
        <v>0</v>
      </c>
      <c r="D22" s="7">
        <f>SUM([3]Pinnacle!$HR$38:$IC$38)</f>
        <v>213</v>
      </c>
      <c r="E22" s="7">
        <f>SUM('[3]Sky West'!$HR$38:$IC$38)</f>
        <v>729</v>
      </c>
      <c r="F22" s="7">
        <f>SUM('[3]Go Jet'!$HR$38:$IC$38)</f>
        <v>0</v>
      </c>
      <c r="G22" s="7">
        <f>SUM('[3]Sun Country'!$HR$38:$IC$38)</f>
        <v>2049</v>
      </c>
      <c r="H22" s="7">
        <f>SUM([3]Icelandair!$HR$38:$IC$38)</f>
        <v>211</v>
      </c>
      <c r="I22" s="7">
        <f>SUM([3]KLM!$HR$38:$IC$38)</f>
        <v>27</v>
      </c>
      <c r="J22" s="7">
        <f>SUM('[3]Air Georgian'!$HR$38:$IC$38)</f>
        <v>0</v>
      </c>
      <c r="K22" s="7">
        <f>SUM('[3]Sky Regional'!$HR$38:$IC$38)</f>
        <v>0</v>
      </c>
      <c r="L22" s="7">
        <f>SUM([3]Condor!$HR$38:$IC$38)</f>
        <v>28</v>
      </c>
      <c r="M22" s="7">
        <f>SUM('[3]Aer Lingus'!$HR$38:$IC$38)</f>
        <v>0</v>
      </c>
      <c r="N22" s="7">
        <f>SUM('[3]Air France'!$HR$38:$IC$38)</f>
        <v>15</v>
      </c>
      <c r="O22" s="7">
        <f>SUM([3]Frontier!$HR$38:$IC$38)</f>
        <v>11</v>
      </c>
      <c r="P22" s="7">
        <f>SUM('[3]Charter Misc'!$HR$38:$IC$38)++SUM([3]Ryan!$HR$38:$IC$38)+SUM([3]Omni!$HR$38:$IC$38)</f>
        <v>0</v>
      </c>
      <c r="Q22" s="220">
        <f>SUM(B22:P22)</f>
        <v>18911</v>
      </c>
    </row>
    <row r="23" spans="1:20" ht="15.75" thickBot="1" x14ac:dyDescent="0.3">
      <c r="A23" s="47" t="s">
        <v>34</v>
      </c>
      <c r="B23" s="222">
        <f t="shared" ref="B23:P23" si="16">SUM(B21:B22)</f>
        <v>30525</v>
      </c>
      <c r="C23" s="222">
        <f t="shared" si="16"/>
        <v>0</v>
      </c>
      <c r="D23" s="222">
        <f t="shared" si="16"/>
        <v>437</v>
      </c>
      <c r="E23" s="222">
        <f t="shared" si="16"/>
        <v>1430</v>
      </c>
      <c r="F23" s="222">
        <f t="shared" ref="F23" si="17">SUM(F21:F22)</f>
        <v>0</v>
      </c>
      <c r="G23" s="222">
        <f t="shared" si="16"/>
        <v>4059</v>
      </c>
      <c r="H23" s="222">
        <f t="shared" si="16"/>
        <v>388</v>
      </c>
      <c r="I23" s="222">
        <f t="shared" ref="I23" si="18">SUM(I21:I22)</f>
        <v>215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52</v>
      </c>
      <c r="M23" s="222">
        <f t="shared" si="20"/>
        <v>0</v>
      </c>
      <c r="N23" s="222">
        <f t="shared" si="16"/>
        <v>201</v>
      </c>
      <c r="O23" s="222">
        <f t="shared" si="16"/>
        <v>32</v>
      </c>
      <c r="P23" s="222">
        <f t="shared" si="16"/>
        <v>0</v>
      </c>
      <c r="Q23" s="223">
        <f>SUM(B23:P23)</f>
        <v>37339</v>
      </c>
    </row>
    <row r="25" spans="1:20" ht="39" thickBot="1" x14ac:dyDescent="0.25">
      <c r="B25" s="349" t="s">
        <v>18</v>
      </c>
      <c r="C25" s="348" t="s">
        <v>195</v>
      </c>
      <c r="D25" s="397" t="s">
        <v>157</v>
      </c>
      <c r="E25" s="348" t="s">
        <v>163</v>
      </c>
      <c r="F25" s="348" t="s">
        <v>162</v>
      </c>
      <c r="G25" s="348" t="s">
        <v>49</v>
      </c>
      <c r="H25" s="348" t="s">
        <v>113</v>
      </c>
      <c r="I25" s="348" t="s">
        <v>194</v>
      </c>
      <c r="J25" s="348" t="s">
        <v>191</v>
      </c>
      <c r="K25" s="348" t="s">
        <v>196</v>
      </c>
      <c r="L25" s="348" t="s">
        <v>161</v>
      </c>
      <c r="M25" s="348" t="s">
        <v>203</v>
      </c>
      <c r="N25" s="348" t="s">
        <v>156</v>
      </c>
      <c r="O25" s="348" t="s">
        <v>47</v>
      </c>
      <c r="P25" s="348" t="s">
        <v>139</v>
      </c>
      <c r="Q25" s="348" t="s">
        <v>21</v>
      </c>
    </row>
    <row r="26" spans="1:20" ht="15" x14ac:dyDescent="0.25">
      <c r="A26" s="492" t="s">
        <v>142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4"/>
    </row>
    <row r="27" spans="1:20" x14ac:dyDescent="0.2">
      <c r="A27" s="46" t="s">
        <v>22</v>
      </c>
      <c r="B27" s="13">
        <f>[3]Delta!$IC$15</f>
        <v>448</v>
      </c>
      <c r="C27" s="13">
        <f>'[3]Atlantic Southeast'!$IC$15</f>
        <v>0</v>
      </c>
      <c r="D27" s="13">
        <f>[3]Pinnacle!$IC$15</f>
        <v>0</v>
      </c>
      <c r="E27" s="13">
        <f>'[3]Sky West'!$IC$15</f>
        <v>93</v>
      </c>
      <c r="F27" s="13">
        <f>'[3]Go Jet'!$IC$15</f>
        <v>0</v>
      </c>
      <c r="G27" s="13">
        <f>'[3]Sun Country'!$IC$15</f>
        <v>156</v>
      </c>
      <c r="H27" s="13">
        <f>[3]Icelandair!$IC$15</f>
        <v>10</v>
      </c>
      <c r="I27" s="13">
        <f>[3]KLM!$IC$15</f>
        <v>17</v>
      </c>
      <c r="J27" s="13">
        <f>'[3]Air Georgian'!$IC$15</f>
        <v>0</v>
      </c>
      <c r="K27" s="13">
        <f>'[3]Sky Regional'!$IC$15</f>
        <v>0</v>
      </c>
      <c r="L27" s="13">
        <f>[3]Condor!$IC$15</f>
        <v>0</v>
      </c>
      <c r="M27" s="13">
        <f>'[3]Aer Lingus'!$IC$15</f>
        <v>0</v>
      </c>
      <c r="N27" s="13">
        <f>'[3]Air France'!$IC$15</f>
        <v>0</v>
      </c>
      <c r="O27" s="13">
        <f>[3]Frontier!$IC$15</f>
        <v>0</v>
      </c>
      <c r="P27" s="13">
        <f>'[3]Charter Misc'!$IC$15+[3]Ryan!$IC$15+[3]Omni!$IC$15</f>
        <v>0</v>
      </c>
      <c r="Q27" s="219">
        <f>SUM(B27:P27)</f>
        <v>724</v>
      </c>
    </row>
    <row r="28" spans="1:20" x14ac:dyDescent="0.2">
      <c r="A28" s="46" t="s">
        <v>23</v>
      </c>
      <c r="B28" s="13">
        <f>[3]Delta!$IC$16</f>
        <v>448</v>
      </c>
      <c r="C28" s="13">
        <f>'[3]Atlantic Southeast'!$IC$16</f>
        <v>0</v>
      </c>
      <c r="D28" s="13">
        <f>[3]Pinnacle!$IC$16</f>
        <v>0</v>
      </c>
      <c r="E28" s="13">
        <f>'[3]Sky West'!$IC$16</f>
        <v>92</v>
      </c>
      <c r="F28" s="13">
        <f>'[3]Go Jet'!$IC$16</f>
        <v>0</v>
      </c>
      <c r="G28" s="13">
        <f>'[3]Sun Country'!$IC$16</f>
        <v>162</v>
      </c>
      <c r="H28" s="13">
        <f>[3]Icelandair!$IC$16</f>
        <v>10</v>
      </c>
      <c r="I28" s="13">
        <f>[3]KLM!$IC$16</f>
        <v>17</v>
      </c>
      <c r="J28" s="13">
        <f>'[3]Air Georgian'!$IC$16</f>
        <v>0</v>
      </c>
      <c r="K28" s="13">
        <f>'[3]Sky Regional'!$IC$16</f>
        <v>0</v>
      </c>
      <c r="L28" s="13">
        <f>[3]Condor!$IC$16</f>
        <v>0</v>
      </c>
      <c r="M28" s="13">
        <f>'[3]Aer Lingus'!$IC$16</f>
        <v>0</v>
      </c>
      <c r="N28" s="13">
        <f>'[3]Air France'!$IC$16</f>
        <v>0</v>
      </c>
      <c r="O28" s="13">
        <f>[3]Frontier!$IC$16</f>
        <v>0</v>
      </c>
      <c r="P28" s="13">
        <f>'[3]Charter Misc'!$IC$16+[3]Ryan!$IC$16+[3]Omni!$IC$16</f>
        <v>0</v>
      </c>
      <c r="Q28" s="219">
        <f>SUM(B28:P28)</f>
        <v>729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4">
        <f t="shared" ref="B30:J30" si="21">SUM(B27:B28)</f>
        <v>896</v>
      </c>
      <c r="C30" s="304">
        <f t="shared" si="21"/>
        <v>0</v>
      </c>
      <c r="D30" s="304">
        <f t="shared" si="21"/>
        <v>0</v>
      </c>
      <c r="E30" s="304">
        <f>SUM(E27:E28)</f>
        <v>185</v>
      </c>
      <c r="F30" s="304">
        <f>SUM(F27:F28)</f>
        <v>0</v>
      </c>
      <c r="G30" s="304">
        <f t="shared" si="21"/>
        <v>318</v>
      </c>
      <c r="H30" s="304">
        <f t="shared" si="21"/>
        <v>20</v>
      </c>
      <c r="I30" s="304">
        <f t="shared" ref="I30" si="22">SUM(I27:I28)</f>
        <v>34</v>
      </c>
      <c r="J30" s="304">
        <f t="shared" si="21"/>
        <v>0</v>
      </c>
      <c r="K30" s="304">
        <f t="shared" ref="K30" si="23">SUM(K27:K28)</f>
        <v>0</v>
      </c>
      <c r="L30" s="304">
        <f>SUM(L27:L28)</f>
        <v>0</v>
      </c>
      <c r="M30" s="304">
        <f>SUM(M27:M28)</f>
        <v>0</v>
      </c>
      <c r="N30" s="304">
        <f>SUM(N27:N28)</f>
        <v>0</v>
      </c>
      <c r="O30" s="304">
        <f t="shared" ref="O30" si="24">SUM(O27:O28)</f>
        <v>0</v>
      </c>
      <c r="P30" s="304">
        <f>SUM(P27:P28)</f>
        <v>0</v>
      </c>
      <c r="Q30" s="305">
        <f>SUM(B30:P30)</f>
        <v>1453</v>
      </c>
    </row>
    <row r="31" spans="1:20" ht="15" x14ac:dyDescent="0.25">
      <c r="A31" s="306"/>
    </row>
    <row r="32" spans="1:20" ht="39" thickBot="1" x14ac:dyDescent="0.25">
      <c r="B32" s="349" t="s">
        <v>18</v>
      </c>
      <c r="C32" s="348" t="s">
        <v>195</v>
      </c>
      <c r="D32" s="397" t="s">
        <v>157</v>
      </c>
      <c r="E32" s="348" t="s">
        <v>163</v>
      </c>
      <c r="F32" s="348" t="s">
        <v>162</v>
      </c>
      <c r="G32" s="348" t="s">
        <v>49</v>
      </c>
      <c r="H32" s="348" t="s">
        <v>113</v>
      </c>
      <c r="I32" s="348" t="s">
        <v>194</v>
      </c>
      <c r="J32" s="348" t="s">
        <v>191</v>
      </c>
      <c r="K32" s="348" t="s">
        <v>196</v>
      </c>
      <c r="L32" s="348" t="s">
        <v>161</v>
      </c>
      <c r="M32" s="348" t="s">
        <v>203</v>
      </c>
      <c r="N32" s="348" t="s">
        <v>156</v>
      </c>
      <c r="O32" s="348" t="s">
        <v>47</v>
      </c>
      <c r="P32" s="348" t="s">
        <v>139</v>
      </c>
      <c r="Q32" s="348" t="s">
        <v>21</v>
      </c>
    </row>
    <row r="33" spans="1:17" ht="15" x14ac:dyDescent="0.25">
      <c r="A33" s="495" t="s">
        <v>143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6"/>
      <c r="P33" s="496"/>
      <c r="Q33" s="497"/>
    </row>
    <row r="34" spans="1:17" x14ac:dyDescent="0.2">
      <c r="A34" s="46" t="s">
        <v>22</v>
      </c>
      <c r="B34" s="13">
        <f>SUM([3]Delta!$HR$15:$IC$15)</f>
        <v>4379</v>
      </c>
      <c r="C34" s="13">
        <f>SUM('[3]Atlantic Southeast'!$HR$15:$IC$15)</f>
        <v>0</v>
      </c>
      <c r="D34" s="13">
        <f>SUM([3]Pinnacle!$HR$15:$IC$15)</f>
        <v>245</v>
      </c>
      <c r="E34" s="13">
        <f>SUM('[3]Sky West'!$HR$15:$IC$15)</f>
        <v>675</v>
      </c>
      <c r="F34" s="13">
        <f>SUM('[3]Go Jet'!$HR$15:$IC$15)</f>
        <v>0</v>
      </c>
      <c r="G34" s="13">
        <f>SUM('[3]Sun Country'!$HR$15:$IC$15)</f>
        <v>1080</v>
      </c>
      <c r="H34" s="13">
        <f>SUM([3]Icelandair!$HR$15:$IC$15)</f>
        <v>198</v>
      </c>
      <c r="I34" s="13">
        <f>SUM([3]KLM!$HR$15:$IC$15)</f>
        <v>200</v>
      </c>
      <c r="J34" s="13">
        <f>SUM('[3]Air Georgian'!$HR$15:$IC$15)</f>
        <v>0</v>
      </c>
      <c r="K34" s="13">
        <f>SUM('[3]Sky Regional'!$HR$15:$IC$15)</f>
        <v>0</v>
      </c>
      <c r="L34" s="13">
        <f>SUM([3]Condor!$HR$15:$IC$15)</f>
        <v>49</v>
      </c>
      <c r="M34" s="13">
        <f>SUM('[3]Aer Lingus'!$HR$15:$IC$15)</f>
        <v>0</v>
      </c>
      <c r="N34" s="13">
        <f>SUM('[3]Air France'!$HR$15:$IC$15)</f>
        <v>97</v>
      </c>
      <c r="O34" s="13">
        <f>SUM([3]Frontier!$HR$15:$IC$15)</f>
        <v>99</v>
      </c>
      <c r="P34" s="13">
        <f>SUM('[3]Charter Misc'!$HR$15:$IC$15)+SUM([3]Ryan!$HR$15:$IC$15)+SUM([3]Omni!$HR$15:$IC$15)</f>
        <v>3</v>
      </c>
      <c r="Q34" s="219">
        <f>SUM(B34:P34)</f>
        <v>7025</v>
      </c>
    </row>
    <row r="35" spans="1:17" x14ac:dyDescent="0.2">
      <c r="A35" s="46" t="s">
        <v>23</v>
      </c>
      <c r="B35" s="13">
        <f>SUM([3]Delta!$HR$16:$IC$16)</f>
        <v>4394</v>
      </c>
      <c r="C35" s="13">
        <f>SUM('[3]Atlantic Southeast'!$HR$16:$IC$16)</f>
        <v>0</v>
      </c>
      <c r="D35" s="13">
        <f>SUM([3]Pinnacle!$HR$16:$IC$16)</f>
        <v>244</v>
      </c>
      <c r="E35" s="13">
        <f>SUM('[3]Sky West'!$HR$16:$IC$16)</f>
        <v>677</v>
      </c>
      <c r="F35" s="13">
        <f>SUM('[3]Go Jet'!$HR$16:$IC$16)</f>
        <v>0</v>
      </c>
      <c r="G35" s="13">
        <f>SUM('[3]Sun Country'!$HR$16:$IC$16)</f>
        <v>1078</v>
      </c>
      <c r="H35" s="13">
        <f>SUM([3]Icelandair!$HR$16:$IC$16)</f>
        <v>198</v>
      </c>
      <c r="I35" s="13">
        <f>SUM([3]KLM!$HR$16:$IC$16)</f>
        <v>200</v>
      </c>
      <c r="J35" s="13">
        <f>SUM('[3]Air Georgian'!$HR$16:$IC$16)</f>
        <v>0</v>
      </c>
      <c r="K35" s="13">
        <f>SUM('[3]Sky Regional'!$HR$16:$IC$16)</f>
        <v>0</v>
      </c>
      <c r="L35" s="13">
        <f>SUM([3]Condor!$HR$16:$IC$16)</f>
        <v>49</v>
      </c>
      <c r="M35" s="13">
        <f>SUM('[3]Aer Lingus'!$HR$16:$IC$16)</f>
        <v>0</v>
      </c>
      <c r="N35" s="13">
        <f>SUM('[3]Air France'!$HR$16:$IC$16)</f>
        <v>97</v>
      </c>
      <c r="O35" s="13">
        <f>SUM([3]Frontier!$HR$16:$IC$16)</f>
        <v>99</v>
      </c>
      <c r="P35" s="13">
        <f>SUM('[3]Charter Misc'!$HR$16:$IC$16)+SUM([3]Ryan!$HR$16:$IC$16)+SUM([3]Omni!$HR$16:$IC$16)</f>
        <v>2</v>
      </c>
      <c r="Q35" s="219">
        <f>SUM(B35:P35)</f>
        <v>7038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4">
        <f t="shared" ref="B37:J37" si="25">+SUM(B34:B35)</f>
        <v>8773</v>
      </c>
      <c r="C37" s="304">
        <f t="shared" si="25"/>
        <v>0</v>
      </c>
      <c r="D37" s="304">
        <f t="shared" si="25"/>
        <v>489</v>
      </c>
      <c r="E37" s="304">
        <f>+SUM(E34:E35)</f>
        <v>1352</v>
      </c>
      <c r="F37" s="304">
        <f>+SUM(F34:F35)</f>
        <v>0</v>
      </c>
      <c r="G37" s="304">
        <f t="shared" si="25"/>
        <v>2158</v>
      </c>
      <c r="H37" s="304">
        <f t="shared" si="25"/>
        <v>396</v>
      </c>
      <c r="I37" s="304">
        <f t="shared" ref="I37" si="26">+SUM(I34:I35)</f>
        <v>400</v>
      </c>
      <c r="J37" s="304">
        <f t="shared" si="25"/>
        <v>0</v>
      </c>
      <c r="K37" s="304">
        <f t="shared" ref="K37" si="27">+SUM(K34:K35)</f>
        <v>0</v>
      </c>
      <c r="L37" s="304">
        <f>+SUM(L34:L35)</f>
        <v>98</v>
      </c>
      <c r="M37" s="304">
        <f>+SUM(M34:M35)</f>
        <v>0</v>
      </c>
      <c r="N37" s="304">
        <f>+SUM(N34:N35)</f>
        <v>194</v>
      </c>
      <c r="O37" s="304">
        <f t="shared" ref="O37" si="28">+SUM(O34:O35)</f>
        <v>198</v>
      </c>
      <c r="P37" s="304">
        <f>+SUM(P34:P35)</f>
        <v>5</v>
      </c>
      <c r="Q37" s="305">
        <f>SUM(B37:P37)</f>
        <v>14063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&amp;"Arial,Bold"December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topLeftCell="A41" zoomScaleNormal="100" zoomScaleSheetLayoutView="85" workbookViewId="0">
      <selection activeCell="P38" sqref="P38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8.85546875" style="3" bestFit="1" customWidth="1"/>
    <col min="6" max="6" width="8.7109375" style="169" bestFit="1" customWidth="1"/>
    <col min="7" max="7" width="8.7109375" style="2" bestFit="1" customWidth="1"/>
    <col min="8" max="8" width="8.5703125" style="3" bestFit="1" customWidth="1"/>
    <col min="9" max="9" width="8.7109375" style="3" bestFit="1" customWidth="1"/>
    <col min="10" max="10" width="4.140625" style="3" customWidth="1"/>
    <col min="11" max="11" width="14.42578125" style="173" bestFit="1" customWidth="1"/>
    <col min="12" max="12" width="10.42578125" style="2" customWidth="1"/>
    <col min="13" max="13" width="9.140625" style="2" customWidth="1"/>
    <col min="14" max="14" width="9.28515625" style="3" bestFit="1" customWidth="1"/>
    <col min="15" max="16" width="10.7109375" bestFit="1" customWidth="1"/>
    <col min="17" max="17" width="8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9.7109375" bestFit="1" customWidth="1"/>
    <col min="23" max="23" width="9.28515625" bestFit="1" customWidth="1"/>
    <col min="24" max="25" width="10.7109375" bestFit="1" customWidth="1"/>
    <col min="26" max="26" width="9.7109375" bestFit="1" customWidth="1"/>
    <col min="27" max="27" width="11.7109375" bestFit="1" customWidth="1"/>
  </cols>
  <sheetData>
    <row r="1" spans="1:27" s="9" customFormat="1" ht="39" thickBot="1" x14ac:dyDescent="0.25">
      <c r="A1" s="506" t="s">
        <v>132</v>
      </c>
      <c r="B1" s="507"/>
      <c r="C1" s="357" t="s">
        <v>243</v>
      </c>
      <c r="D1" s="358" t="s">
        <v>223</v>
      </c>
      <c r="E1" s="206" t="s">
        <v>95</v>
      </c>
      <c r="F1" s="205" t="s">
        <v>244</v>
      </c>
      <c r="G1" s="358" t="s">
        <v>224</v>
      </c>
      <c r="H1" s="204" t="s">
        <v>96</v>
      </c>
      <c r="I1" s="206" t="s">
        <v>245</v>
      </c>
      <c r="J1" s="512" t="s">
        <v>136</v>
      </c>
      <c r="K1" s="513"/>
      <c r="L1" s="355" t="s">
        <v>246</v>
      </c>
      <c r="M1" s="356" t="s">
        <v>225</v>
      </c>
      <c r="N1" s="272" t="s">
        <v>96</v>
      </c>
      <c r="O1" s="380" t="s">
        <v>247</v>
      </c>
      <c r="P1" s="207" t="s">
        <v>226</v>
      </c>
      <c r="Q1" s="378" t="s">
        <v>96</v>
      </c>
      <c r="R1" s="381" t="s">
        <v>245</v>
      </c>
      <c r="S1" s="498" t="s">
        <v>227</v>
      </c>
      <c r="T1" s="499"/>
      <c r="U1" s="423" t="s">
        <v>246</v>
      </c>
      <c r="V1" s="424" t="s">
        <v>225</v>
      </c>
      <c r="W1" s="425" t="s">
        <v>96</v>
      </c>
      <c r="X1" s="426" t="s">
        <v>247</v>
      </c>
      <c r="Y1" s="427" t="s">
        <v>226</v>
      </c>
      <c r="Z1" s="428" t="s">
        <v>96</v>
      </c>
      <c r="AA1" s="429" t="s">
        <v>245</v>
      </c>
    </row>
    <row r="2" spans="1:27" s="9" customFormat="1" ht="13.5" customHeight="1" thickBot="1" x14ac:dyDescent="0.25">
      <c r="A2" s="508">
        <v>44896</v>
      </c>
      <c r="B2" s="509"/>
      <c r="C2" s="510" t="s">
        <v>9</v>
      </c>
      <c r="D2" s="511"/>
      <c r="E2" s="511"/>
      <c r="F2" s="511"/>
      <c r="G2" s="511"/>
      <c r="H2" s="511"/>
      <c r="I2" s="359"/>
      <c r="J2" s="508">
        <f>+A2</f>
        <v>44896</v>
      </c>
      <c r="K2" s="509"/>
      <c r="L2" s="503" t="s">
        <v>138</v>
      </c>
      <c r="M2" s="504"/>
      <c r="N2" s="504"/>
      <c r="O2" s="504"/>
      <c r="P2" s="504"/>
      <c r="Q2" s="504"/>
      <c r="R2" s="505"/>
      <c r="S2" s="481">
        <f>+J2</f>
        <v>44896</v>
      </c>
      <c r="T2" s="482"/>
      <c r="U2" s="500" t="s">
        <v>228</v>
      </c>
      <c r="V2" s="501"/>
      <c r="W2" s="501"/>
      <c r="X2" s="501"/>
      <c r="Y2" s="501"/>
      <c r="Z2" s="501"/>
      <c r="AA2" s="502"/>
    </row>
    <row r="3" spans="1:27" x14ac:dyDescent="0.2">
      <c r="A3" s="273"/>
      <c r="B3" s="274"/>
      <c r="C3" s="275"/>
      <c r="D3" s="276"/>
      <c r="E3" s="277"/>
      <c r="F3" s="332"/>
      <c r="G3" s="276"/>
      <c r="H3" s="375"/>
      <c r="I3" s="277"/>
      <c r="J3" s="278"/>
      <c r="K3" s="274"/>
      <c r="L3" s="285"/>
      <c r="N3" s="66"/>
      <c r="O3" s="273"/>
      <c r="P3" s="279"/>
      <c r="Q3" s="279"/>
      <c r="R3" s="274"/>
      <c r="S3" s="278"/>
      <c r="T3" s="274"/>
      <c r="U3" s="285"/>
      <c r="V3" s="2"/>
      <c r="W3" s="66"/>
      <c r="X3" s="273"/>
      <c r="Y3" s="279"/>
      <c r="Z3" s="279"/>
      <c r="AA3" s="274"/>
    </row>
    <row r="4" spans="1:27" x14ac:dyDescent="0.2">
      <c r="A4" s="280" t="s">
        <v>203</v>
      </c>
      <c r="B4" s="40"/>
      <c r="C4" s="281">
        <f>'[3]Aer Lingus'!$IC$19</f>
        <v>0</v>
      </c>
      <c r="D4" s="283">
        <f>'[3]Aer Lingus'!$HO$19</f>
        <v>0</v>
      </c>
      <c r="E4" s="284" t="e">
        <f>(C4-D4)/D4</f>
        <v>#DIV/0!</v>
      </c>
      <c r="F4" s="283">
        <f>SUM('[3]Aer Lingus'!$HR$19:$IC$19)</f>
        <v>0</v>
      </c>
      <c r="G4" s="283">
        <f>SUM('[3]Aer Lingus'!$HD$19:$HO$19)</f>
        <v>0</v>
      </c>
      <c r="H4" s="282" t="e">
        <f>(F4-G4)/G4</f>
        <v>#DIV/0!</v>
      </c>
      <c r="I4" s="284">
        <f>F4/$F$73</f>
        <v>0</v>
      </c>
      <c r="J4" s="280" t="s">
        <v>203</v>
      </c>
      <c r="K4" s="40"/>
      <c r="L4" s="281">
        <f>'[3]Aer Lingus'!$IC$41</f>
        <v>0</v>
      </c>
      <c r="M4" s="283">
        <f>'[3]Aer Lingus'!$HO$41</f>
        <v>0</v>
      </c>
      <c r="N4" s="284" t="e">
        <f>(L4-M4)/M4</f>
        <v>#DIV/0!</v>
      </c>
      <c r="O4" s="281">
        <f>SUM('[3]Aer Lingus'!$HR$41:$IC$41)</f>
        <v>0</v>
      </c>
      <c r="P4" s="283">
        <f>SUM('[3]Aer Lingus'!$HD$41:$HO$41)</f>
        <v>0</v>
      </c>
      <c r="Q4" s="282" t="e">
        <f>(O4-P4)/P4</f>
        <v>#DIV/0!</v>
      </c>
      <c r="R4" s="284">
        <f>O4/$O$73</f>
        <v>0</v>
      </c>
      <c r="S4" s="280" t="s">
        <v>203</v>
      </c>
      <c r="T4" s="40"/>
      <c r="U4" s="281">
        <f>'[3]Aer Lingus'!$IC$64</f>
        <v>0</v>
      </c>
      <c r="V4" s="283">
        <f>'[3]Aer Lingus'!$HO$64</f>
        <v>0</v>
      </c>
      <c r="W4" s="284" t="e">
        <f>(U4-V4)/V4</f>
        <v>#DIV/0!</v>
      </c>
      <c r="X4" s="281">
        <f>SUM('[3]Aer Lingus'!$HR$64:$IC$64)</f>
        <v>0</v>
      </c>
      <c r="Y4" s="283">
        <f>SUM('[3]Aer Lingus'!$HD$64:$HO$64)</f>
        <v>0</v>
      </c>
      <c r="Z4" s="282" t="e">
        <f>(X4-Y4)/Y4</f>
        <v>#DIV/0!</v>
      </c>
      <c r="AA4" s="284">
        <f>X4/$X$73</f>
        <v>0</v>
      </c>
    </row>
    <row r="5" spans="1:27" x14ac:dyDescent="0.2">
      <c r="A5" s="38"/>
      <c r="B5" s="40"/>
      <c r="C5" s="285"/>
      <c r="E5" s="66"/>
      <c r="F5" s="172"/>
      <c r="I5" s="66"/>
      <c r="J5" s="396"/>
      <c r="K5" s="40"/>
      <c r="L5" s="285"/>
      <c r="N5" s="66"/>
      <c r="O5" s="38"/>
      <c r="R5" s="40"/>
      <c r="S5" s="396"/>
      <c r="T5" s="40"/>
      <c r="U5" s="285"/>
      <c r="V5" s="2"/>
      <c r="W5" s="66"/>
      <c r="X5" s="38"/>
      <c r="AA5" s="40"/>
    </row>
    <row r="6" spans="1:27" ht="14.1" customHeight="1" x14ac:dyDescent="0.2">
      <c r="A6" s="280" t="s">
        <v>98</v>
      </c>
      <c r="B6" s="40"/>
      <c r="C6" s="281">
        <f>SUM(C7:C10)</f>
        <v>175</v>
      </c>
      <c r="D6" s="283">
        <f>SUM(D7:D10)</f>
        <v>62</v>
      </c>
      <c r="E6" s="284">
        <f>(C6-D6)/D6</f>
        <v>1.8225806451612903</v>
      </c>
      <c r="F6" s="281">
        <f>SUM(F7:F10)</f>
        <v>1880</v>
      </c>
      <c r="G6" s="283">
        <f>SUM(G7:G10)</f>
        <v>233</v>
      </c>
      <c r="H6" s="282">
        <f>(F6-G6)/G6</f>
        <v>7.0686695278969953</v>
      </c>
      <c r="I6" s="284">
        <f>F6/$F$73</f>
        <v>6.8119150539699335E-3</v>
      </c>
      <c r="J6" s="280" t="s">
        <v>98</v>
      </c>
      <c r="K6" s="40"/>
      <c r="L6" s="281">
        <f>SUM(L7:L10)</f>
        <v>8832</v>
      </c>
      <c r="M6" s="283">
        <f>SUM(M7:M10)</f>
        <v>3106</v>
      </c>
      <c r="N6" s="284">
        <f>(L6-M6)/M6</f>
        <v>1.8435286542176432</v>
      </c>
      <c r="O6" s="281">
        <f>SUM(O7:O10)</f>
        <v>101119</v>
      </c>
      <c r="P6" s="283">
        <f>SUM(P7:P10)</f>
        <v>13538</v>
      </c>
      <c r="Q6" s="282">
        <f>(O6-P6)/P6</f>
        <v>6.4692716797163543</v>
      </c>
      <c r="R6" s="284">
        <f>O6/$O$73</f>
        <v>3.3320823621665985E-3</v>
      </c>
      <c r="S6" s="280" t="s">
        <v>98</v>
      </c>
      <c r="T6" s="40"/>
      <c r="U6" s="281">
        <f>SUM(U7:U10)</f>
        <v>0</v>
      </c>
      <c r="V6" s="283">
        <f>SUM(V7:V10)</f>
        <v>0</v>
      </c>
      <c r="W6" s="284" t="e">
        <f>(U6-V6)/V6</f>
        <v>#DIV/0!</v>
      </c>
      <c r="X6" s="281">
        <f>SUM(X7:X10)</f>
        <v>804730</v>
      </c>
      <c r="Y6" s="283">
        <f>SUM(Y7:Y10)</f>
        <v>0</v>
      </c>
      <c r="Z6" s="282" t="e">
        <f>(X6-Y6)/Y6</f>
        <v>#DIV/0!</v>
      </c>
      <c r="AA6" s="284">
        <f>X6/$X$73</f>
        <v>8.0613501271365861E-3</v>
      </c>
    </row>
    <row r="7" spans="1:27" ht="14.1" customHeight="1" x14ac:dyDescent="0.2">
      <c r="A7" s="280"/>
      <c r="B7" s="340" t="s">
        <v>98</v>
      </c>
      <c r="C7" s="285">
        <f>+[3]AirCanada!$IC$19</f>
        <v>0</v>
      </c>
      <c r="D7" s="2">
        <f>+[3]AirCanada!$HO$19</f>
        <v>0</v>
      </c>
      <c r="E7" s="66" t="e">
        <f>(C7-D7)/D7</f>
        <v>#DIV/0!</v>
      </c>
      <c r="F7" s="231">
        <f>SUM([3]AirCanada!$HR$19:$IC$19)</f>
        <v>0</v>
      </c>
      <c r="G7" s="231">
        <f>SUM([3]AirCanada!$HD$19:$HO$19)</f>
        <v>0</v>
      </c>
      <c r="H7" s="345" t="e">
        <f>(F7-G7)/G7</f>
        <v>#DIV/0!</v>
      </c>
      <c r="I7" s="66">
        <f>F7/$F$73</f>
        <v>0</v>
      </c>
      <c r="J7" s="280"/>
      <c r="K7" s="340" t="s">
        <v>98</v>
      </c>
      <c r="L7" s="344">
        <f>+[3]AirCanada!$IC$41</f>
        <v>0</v>
      </c>
      <c r="M7" s="231">
        <f>+[3]AirCanada!$HO$41</f>
        <v>0</v>
      </c>
      <c r="N7" s="346" t="e">
        <f>(L7-M7)/M7</f>
        <v>#DIV/0!</v>
      </c>
      <c r="O7" s="344">
        <f>SUM([3]AirCanada!$HR$41:$IC$41)</f>
        <v>0</v>
      </c>
      <c r="P7" s="231">
        <f>SUM([3]AirCanada!$HD$41:$HO$41)</f>
        <v>0</v>
      </c>
      <c r="Q7" s="345" t="e">
        <f>(O7-P7)/P7</f>
        <v>#DIV/0!</v>
      </c>
      <c r="R7" s="346">
        <f>O7/$O$73</f>
        <v>0</v>
      </c>
      <c r="S7" s="280"/>
      <c r="T7" s="340" t="s">
        <v>98</v>
      </c>
      <c r="U7" s="344">
        <f>+[3]AirCanada!$IC$64</f>
        <v>0</v>
      </c>
      <c r="V7" s="231">
        <f>+[3]AirCanada!$HO$64</f>
        <v>0</v>
      </c>
      <c r="W7" s="346" t="e">
        <f>(U7-V7)/V7</f>
        <v>#DIV/0!</v>
      </c>
      <c r="X7" s="344">
        <f>SUM([3]AirCanada!$HR$64:$IC$64)</f>
        <v>0</v>
      </c>
      <c r="Y7" s="231">
        <f>SUM([3]AirCanada!$HD$64:$HO$64)</f>
        <v>0</v>
      </c>
      <c r="Z7" s="345" t="e">
        <f>(X7-Y7)/Y7</f>
        <v>#DIV/0!</v>
      </c>
      <c r="AA7" s="346">
        <f>X7/$X$73</f>
        <v>0</v>
      </c>
    </row>
    <row r="8" spans="1:27" ht="14.1" customHeight="1" x14ac:dyDescent="0.2">
      <c r="A8" s="280"/>
      <c r="B8" s="340" t="s">
        <v>164</v>
      </c>
      <c r="C8" s="285">
        <f>'[3]Air Georgian'!$IC$19</f>
        <v>0</v>
      </c>
      <c r="D8" s="2">
        <f>'[3]Air Georgian'!$HO$19</f>
        <v>0</v>
      </c>
      <c r="E8" s="66" t="e">
        <f>(C8-D8)/D8</f>
        <v>#DIV/0!</v>
      </c>
      <c r="F8" s="231">
        <f>SUM('[3]Air Georgian'!$HR$19:$IC$19)</f>
        <v>0</v>
      </c>
      <c r="G8" s="231">
        <f>SUM('[3]Air Georgian'!$HD$19:$HO$19)</f>
        <v>0</v>
      </c>
      <c r="H8" s="345" t="e">
        <f>(F8-G8)/G8</f>
        <v>#DIV/0!</v>
      </c>
      <c r="I8" s="66">
        <f>F8/$F$73</f>
        <v>0</v>
      </c>
      <c r="J8" s="280"/>
      <c r="K8" s="340" t="s">
        <v>164</v>
      </c>
      <c r="L8" s="285">
        <f>'[3]Air Georgian'!$IC$41</f>
        <v>0</v>
      </c>
      <c r="M8" s="2">
        <f>'[3]Air Georgian'!$HO$41</f>
        <v>0</v>
      </c>
      <c r="N8" s="66" t="e">
        <f>(L8-M8)/M8</f>
        <v>#DIV/0!</v>
      </c>
      <c r="O8" s="285">
        <f>SUM('[3]Air Georgian'!$HR$41:$IC$41)</f>
        <v>0</v>
      </c>
      <c r="P8" s="2">
        <f>SUM('[3]Air Georgian'!$HD$41:$HO$41)</f>
        <v>0</v>
      </c>
      <c r="Q8" s="3" t="e">
        <f>(O8-P8)/P8</f>
        <v>#DIV/0!</v>
      </c>
      <c r="R8" s="66">
        <f>O8/$O$73</f>
        <v>0</v>
      </c>
      <c r="S8" s="280"/>
      <c r="T8" s="340" t="s">
        <v>164</v>
      </c>
      <c r="U8" s="285">
        <f>'[3]Air Georgian'!$IC$64</f>
        <v>0</v>
      </c>
      <c r="V8" s="2">
        <f>'[3]Air Georgian'!$HO$64</f>
        <v>0</v>
      </c>
      <c r="W8" s="66" t="e">
        <f>(U8-V8)/V8</f>
        <v>#DIV/0!</v>
      </c>
      <c r="X8" s="285">
        <f>SUM('[3]Air Georgian'!$HR$64:$IC$64)</f>
        <v>0</v>
      </c>
      <c r="Y8" s="2">
        <f>SUM('[3]Air Georgian'!$HD$64:$HO$64)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0"/>
      <c r="B9" s="340" t="s">
        <v>236</v>
      </c>
      <c r="C9" s="285">
        <f>[3]Jazz_AC!$IC$19</f>
        <v>175</v>
      </c>
      <c r="D9" s="2">
        <f>[3]Jazz_AC!$HO$19</f>
        <v>62</v>
      </c>
      <c r="E9" s="66">
        <f t="shared" ref="E9" si="0">(C9-D9)/D9</f>
        <v>1.8225806451612903</v>
      </c>
      <c r="F9" s="2">
        <f>SUM([3]Jazz_AC!$HR$19:$IC$19)</f>
        <v>1880</v>
      </c>
      <c r="G9" s="2">
        <f>SUM([3]Jazz_AC!$HD$19:$HO$19)</f>
        <v>233</v>
      </c>
      <c r="H9" s="3">
        <f t="shared" ref="H9" si="1">(F9-G9)/G9</f>
        <v>7.0686695278969953</v>
      </c>
      <c r="I9" s="66">
        <f>F9/$F$73</f>
        <v>6.8119150539699335E-3</v>
      </c>
      <c r="J9" s="280"/>
      <c r="K9" s="340" t="s">
        <v>236</v>
      </c>
      <c r="L9" s="285">
        <f>[3]Jazz_AC!$IC$41</f>
        <v>8832</v>
      </c>
      <c r="M9" s="2">
        <f>[3]Jazz_AC!$HO$41</f>
        <v>3106</v>
      </c>
      <c r="N9" s="66">
        <f t="shared" ref="N9" si="2">(L9-M9)/M9</f>
        <v>1.8435286542176432</v>
      </c>
      <c r="O9" s="285">
        <f>SUM([3]Jazz_AC!$HR$41:$IC$41)</f>
        <v>101119</v>
      </c>
      <c r="P9" s="2">
        <f>SUM([3]Jazz_AC!$HD$41:$HO$41)</f>
        <v>13538</v>
      </c>
      <c r="Q9" s="3">
        <f t="shared" ref="Q9" si="3">(O9-P9)/P9</f>
        <v>6.4692716797163543</v>
      </c>
      <c r="R9" s="66">
        <f>O9/$O$73</f>
        <v>3.3320823621665985E-3</v>
      </c>
      <c r="S9" s="280"/>
      <c r="T9" s="340" t="s">
        <v>236</v>
      </c>
      <c r="U9" s="285">
        <f>[3]Jazz_AC!$IC$64</f>
        <v>0</v>
      </c>
      <c r="V9" s="2">
        <f>[3]Jazz_AC!$HO$64</f>
        <v>0</v>
      </c>
      <c r="W9" s="66" t="e">
        <f t="shared" ref="W9" si="4">(U9-V9)/V9</f>
        <v>#DIV/0!</v>
      </c>
      <c r="X9" s="285">
        <f>SUM([3]Jazz_AC!$HR$64:$IC$64)</f>
        <v>804730</v>
      </c>
      <c r="Y9" s="2">
        <f>SUM([3]Jazz_AC!$HD$64:$HO$64)</f>
        <v>0</v>
      </c>
      <c r="Z9" s="3" t="e">
        <f t="shared" ref="Z9" si="5">(X9-Y9)/Y9</f>
        <v>#DIV/0!</v>
      </c>
      <c r="AA9" s="66">
        <f>X9/$X$73</f>
        <v>8.0613501271365861E-3</v>
      </c>
    </row>
    <row r="10" spans="1:27" ht="14.1" customHeight="1" x14ac:dyDescent="0.2">
      <c r="A10" s="280"/>
      <c r="B10" s="340" t="s">
        <v>192</v>
      </c>
      <c r="C10" s="285">
        <f>'[3]Sky Regional'!$IC$19</f>
        <v>0</v>
      </c>
      <c r="D10" s="2">
        <f>'[3]Sky Regional'!$HO$19</f>
        <v>0</v>
      </c>
      <c r="E10" s="66" t="e">
        <f>(C10-D10)/D10</f>
        <v>#DIV/0!</v>
      </c>
      <c r="F10" s="231">
        <f>SUM('[3]Sky Regional'!$HR$19:$IC$19)</f>
        <v>0</v>
      </c>
      <c r="G10" s="231">
        <f>SUM('[3]Sky Regional'!$HD$19:$HO$19)</f>
        <v>0</v>
      </c>
      <c r="H10" s="345" t="e">
        <f>(F10-G10)/G10</f>
        <v>#DIV/0!</v>
      </c>
      <c r="I10" s="66">
        <f>F10/$F$73</f>
        <v>0</v>
      </c>
      <c r="J10" s="280"/>
      <c r="K10" s="340" t="s">
        <v>192</v>
      </c>
      <c r="L10" s="285">
        <f>'[3]Sky Regional'!$IC$41</f>
        <v>0</v>
      </c>
      <c r="M10" s="2">
        <f>'[3]Sky Regional'!$HO$41</f>
        <v>0</v>
      </c>
      <c r="N10" s="66" t="e">
        <f>(L10-M10)/M10</f>
        <v>#DIV/0!</v>
      </c>
      <c r="O10" s="285">
        <f>SUM('[3]Sky Regional'!$HR$41:$IC$41)</f>
        <v>0</v>
      </c>
      <c r="P10" s="2">
        <f>SUM('[3]Sky Regional'!$HD$41:$HO$41)</f>
        <v>0</v>
      </c>
      <c r="Q10" s="3" t="e">
        <f>(O10-P10)/P10</f>
        <v>#DIV/0!</v>
      </c>
      <c r="R10" s="66">
        <f>O10/$O$73</f>
        <v>0</v>
      </c>
      <c r="S10" s="280"/>
      <c r="T10" s="340" t="s">
        <v>192</v>
      </c>
      <c r="U10" s="285">
        <f>'[3]Sky Regional'!$IC$64</f>
        <v>0</v>
      </c>
      <c r="V10" s="2">
        <f>'[3]Sky Regional'!$HO$64</f>
        <v>0</v>
      </c>
      <c r="W10" s="66" t="e">
        <f>(U10-V10)/V10</f>
        <v>#DIV/0!</v>
      </c>
      <c r="X10" s="285">
        <f>SUM('[3]Sky Regional'!$HR$64:$IC$64)</f>
        <v>0</v>
      </c>
      <c r="Y10" s="2">
        <f>SUM('[3]Sky Regional'!$HD$64:$HO$64)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0"/>
      <c r="B11" s="40"/>
      <c r="C11" s="281"/>
      <c r="D11" s="283"/>
      <c r="E11" s="284"/>
      <c r="F11" s="283"/>
      <c r="G11" s="283"/>
      <c r="H11" s="282"/>
      <c r="I11" s="284"/>
      <c r="J11" s="280"/>
      <c r="K11" s="40"/>
      <c r="L11" s="285"/>
      <c r="N11" s="66"/>
      <c r="O11" s="285"/>
      <c r="P11" s="2"/>
      <c r="Q11" s="3"/>
      <c r="R11" s="66"/>
      <c r="S11" s="280"/>
      <c r="T11" s="40"/>
      <c r="U11" s="285"/>
      <c r="V11" s="2"/>
      <c r="W11" s="66"/>
      <c r="X11" s="285"/>
      <c r="Y11" s="2"/>
      <c r="Z11" s="3"/>
      <c r="AA11" s="66"/>
    </row>
    <row r="12" spans="1:27" ht="14.1" customHeight="1" x14ac:dyDescent="0.2">
      <c r="A12" s="280" t="s">
        <v>178</v>
      </c>
      <c r="B12" s="40"/>
      <c r="C12" s="281">
        <f>'[3]Air Choice One'!$IC$19</f>
        <v>0</v>
      </c>
      <c r="D12" s="283">
        <f>'[3]Air Choice One'!$HO$19</f>
        <v>0</v>
      </c>
      <c r="E12" s="284" t="e">
        <f>(C12-D12)/D12</f>
        <v>#DIV/0!</v>
      </c>
      <c r="F12" s="283">
        <f>SUM('[3]Air Choice One'!$HR$19:$IC$19)</f>
        <v>0</v>
      </c>
      <c r="G12" s="283">
        <f>SUM('[3]Air Choice One'!$HD$19:$HO$19)</f>
        <v>264</v>
      </c>
      <c r="H12" s="282">
        <f>(F12-G12)/G12</f>
        <v>-1</v>
      </c>
      <c r="I12" s="284">
        <f>F12/$F$73</f>
        <v>0</v>
      </c>
      <c r="J12" s="280" t="s">
        <v>178</v>
      </c>
      <c r="K12" s="40"/>
      <c r="L12" s="281">
        <f>'[3]Air Choice One'!$IC$41</f>
        <v>0</v>
      </c>
      <c r="M12" s="283">
        <f>'[3]Air Choice One'!$HO$41</f>
        <v>0</v>
      </c>
      <c r="N12" s="284" t="e">
        <f>(L12-M12)/M12</f>
        <v>#DIV/0!</v>
      </c>
      <c r="O12" s="281">
        <f>SUM('[3]Air Choice One'!$HR$41:$IC$41)</f>
        <v>0</v>
      </c>
      <c r="P12" s="283">
        <f>SUM('[3]Air Choice One'!$HD$41:$HO$41)</f>
        <v>471</v>
      </c>
      <c r="Q12" s="282">
        <f>(O12-P12)/P12</f>
        <v>-1</v>
      </c>
      <c r="R12" s="284">
        <f>O12/$O$73</f>
        <v>0</v>
      </c>
      <c r="S12" s="280" t="s">
        <v>178</v>
      </c>
      <c r="T12" s="40"/>
      <c r="U12" s="281">
        <f>'[3]Air Choice One'!$IC$64</f>
        <v>0</v>
      </c>
      <c r="V12" s="283">
        <f>'[3]Air Choice One'!$HO$64</f>
        <v>0</v>
      </c>
      <c r="W12" s="284" t="e">
        <f>(U12-V12)/V12</f>
        <v>#DIV/0!</v>
      </c>
      <c r="X12" s="281">
        <f>SUM('[3]Air Choice One'!$HR$64:$IC$64)</f>
        <v>0</v>
      </c>
      <c r="Y12" s="283">
        <f>SUM('[3]Air Choice One'!$HD$64:$HO$64)</f>
        <v>0</v>
      </c>
      <c r="Z12" s="282" t="e">
        <f>(X12-Y12)/Y12</f>
        <v>#DIV/0!</v>
      </c>
      <c r="AA12" s="284">
        <f>X12/$X$73</f>
        <v>0</v>
      </c>
    </row>
    <row r="13" spans="1:27" ht="14.1" customHeight="1" x14ac:dyDescent="0.2">
      <c r="A13" s="280"/>
      <c r="B13" s="40"/>
      <c r="C13" s="281"/>
      <c r="D13" s="283"/>
      <c r="E13" s="284"/>
      <c r="F13" s="283"/>
      <c r="G13" s="283"/>
      <c r="H13" s="282"/>
      <c r="I13" s="284"/>
      <c r="J13" s="280"/>
      <c r="K13" s="40"/>
      <c r="L13" s="285"/>
      <c r="N13" s="66"/>
      <c r="O13" s="285"/>
      <c r="P13" s="2"/>
      <c r="Q13" s="3"/>
      <c r="R13" s="66"/>
      <c r="S13" s="280"/>
      <c r="T13" s="40"/>
      <c r="U13" s="285"/>
      <c r="V13" s="2"/>
      <c r="W13" s="66"/>
      <c r="X13" s="285"/>
      <c r="Y13" s="2"/>
      <c r="Z13" s="3"/>
      <c r="AA13" s="66"/>
    </row>
    <row r="14" spans="1:27" ht="14.1" customHeight="1" x14ac:dyDescent="0.2">
      <c r="A14" s="280" t="s">
        <v>156</v>
      </c>
      <c r="B14" s="40"/>
      <c r="C14" s="281">
        <f>'[3]Air France'!$IC$19</f>
        <v>0</v>
      </c>
      <c r="D14" s="283">
        <f>'[3]Air France'!$HO$19</f>
        <v>0</v>
      </c>
      <c r="E14" s="284" t="e">
        <f>(C14-D14)/D14</f>
        <v>#DIV/0!</v>
      </c>
      <c r="F14" s="283">
        <f>SUM('[3]Air France'!$HR$19:$IC$19)</f>
        <v>194</v>
      </c>
      <c r="G14" s="283">
        <f>SUM('[3]Air France'!$HD$19:$HO$19)</f>
        <v>126</v>
      </c>
      <c r="H14" s="282">
        <f>(F14-G14)/G14</f>
        <v>0.53968253968253965</v>
      </c>
      <c r="I14" s="284">
        <f>F14/$F$73</f>
        <v>7.0293165982455693E-4</v>
      </c>
      <c r="J14" s="280" t="s">
        <v>156</v>
      </c>
      <c r="K14" s="40"/>
      <c r="L14" s="281">
        <f>'[3]Air France'!$IC$41</f>
        <v>0</v>
      </c>
      <c r="M14" s="283">
        <f>'[3]Air France'!$HO$41</f>
        <v>0</v>
      </c>
      <c r="N14" s="284" t="e">
        <f>(L14-M14)/M14</f>
        <v>#DIV/0!</v>
      </c>
      <c r="O14" s="281">
        <f>SUM('[3]Air France'!$HR$41:$IC$41)</f>
        <v>49205</v>
      </c>
      <c r="P14" s="283">
        <f>SUM('[3]Air France'!$HD$41:$HO$41)</f>
        <v>21245</v>
      </c>
      <c r="Q14" s="282">
        <f>(O14-P14)/P14</f>
        <v>1.3160743704401034</v>
      </c>
      <c r="R14" s="284">
        <f>O14/$O$73</f>
        <v>1.6214075755338511E-3</v>
      </c>
      <c r="S14" s="280" t="s">
        <v>156</v>
      </c>
      <c r="T14" s="40"/>
      <c r="U14" s="281">
        <f>'[3]Air France'!$IC$64</f>
        <v>0</v>
      </c>
      <c r="V14" s="283">
        <f>'[3]Air France'!$HO$64</f>
        <v>0</v>
      </c>
      <c r="W14" s="284" t="e">
        <f>(U14-V14)/V14</f>
        <v>#DIV/0!</v>
      </c>
      <c r="X14" s="281">
        <f>SUM('[3]Air France'!$HR$64:$IC$64)</f>
        <v>2150435</v>
      </c>
      <c r="Y14" s="283">
        <f>SUM('[3]Air France'!$HD$64:$HO$64)</f>
        <v>1840520</v>
      </c>
      <c r="Z14" s="282">
        <f>(X14-Y14)/Y14</f>
        <v>0.16838447829961098</v>
      </c>
      <c r="AA14" s="284">
        <f>X14/$X$73</f>
        <v>2.1541895369439398E-2</v>
      </c>
    </row>
    <row r="15" spans="1:27" ht="14.1" customHeight="1" x14ac:dyDescent="0.2">
      <c r="A15" s="280"/>
      <c r="B15" s="40"/>
      <c r="C15" s="281"/>
      <c r="D15" s="283"/>
      <c r="E15" s="284"/>
      <c r="F15" s="283"/>
      <c r="G15" s="283"/>
      <c r="H15" s="282"/>
      <c r="I15" s="284"/>
      <c r="J15" s="280"/>
      <c r="K15" s="40"/>
      <c r="L15" s="285"/>
      <c r="N15" s="66"/>
      <c r="O15" s="285"/>
      <c r="P15" s="2"/>
      <c r="Q15" s="3"/>
      <c r="R15" s="66"/>
      <c r="S15" s="280"/>
      <c r="T15" s="40"/>
      <c r="U15" s="285"/>
      <c r="V15" s="2"/>
      <c r="W15" s="66"/>
      <c r="X15" s="285"/>
      <c r="Y15" s="2"/>
      <c r="Z15" s="3"/>
      <c r="AA15" s="66"/>
    </row>
    <row r="16" spans="1:27" ht="14.1" customHeight="1" x14ac:dyDescent="0.2">
      <c r="A16" s="280" t="s">
        <v>237</v>
      </c>
      <c r="B16" s="40"/>
      <c r="C16" s="285">
        <f>'[3]Allegiant '!$IC$19</f>
        <v>100</v>
      </c>
      <c r="D16" s="2">
        <f>'[3]Allegiant '!$HO$19</f>
        <v>72</v>
      </c>
      <c r="E16" s="66">
        <f t="shared" ref="E16" si="6">(C16-D16)/D16</f>
        <v>0.3888888888888889</v>
      </c>
      <c r="F16" s="2">
        <f>SUM('[3]Allegiant '!$HR$19:$IC$19)</f>
        <v>940</v>
      </c>
      <c r="G16" s="2">
        <f>SUM('[3]Allegiant '!$HD$19:$HO$19)</f>
        <v>216</v>
      </c>
      <c r="H16" s="3">
        <f t="shared" ref="H16" si="7">(F16-G16)/G16</f>
        <v>3.3518518518518516</v>
      </c>
      <c r="I16" s="66">
        <f>F16/$F$73</f>
        <v>3.4059575269849668E-3</v>
      </c>
      <c r="J16" s="280" t="s">
        <v>237</v>
      </c>
      <c r="K16" s="40"/>
      <c r="L16" s="285">
        <f>'[3]Allegiant '!$IC$41</f>
        <v>14021</v>
      </c>
      <c r="M16" s="2">
        <f>'[3]Allegiant '!$HO$41</f>
        <v>8432</v>
      </c>
      <c r="N16" s="66">
        <f t="shared" ref="N16" si="8">(L16-M16)/M16</f>
        <v>0.66283206831119545</v>
      </c>
      <c r="O16" s="285">
        <f>SUM('[3]Allegiant '!$HR$41:$IC$41)</f>
        <v>131231</v>
      </c>
      <c r="P16" s="2">
        <f>SUM('[3]Allegiant '!$HD$41:$HO$41)</f>
        <v>20455</v>
      </c>
      <c r="Q16" s="3">
        <f t="shared" ref="Q16" si="9">(O16-P16)/P16</f>
        <v>5.4155952089953558</v>
      </c>
      <c r="R16" s="66">
        <f>O16/$O$73</f>
        <v>4.3243356883422984E-3</v>
      </c>
      <c r="S16" s="280" t="s">
        <v>237</v>
      </c>
      <c r="T16" s="40"/>
      <c r="U16" s="285">
        <f>'[3]Allegiant '!$IC$64</f>
        <v>0</v>
      </c>
      <c r="V16" s="2">
        <f>'[3]Allegiant '!$HO$64</f>
        <v>0</v>
      </c>
      <c r="W16" s="66" t="e">
        <f t="shared" ref="W16" si="10">(U16-V16)/V16</f>
        <v>#DIV/0!</v>
      </c>
      <c r="X16" s="285">
        <f>SUM('[3]Allegiant '!$HR$64:$IC$64)</f>
        <v>0</v>
      </c>
      <c r="Y16" s="2">
        <f>SUM('[3]Allegiant '!$HD$64:$HO$64)</f>
        <v>0</v>
      </c>
      <c r="Z16" s="3" t="e">
        <f t="shared" ref="Z16" si="11">(X16-Y16)/Y16</f>
        <v>#DIV/0!</v>
      </c>
      <c r="AA16" s="66">
        <f>X16/$X$73</f>
        <v>0</v>
      </c>
    </row>
    <row r="17" spans="1:27" ht="14.1" customHeight="1" x14ac:dyDescent="0.2">
      <c r="A17" s="280"/>
      <c r="B17" s="40"/>
      <c r="C17" s="281"/>
      <c r="D17" s="283"/>
      <c r="E17" s="284"/>
      <c r="F17" s="283"/>
      <c r="G17" s="283"/>
      <c r="H17" s="282"/>
      <c r="I17" s="284"/>
      <c r="J17" s="280"/>
      <c r="K17" s="40"/>
      <c r="L17" s="285"/>
      <c r="N17" s="66"/>
      <c r="O17" s="285"/>
      <c r="P17" s="2"/>
      <c r="Q17" s="3"/>
      <c r="R17" s="66"/>
      <c r="S17" s="280"/>
      <c r="T17" s="40"/>
      <c r="U17" s="285"/>
      <c r="V17" s="2"/>
      <c r="W17" s="66"/>
      <c r="X17" s="285"/>
      <c r="Y17" s="2"/>
      <c r="Z17" s="3"/>
      <c r="AA17" s="66"/>
    </row>
    <row r="18" spans="1:27" ht="14.1" customHeight="1" x14ac:dyDescent="0.2">
      <c r="A18" s="280" t="s">
        <v>128</v>
      </c>
      <c r="B18" s="40"/>
      <c r="C18" s="281">
        <f>SUM(C19:C21)</f>
        <v>90</v>
      </c>
      <c r="D18" s="283">
        <f>SUM(D19:D21)</f>
        <v>82</v>
      </c>
      <c r="E18" s="284">
        <f>(C18-D18)/D18</f>
        <v>9.7560975609756101E-2</v>
      </c>
      <c r="F18" s="283">
        <f>SUM(F19:F21)</f>
        <v>1901</v>
      </c>
      <c r="G18" s="283">
        <f>SUM(G19:G21)</f>
        <v>1794</v>
      </c>
      <c r="H18" s="282">
        <f>(F18-G18)/G18</f>
        <v>5.9643255295429208E-2</v>
      </c>
      <c r="I18" s="284">
        <f>F18/$F$73</f>
        <v>6.8880055944664058E-3</v>
      </c>
      <c r="J18" s="280" t="s">
        <v>128</v>
      </c>
      <c r="K18" s="40"/>
      <c r="L18" s="281">
        <f>SUM(L19:L21)</f>
        <v>11391</v>
      </c>
      <c r="M18" s="283">
        <f>SUM(M19:M21)</f>
        <v>9449</v>
      </c>
      <c r="N18" s="284">
        <f>(L18-M18)/M18</f>
        <v>0.20552439411577944</v>
      </c>
      <c r="O18" s="281">
        <f>SUM(O19:O21)</f>
        <v>253813</v>
      </c>
      <c r="P18" s="283">
        <f>SUM(P19:P21)</f>
        <v>216550</v>
      </c>
      <c r="Q18" s="282">
        <f>(O18-P18)/P18</f>
        <v>0.17207573308704688</v>
      </c>
      <c r="R18" s="284">
        <f>O18/$O$73</f>
        <v>8.3636687525449303E-3</v>
      </c>
      <c r="S18" s="280" t="s">
        <v>128</v>
      </c>
      <c r="T18" s="40"/>
      <c r="U18" s="281">
        <f>SUM(U19:U21)</f>
        <v>18873</v>
      </c>
      <c r="V18" s="283">
        <f>SUM(V19:V21)</f>
        <v>7580</v>
      </c>
      <c r="W18" s="284">
        <f>(U18-V18)/V18</f>
        <v>1.4898416886543535</v>
      </c>
      <c r="X18" s="281">
        <f>SUM(X19:X21)</f>
        <v>357868</v>
      </c>
      <c r="Y18" s="283">
        <f>SUM(Y19:Y21)</f>
        <v>303143</v>
      </c>
      <c r="Z18" s="282">
        <f>(X18-Y18)/Y18</f>
        <v>0.18052536261764249</v>
      </c>
      <c r="AA18" s="284">
        <f>X18/$X$73</f>
        <v>3.5849281713097756E-3</v>
      </c>
    </row>
    <row r="19" spans="1:27" ht="14.1" customHeight="1" x14ac:dyDescent="0.2">
      <c r="A19" s="280"/>
      <c r="B19" s="340" t="s">
        <v>128</v>
      </c>
      <c r="C19" s="344">
        <f>[3]Alaska!$IC$19</f>
        <v>90</v>
      </c>
      <c r="D19" s="231">
        <f>[3]Alaska!$HO$19</f>
        <v>58</v>
      </c>
      <c r="E19" s="346">
        <f>(C19-D19)/D19</f>
        <v>0.55172413793103448</v>
      </c>
      <c r="F19" s="231">
        <f>SUM([3]Alaska!$HR$19:$IC$19)</f>
        <v>1809</v>
      </c>
      <c r="G19" s="231">
        <f>SUM([3]Alaska!$HD$19:$HO$19)</f>
        <v>1302</v>
      </c>
      <c r="H19" s="345">
        <f>(F19-G19)/G19</f>
        <v>0.38940092165898615</v>
      </c>
      <c r="I19" s="346">
        <f>F19/$F$73</f>
        <v>6.5546565599104304E-3</v>
      </c>
      <c r="J19" s="280"/>
      <c r="K19" s="340" t="s">
        <v>128</v>
      </c>
      <c r="L19" s="344">
        <f>[3]Alaska!$IC$41</f>
        <v>11391</v>
      </c>
      <c r="M19" s="231">
        <f>[3]Alaska!$HO$41</f>
        <v>7795</v>
      </c>
      <c r="N19" s="346">
        <f>(L19-M19)/M19</f>
        <v>0.46132135984605516</v>
      </c>
      <c r="O19" s="344">
        <f>SUM([3]Alaska!$HR$41:$IC$41)</f>
        <v>248442</v>
      </c>
      <c r="P19" s="231">
        <f>SUM([3]Alaska!$HD$41:$HO$41)</f>
        <v>178303</v>
      </c>
      <c r="Q19" s="345">
        <f>(O19-P19)/P19</f>
        <v>0.39336971335311238</v>
      </c>
      <c r="R19" s="346">
        <f>O19/$O$73</f>
        <v>8.1866830785648007E-3</v>
      </c>
      <c r="S19" s="280"/>
      <c r="T19" s="340" t="s">
        <v>128</v>
      </c>
      <c r="U19" s="344">
        <f>[3]Alaska!$IC$64</f>
        <v>18873</v>
      </c>
      <c r="V19" s="231">
        <f>[3]Alaska!$HO$64</f>
        <v>6933</v>
      </c>
      <c r="W19" s="346">
        <f>(U19-V19)/V19</f>
        <v>1.7221981826049328</v>
      </c>
      <c r="X19" s="344">
        <f>SUM([3]Alaska!$HR$64:$IC$64)</f>
        <v>350269</v>
      </c>
      <c r="Y19" s="231">
        <f>SUM([3]Alaska!$HD$64:$HO$64)</f>
        <v>272491</v>
      </c>
      <c r="Z19" s="345">
        <f>(X19-Y19)/Y19</f>
        <v>0.28543328036522309</v>
      </c>
      <c r="AA19" s="346">
        <f>X19/$X$73</f>
        <v>3.5088054971008972E-3</v>
      </c>
    </row>
    <row r="20" spans="1:27" ht="14.1" customHeight="1" x14ac:dyDescent="0.2">
      <c r="A20" s="280"/>
      <c r="B20" s="340" t="s">
        <v>97</v>
      </c>
      <c r="C20" s="285">
        <f>'[3]Sky West_AS'!$IC$19</f>
        <v>0</v>
      </c>
      <c r="D20" s="2">
        <f>'[3]Sky West_AS'!$HO$19</f>
        <v>0</v>
      </c>
      <c r="E20" s="66" t="e">
        <f>(C20-D20)/D20</f>
        <v>#DIV/0!</v>
      </c>
      <c r="F20" s="2">
        <f>SUM('[3]Sky West_AS'!$HR$19:$IC$19)</f>
        <v>54</v>
      </c>
      <c r="G20" s="2">
        <f>SUM('[3]Sky West_AS'!$HD$19:$HO$19)</f>
        <v>84</v>
      </c>
      <c r="H20" s="3">
        <f>(F20-G20)/G20</f>
        <v>-0.35714285714285715</v>
      </c>
      <c r="I20" s="66">
        <f>F20/$F$73</f>
        <v>1.9566138984807255E-4</v>
      </c>
      <c r="J20" s="280"/>
      <c r="K20" s="340" t="s">
        <v>97</v>
      </c>
      <c r="L20" s="285">
        <f>'[3]Sky West_AS'!$IC$41</f>
        <v>0</v>
      </c>
      <c r="M20" s="2">
        <f>'[3]Sky West_AS'!$HO$41</f>
        <v>0</v>
      </c>
      <c r="N20" s="66" t="e">
        <f>(L20-M20)/M20</f>
        <v>#DIV/0!</v>
      </c>
      <c r="O20" s="285">
        <f>SUM('[3]Sky West_AS'!$HR$41:$IC$41)</f>
        <v>2767</v>
      </c>
      <c r="P20" s="2">
        <f>SUM('[3]Sky West_AS'!$HD$41:$HO$41)</f>
        <v>5792</v>
      </c>
      <c r="Q20" s="3">
        <f>(O20-P20)/P20</f>
        <v>-0.52227209944751385</v>
      </c>
      <c r="R20" s="346">
        <f>O20/$O$73</f>
        <v>9.1178432303671702E-5</v>
      </c>
      <c r="S20" s="280"/>
      <c r="T20" s="340" t="s">
        <v>97</v>
      </c>
      <c r="U20" s="285">
        <f>'[3]Sky West_AS'!$IC$64</f>
        <v>0</v>
      </c>
      <c r="V20" s="2">
        <f>'[3]Sky West_AS'!$HO$64</f>
        <v>0</v>
      </c>
      <c r="W20" s="66" t="e">
        <f>(U20-V20)/V20</f>
        <v>#DIV/0!</v>
      </c>
      <c r="X20" s="285">
        <f>SUM('[3]Sky West_AS'!$HR$64:$IC$64)</f>
        <v>4924</v>
      </c>
      <c r="Y20" s="2">
        <f>SUM('[3]Sky West_AS'!$HD$64:$HO$64)</f>
        <v>6575</v>
      </c>
      <c r="Z20" s="3">
        <f>(X20-Y20)/Y20</f>
        <v>-0.25110266159695815</v>
      </c>
      <c r="AA20" s="346">
        <f>X20/$X$73</f>
        <v>4.9325970233520004E-5</v>
      </c>
    </row>
    <row r="21" spans="1:27" ht="14.1" customHeight="1" x14ac:dyDescent="0.2">
      <c r="A21" s="280"/>
      <c r="B21" s="340" t="s">
        <v>193</v>
      </c>
      <c r="C21" s="285">
        <f>[3]Horizon_AS!$IC$19</f>
        <v>0</v>
      </c>
      <c r="D21" s="2">
        <f>[3]Horizon_AS!$HO$19</f>
        <v>24</v>
      </c>
      <c r="E21" s="66">
        <f>(C21-D21)/D21</f>
        <v>-1</v>
      </c>
      <c r="F21" s="2">
        <f>SUM([3]Horizon_AS!$HR$19:$IC$19)</f>
        <v>38</v>
      </c>
      <c r="G21" s="2">
        <f>SUM([3]Horizon_AS!$HD$19:$HO$19)</f>
        <v>408</v>
      </c>
      <c r="H21" s="3">
        <f>(F21-G21)/G21</f>
        <v>-0.90686274509803921</v>
      </c>
      <c r="I21" s="66">
        <f>F21/$F$73</f>
        <v>1.3768764470790292E-4</v>
      </c>
      <c r="J21" s="280"/>
      <c r="K21" s="340" t="s">
        <v>193</v>
      </c>
      <c r="L21" s="285">
        <f>[3]Horizon_AS!$IC$41</f>
        <v>0</v>
      </c>
      <c r="M21" s="2">
        <f>[3]Horizon_AS!$HO$41</f>
        <v>1654</v>
      </c>
      <c r="N21" s="66">
        <f>(L21-M21)/M21</f>
        <v>-1</v>
      </c>
      <c r="O21" s="285">
        <f>SUM([3]Horizon_AS!$HR$41:$IC$41)</f>
        <v>2604</v>
      </c>
      <c r="P21" s="2">
        <f>SUM([3]Horizon_AS!$HD$41:$HO$41)</f>
        <v>32455</v>
      </c>
      <c r="Q21" s="3">
        <f>(O21-P21)/P21</f>
        <v>-0.91976582961022957</v>
      </c>
      <c r="R21" s="346">
        <f>O21/$O$73</f>
        <v>8.5807241676458658E-5</v>
      </c>
      <c r="S21" s="280"/>
      <c r="T21" s="340" t="s">
        <v>193</v>
      </c>
      <c r="U21" s="285">
        <f>[3]Horizon_AS!$IC$64</f>
        <v>0</v>
      </c>
      <c r="V21" s="2">
        <f>[3]Horizon_AS!$HO$64</f>
        <v>647</v>
      </c>
      <c r="W21" s="66">
        <f>(U21-V21)/V21</f>
        <v>-1</v>
      </c>
      <c r="X21" s="285">
        <f>SUM([3]Horizon_AS!$HR$64:$IC$64)</f>
        <v>2675</v>
      </c>
      <c r="Y21" s="2">
        <f>SUM([3]Horizon_AS!$HD$64:$HO$64)</f>
        <v>24077</v>
      </c>
      <c r="Z21" s="3">
        <f>(X21-Y21)/Y21</f>
        <v>-0.88889811853636247</v>
      </c>
      <c r="AA21" s="346">
        <f>X21/$X$73</f>
        <v>2.6796703975358654E-5</v>
      </c>
    </row>
    <row r="22" spans="1:27" ht="14.1" customHeight="1" x14ac:dyDescent="0.2">
      <c r="A22" s="280"/>
      <c r="B22" s="40"/>
      <c r="C22" s="281"/>
      <c r="D22" s="286"/>
      <c r="E22" s="284"/>
      <c r="F22" s="286"/>
      <c r="G22" s="286"/>
      <c r="H22" s="282"/>
      <c r="I22" s="284"/>
      <c r="J22" s="280"/>
      <c r="K22" s="40"/>
      <c r="L22" s="140"/>
      <c r="M22" s="96"/>
      <c r="N22" s="66"/>
      <c r="O22" s="140"/>
      <c r="P22" s="96"/>
      <c r="Q22" s="3"/>
      <c r="R22" s="66"/>
      <c r="S22" s="280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0" t="s">
        <v>17</v>
      </c>
      <c r="B23" s="287"/>
      <c r="C23" s="281">
        <f>SUM(C24:C29)</f>
        <v>1051</v>
      </c>
      <c r="D23" s="283">
        <f>SUM(D24:D29)</f>
        <v>1055</v>
      </c>
      <c r="E23" s="284">
        <f t="shared" ref="E23:E29" si="12">(C23-D23)/D23</f>
        <v>-3.7914691943127963E-3</v>
      </c>
      <c r="F23" s="281">
        <f>SUM(F24:F29)</f>
        <v>12536</v>
      </c>
      <c r="G23" s="283">
        <f>SUM(G24:G29)</f>
        <v>12686</v>
      </c>
      <c r="H23" s="282">
        <f t="shared" ref="H23:H29" si="13">(F23-G23)/G23</f>
        <v>-1.1824058016711336E-2</v>
      </c>
      <c r="I23" s="284">
        <f t="shared" ref="I23:I29" si="14">F23/$F$73</f>
        <v>4.5422429317322918E-2</v>
      </c>
      <c r="J23" s="280" t="s">
        <v>17</v>
      </c>
      <c r="K23" s="287"/>
      <c r="L23" s="281">
        <f>SUM(L24:L29)</f>
        <v>110560</v>
      </c>
      <c r="M23" s="283">
        <f>SUM(M24:M29)</f>
        <v>115091</v>
      </c>
      <c r="N23" s="284">
        <f t="shared" ref="N23:N29" si="15">(L23-M23)/M23</f>
        <v>-3.9368847259994268E-2</v>
      </c>
      <c r="O23" s="281">
        <f>SUM(O24:O29)</f>
        <v>1384322</v>
      </c>
      <c r="P23" s="283">
        <f>SUM(P24:P29)</f>
        <v>1334080</v>
      </c>
      <c r="Q23" s="282">
        <f t="shared" ref="Q23:Q29" si="16">(O23-P23)/P23</f>
        <v>3.766041017030463E-2</v>
      </c>
      <c r="R23" s="284">
        <f t="shared" ref="R23:R29" si="17">O23/$O$73</f>
        <v>4.5616302769600076E-2</v>
      </c>
      <c r="S23" s="280" t="s">
        <v>17</v>
      </c>
      <c r="T23" s="287"/>
      <c r="U23" s="281">
        <f>SUM(U24:U29)</f>
        <v>87679</v>
      </c>
      <c r="V23" s="283">
        <f>SUM(V24:V29)</f>
        <v>143779</v>
      </c>
      <c r="W23" s="284">
        <f t="shared" ref="W23:W27" si="18">(U23-V23)/V23</f>
        <v>-0.39018215455664595</v>
      </c>
      <c r="X23" s="281">
        <f>SUM(X24:X29)</f>
        <v>1235353</v>
      </c>
      <c r="Y23" s="283">
        <f>SUM(Y24:Y29)</f>
        <v>1642595</v>
      </c>
      <c r="Z23" s="282">
        <f t="shared" ref="Z23:Z27" si="19">(X23-Y23)/Y23</f>
        <v>-0.24792599514792144</v>
      </c>
      <c r="AA23" s="284">
        <f t="shared" ref="AA23:AA29" si="20">X23/$X$73</f>
        <v>1.2375098559278968E-2</v>
      </c>
    </row>
    <row r="24" spans="1:27" ht="14.1" customHeight="1" x14ac:dyDescent="0.2">
      <c r="A24" s="38"/>
      <c r="B24" s="40" t="s">
        <v>17</v>
      </c>
      <c r="C24" s="285">
        <f>[3]American!$IC$19</f>
        <v>621</v>
      </c>
      <c r="D24" s="2">
        <f>[3]American!$HO$19</f>
        <v>621</v>
      </c>
      <c r="E24" s="66">
        <f t="shared" si="12"/>
        <v>0</v>
      </c>
      <c r="F24" s="2">
        <f>SUM([3]American!$HR$19:$IC$19)</f>
        <v>7071</v>
      </c>
      <c r="G24" s="2">
        <f>SUM([3]American!$HD$19:$HO$19)</f>
        <v>7893</v>
      </c>
      <c r="H24" s="3">
        <f t="shared" si="13"/>
        <v>-0.10414291144051692</v>
      </c>
      <c r="I24" s="66">
        <f t="shared" si="14"/>
        <v>2.5620771992883724E-2</v>
      </c>
      <c r="J24" s="38"/>
      <c r="K24" s="40" t="s">
        <v>17</v>
      </c>
      <c r="L24" s="285">
        <f>[3]American!$IC$41</f>
        <v>86575</v>
      </c>
      <c r="M24" s="2">
        <f>[3]American!$HO$41</f>
        <v>91352</v>
      </c>
      <c r="N24" s="66">
        <f t="shared" si="15"/>
        <v>-5.2292232244504772E-2</v>
      </c>
      <c r="O24" s="285">
        <f>SUM([3]American!$HR$41:$IC$41)</f>
        <v>1063030</v>
      </c>
      <c r="P24" s="2">
        <f>SUM([3]American!$HD$41:$HO$41)</f>
        <v>1049168</v>
      </c>
      <c r="Q24" s="3">
        <f t="shared" si="16"/>
        <v>1.3212373995394445E-2</v>
      </c>
      <c r="R24" s="66">
        <f t="shared" si="17"/>
        <v>3.5029059953658161E-2</v>
      </c>
      <c r="S24" s="38"/>
      <c r="T24" s="40" t="s">
        <v>17</v>
      </c>
      <c r="U24" s="285">
        <f>[3]American!$IC$64</f>
        <v>84220</v>
      </c>
      <c r="V24" s="2">
        <f>[3]American!$HO$64</f>
        <v>142080</v>
      </c>
      <c r="W24" s="66">
        <f t="shared" si="18"/>
        <v>-0.40723536036036034</v>
      </c>
      <c r="X24" s="285">
        <f>SUM([3]American!$HR$64:$IC$64)</f>
        <v>1194635</v>
      </c>
      <c r="Y24" s="2">
        <f>SUM([3]American!$HD$64:$HO$64)</f>
        <v>1619926</v>
      </c>
      <c r="Z24" s="3">
        <f t="shared" si="19"/>
        <v>-0.26253730108659284</v>
      </c>
      <c r="AA24" s="66">
        <f t="shared" si="20"/>
        <v>1.1967207646206573E-2</v>
      </c>
    </row>
    <row r="25" spans="1:27" ht="14.1" customHeight="1" x14ac:dyDescent="0.2">
      <c r="A25" s="38"/>
      <c r="B25" s="340" t="s">
        <v>165</v>
      </c>
      <c r="C25" s="285">
        <f>'[3]American Eagle'!$IC$19</f>
        <v>164</v>
      </c>
      <c r="D25" s="2">
        <f>'[3]American Eagle'!$HO$19</f>
        <v>58</v>
      </c>
      <c r="E25" s="66">
        <f t="shared" si="12"/>
        <v>1.8275862068965518</v>
      </c>
      <c r="F25" s="2">
        <f>SUM('[3]American Eagle'!$HR$19:$IC$19)</f>
        <v>1419</v>
      </c>
      <c r="G25" s="2">
        <f>SUM('[3]American Eagle'!$HD$19:$HO$19)</f>
        <v>1592</v>
      </c>
      <c r="H25" s="3">
        <f t="shared" si="13"/>
        <v>-0.10866834170854271</v>
      </c>
      <c r="I25" s="66">
        <f t="shared" si="14"/>
        <v>5.1415465221187956E-3</v>
      </c>
      <c r="J25" s="38"/>
      <c r="K25" s="340" t="s">
        <v>165</v>
      </c>
      <c r="L25" s="285">
        <f>'[3]American Eagle'!$IC$41</f>
        <v>8561</v>
      </c>
      <c r="M25" s="2">
        <f>'[3]American Eagle'!$HO$41</f>
        <v>3159</v>
      </c>
      <c r="N25" s="66">
        <f t="shared" si="15"/>
        <v>1.7100348211459322</v>
      </c>
      <c r="O25" s="285">
        <f>SUM('[3]American Eagle'!$HR$41:$IC$41)</f>
        <v>77360</v>
      </c>
      <c r="P25" s="2">
        <f>SUM('[3]American Eagle'!$HD$41:$HO$41)</f>
        <v>100092</v>
      </c>
      <c r="Q25" s="3">
        <f t="shared" si="16"/>
        <v>-0.22711105782679936</v>
      </c>
      <c r="R25" s="66">
        <f t="shared" si="17"/>
        <v>2.549173662093257E-3</v>
      </c>
      <c r="S25" s="38"/>
      <c r="T25" s="340" t="s">
        <v>165</v>
      </c>
      <c r="U25" s="285">
        <f>'[3]American Eagle'!$IC$64</f>
        <v>523</v>
      </c>
      <c r="V25" s="2">
        <f>'[3]American Eagle'!$HO$64</f>
        <v>1503</v>
      </c>
      <c r="W25" s="66">
        <f t="shared" si="18"/>
        <v>-0.65202927478376582</v>
      </c>
      <c r="X25" s="285">
        <f>SUM('[3]American Eagle'!$HR$64:$IC$64)</f>
        <v>25627</v>
      </c>
      <c r="Y25" s="2">
        <f>SUM('[3]American Eagle'!$HD$64:$HO$64)</f>
        <v>13387</v>
      </c>
      <c r="Z25" s="3">
        <f t="shared" si="19"/>
        <v>0.91431986255322328</v>
      </c>
      <c r="AA25" s="66">
        <f t="shared" si="20"/>
        <v>2.5671743281365092E-4</v>
      </c>
    </row>
    <row r="26" spans="1:27" ht="14.1" customHeight="1" x14ac:dyDescent="0.2">
      <c r="A26" s="38"/>
      <c r="B26" s="340" t="s">
        <v>52</v>
      </c>
      <c r="C26" s="285">
        <f>[3]Republic!$IC$19</f>
        <v>150</v>
      </c>
      <c r="D26" s="2">
        <f>[3]Republic!$HO$19</f>
        <v>170</v>
      </c>
      <c r="E26" s="66">
        <f t="shared" si="12"/>
        <v>-0.11764705882352941</v>
      </c>
      <c r="F26" s="2">
        <f>SUM([3]Republic!$HR$19:$IC$19)</f>
        <v>2164</v>
      </c>
      <c r="G26" s="2">
        <f>SUM([3]Republic!$HD$19:$HO$19)</f>
        <v>2021</v>
      </c>
      <c r="H26" s="3">
        <f t="shared" si="13"/>
        <v>7.0757050964868881E-2</v>
      </c>
      <c r="I26" s="66">
        <f t="shared" si="14"/>
        <v>7.8409490302079454E-3</v>
      </c>
      <c r="J26" s="38"/>
      <c r="K26" s="288" t="s">
        <v>52</v>
      </c>
      <c r="L26" s="285">
        <f>[3]Republic!$IC$41</f>
        <v>9272</v>
      </c>
      <c r="M26" s="2">
        <f>[3]Republic!$HO$41</f>
        <v>8785</v>
      </c>
      <c r="N26" s="66">
        <f t="shared" si="15"/>
        <v>5.5435401252134323E-2</v>
      </c>
      <c r="O26" s="285">
        <f>SUM([3]Republic!$HR$41:$IC$41)</f>
        <v>130092</v>
      </c>
      <c r="P26" s="2">
        <f>SUM([3]Republic!$HD$41:$HO$41)</f>
        <v>118623</v>
      </c>
      <c r="Q26" s="3">
        <f t="shared" si="16"/>
        <v>9.6684454110922843E-2</v>
      </c>
      <c r="R26" s="66">
        <f t="shared" si="17"/>
        <v>4.2868032581312825E-3</v>
      </c>
      <c r="S26" s="38"/>
      <c r="T26" s="288" t="s">
        <v>52</v>
      </c>
      <c r="U26" s="285">
        <f>[3]Republic!$IC$64</f>
        <v>2730</v>
      </c>
      <c r="V26" s="2">
        <f>[3]Republic!$HO$64</f>
        <v>5</v>
      </c>
      <c r="W26" s="66">
        <f t="shared" si="18"/>
        <v>545</v>
      </c>
      <c r="X26" s="285">
        <f>SUM([3]Republic!$HR$64:$IC$64)</f>
        <v>10523</v>
      </c>
      <c r="Y26" s="2">
        <f>SUM([3]Republic!$HD$64:$HO$64)</f>
        <v>6615</v>
      </c>
      <c r="Z26" s="3">
        <f t="shared" si="19"/>
        <v>0.59077853363567645</v>
      </c>
      <c r="AA26" s="66">
        <f t="shared" si="20"/>
        <v>1.0541372558231742E-4</v>
      </c>
    </row>
    <row r="27" spans="1:27" ht="14.1" customHeight="1" x14ac:dyDescent="0.2">
      <c r="A27" s="38"/>
      <c r="B27" s="340" t="s">
        <v>182</v>
      </c>
      <c r="C27" s="285">
        <f>[3]PSA!$IC$19</f>
        <v>116</v>
      </c>
      <c r="D27" s="2">
        <f>[3]PSA!$HO$19</f>
        <v>90</v>
      </c>
      <c r="E27" s="66">
        <f t="shared" si="12"/>
        <v>0.28888888888888886</v>
      </c>
      <c r="F27" s="2">
        <f>SUM([3]PSA!$HR$19:$IC$19)</f>
        <v>1388</v>
      </c>
      <c r="G27" s="2">
        <f>SUM([3]PSA!$HD$19:$HO$19)</f>
        <v>424</v>
      </c>
      <c r="H27" s="3">
        <f t="shared" si="13"/>
        <v>2.2735849056603774</v>
      </c>
      <c r="I27" s="66">
        <f t="shared" si="14"/>
        <v>5.0292223909097168E-3</v>
      </c>
      <c r="J27" s="38"/>
      <c r="K27" s="340" t="s">
        <v>182</v>
      </c>
      <c r="L27" s="285">
        <f>[3]PSA!$IC$41</f>
        <v>6152</v>
      </c>
      <c r="M27" s="2">
        <f>[3]PSA!$HO$41</f>
        <v>5169</v>
      </c>
      <c r="N27" s="66">
        <f t="shared" si="15"/>
        <v>0.1901721803056684</v>
      </c>
      <c r="O27" s="285">
        <f>SUM([3]PSA!$HR$41:$IC$41)</f>
        <v>86050</v>
      </c>
      <c r="P27" s="2">
        <f>SUM([3]PSA!$HD$41:$HO$41)</f>
        <v>23983</v>
      </c>
      <c r="Q27" s="3">
        <f t="shared" si="16"/>
        <v>2.5879581370137181</v>
      </c>
      <c r="R27" s="66">
        <f t="shared" si="17"/>
        <v>2.835527321912161E-3</v>
      </c>
      <c r="S27" s="38"/>
      <c r="T27" s="340" t="s">
        <v>182</v>
      </c>
      <c r="U27" s="285">
        <f>[3]PSA!$IC$64</f>
        <v>206</v>
      </c>
      <c r="V27" s="2">
        <f>[3]PSA!$HO$64</f>
        <v>0</v>
      </c>
      <c r="W27" s="66" t="e">
        <f t="shared" si="18"/>
        <v>#DIV/0!</v>
      </c>
      <c r="X27" s="285">
        <f>SUM([3]PSA!$HR$64:$IC$64)</f>
        <v>1830</v>
      </c>
      <c r="Y27" s="2">
        <f>SUM([3]PSA!$HD$64:$HO$64)</f>
        <v>31</v>
      </c>
      <c r="Z27" s="3">
        <f t="shared" si="19"/>
        <v>58.032258064516128</v>
      </c>
      <c r="AA27" s="66">
        <f t="shared" si="20"/>
        <v>1.8331950756974331E-5</v>
      </c>
    </row>
    <row r="28" spans="1:27" ht="14.1" customHeight="1" x14ac:dyDescent="0.2">
      <c r="A28" s="38"/>
      <c r="B28" s="340" t="s">
        <v>97</v>
      </c>
      <c r="C28" s="285">
        <f>'[3]Sky West_AA'!$IC$19</f>
        <v>0</v>
      </c>
      <c r="D28" s="2">
        <f>'[3]Sky West_AA'!$HO$19</f>
        <v>116</v>
      </c>
      <c r="E28" s="66">
        <f>(C28-D28)/D28</f>
        <v>-1</v>
      </c>
      <c r="F28" s="2">
        <f>SUM('[3]Sky West_AA'!$HR$19:$IC$19)</f>
        <v>494</v>
      </c>
      <c r="G28" s="2">
        <f>SUM('[3]Sky West_AA'!$HD$19:$HO$19)</f>
        <v>756</v>
      </c>
      <c r="H28" s="3">
        <f>(F28-G28)/G28</f>
        <v>-0.34656084656084657</v>
      </c>
      <c r="I28" s="66">
        <f t="shared" si="14"/>
        <v>1.7899393812027377E-3</v>
      </c>
      <c r="J28" s="38"/>
      <c r="K28" s="340" t="s">
        <v>97</v>
      </c>
      <c r="L28" s="285">
        <f>'[3]Sky West_AA'!$IC$41</f>
        <v>0</v>
      </c>
      <c r="M28" s="2">
        <f>'[3]Sky West_AA'!$HO$41</f>
        <v>6626</v>
      </c>
      <c r="N28" s="66">
        <f>(L28-M28)/M28</f>
        <v>-1</v>
      </c>
      <c r="O28" s="285">
        <f>SUM('[3]Sky West_AA'!$HR$41:$IC$41)</f>
        <v>27790</v>
      </c>
      <c r="P28" s="2">
        <f>SUM('[3]Sky West_AA'!$HD$41:$HO$41)</f>
        <v>42214</v>
      </c>
      <c r="Q28" s="3">
        <f>(O28-P28)/P28</f>
        <v>-0.3416875917941915</v>
      </c>
      <c r="R28" s="346">
        <f t="shared" si="17"/>
        <v>9.1573857380521735E-4</v>
      </c>
      <c r="S28" s="38"/>
      <c r="T28" s="340" t="s">
        <v>97</v>
      </c>
      <c r="U28" s="285">
        <f>'[3]Sky West_AA'!$IC$64</f>
        <v>0</v>
      </c>
      <c r="V28" s="2">
        <f>'[3]Sky West_AA'!$HO$64</f>
        <v>191</v>
      </c>
      <c r="W28" s="66">
        <f>(U28-V28)/V28</f>
        <v>-1</v>
      </c>
      <c r="X28" s="285">
        <f>SUM('[3]Sky West_AA'!$HR$64:$IC$64)</f>
        <v>2738</v>
      </c>
      <c r="Y28" s="2">
        <f>SUM('[3]Sky West_AA'!$HD$64:$HO$64)</f>
        <v>2636</v>
      </c>
      <c r="Z28" s="3">
        <f>(X28-Y28)/Y28</f>
        <v>3.8694992412746584E-2</v>
      </c>
      <c r="AA28" s="346">
        <f t="shared" si="20"/>
        <v>2.7427803919451212E-5</v>
      </c>
    </row>
    <row r="29" spans="1:27" ht="14.1" customHeight="1" x14ac:dyDescent="0.2">
      <c r="A29" s="38"/>
      <c r="B29" s="340" t="s">
        <v>51</v>
      </c>
      <c r="C29" s="285">
        <f>[3]MESA!$IC$19</f>
        <v>0</v>
      </c>
      <c r="D29" s="2">
        <f>[3]MESA!$HO$19</f>
        <v>0</v>
      </c>
      <c r="E29" s="66" t="e">
        <f t="shared" si="12"/>
        <v>#DIV/0!</v>
      </c>
      <c r="F29" s="2">
        <f>SUM([3]MESA!$HR$19:$IC$19)</f>
        <v>0</v>
      </c>
      <c r="G29" s="2">
        <f>SUM([3]MESA!$HD$19:$HO$19)</f>
        <v>0</v>
      </c>
      <c r="H29" s="3" t="e">
        <f t="shared" si="13"/>
        <v>#DIV/0!</v>
      </c>
      <c r="I29" s="66">
        <f t="shared" si="14"/>
        <v>0</v>
      </c>
      <c r="J29" s="38"/>
      <c r="K29" s="340" t="s">
        <v>51</v>
      </c>
      <c r="L29" s="285">
        <f>[3]MESA!$IC$41</f>
        <v>0</v>
      </c>
      <c r="M29" s="2">
        <f>[3]MESA!$HO$41</f>
        <v>0</v>
      </c>
      <c r="N29" s="66" t="e">
        <f t="shared" si="15"/>
        <v>#DIV/0!</v>
      </c>
      <c r="O29" s="285">
        <f>SUM([3]MESA!$HR$41:$IC$41)</f>
        <v>0</v>
      </c>
      <c r="P29" s="2">
        <f>SUM([3]MESA!$HD$41:$HO$41)</f>
        <v>0</v>
      </c>
      <c r="Q29" s="3" t="e">
        <f t="shared" si="16"/>
        <v>#DIV/0!</v>
      </c>
      <c r="R29" s="66">
        <f t="shared" si="17"/>
        <v>0</v>
      </c>
      <c r="S29" s="38"/>
      <c r="T29" s="340" t="s">
        <v>51</v>
      </c>
      <c r="U29" s="285">
        <f>[3]MESA!$IC$64</f>
        <v>0</v>
      </c>
      <c r="V29" s="2">
        <f>[3]MESA!$HO$64</f>
        <v>0</v>
      </c>
      <c r="W29" s="66" t="e">
        <f t="shared" ref="W29" si="21">(U29-V29)/V29</f>
        <v>#DIV/0!</v>
      </c>
      <c r="X29" s="285">
        <f>SUM([3]MESA!$HR$64:$IC$64)</f>
        <v>0</v>
      </c>
      <c r="Y29" s="2">
        <f>SUM([3]MESA!$HD$64:$HO$64)</f>
        <v>0</v>
      </c>
      <c r="Z29" s="3" t="e">
        <f t="shared" ref="Z29" si="22">(X29-Y29)/Y29</f>
        <v>#DIV/0!</v>
      </c>
      <c r="AA29" s="66">
        <f t="shared" si="20"/>
        <v>0</v>
      </c>
    </row>
    <row r="30" spans="1:27" ht="14.1" customHeight="1" x14ac:dyDescent="0.2">
      <c r="A30" s="38"/>
      <c r="B30" s="40"/>
      <c r="C30" s="285"/>
      <c r="E30" s="66"/>
      <c r="F30" s="2"/>
      <c r="I30" s="66"/>
      <c r="J30" s="38"/>
      <c r="K30" s="40"/>
      <c r="L30" s="285"/>
      <c r="N30" s="66"/>
      <c r="O30" s="285"/>
      <c r="P30" s="2"/>
      <c r="Q30" s="3"/>
      <c r="R30" s="66"/>
      <c r="S30" s="38"/>
      <c r="T30" s="40"/>
      <c r="U30" s="285"/>
      <c r="V30" s="2"/>
      <c r="W30" s="66"/>
      <c r="X30" s="285"/>
      <c r="Y30" s="2"/>
      <c r="Z30" s="3"/>
      <c r="AA30" s="66"/>
    </row>
    <row r="31" spans="1:27" ht="14.1" customHeight="1" x14ac:dyDescent="0.2">
      <c r="A31" s="280" t="s">
        <v>179</v>
      </c>
      <c r="B31" s="40"/>
      <c r="C31" s="281">
        <f>'[3]Boutique Air'!$IC$19</f>
        <v>0</v>
      </c>
      <c r="D31" s="283">
        <f>'[3]Boutique Air'!$HO$19</f>
        <v>0</v>
      </c>
      <c r="E31" s="284" t="e">
        <f>(C31-D31)/D31</f>
        <v>#DIV/0!</v>
      </c>
      <c r="F31" s="283">
        <f>SUM('[3]Boutique Air'!$HR$19:$IC$19)</f>
        <v>0</v>
      </c>
      <c r="G31" s="283">
        <f>SUM('[3]Boutique Air'!$HD$19:$HO$19)</f>
        <v>416</v>
      </c>
      <c r="H31" s="282">
        <f>(F31-G31)/G31</f>
        <v>-1</v>
      </c>
      <c r="I31" s="284">
        <f>F31/$F$73</f>
        <v>0</v>
      </c>
      <c r="J31" s="280" t="s">
        <v>179</v>
      </c>
      <c r="K31" s="40"/>
      <c r="L31" s="281">
        <f>'[3]Boutique Air'!$IC$41</f>
        <v>0</v>
      </c>
      <c r="M31" s="283">
        <f>'[3]Boutique Air'!$HO$41</f>
        <v>0</v>
      </c>
      <c r="N31" s="284" t="e">
        <f>(L31-M31)/M31</f>
        <v>#DIV/0!</v>
      </c>
      <c r="O31" s="281">
        <f>SUM('[3]Boutique Air'!$HR$41:$IC$41)</f>
        <v>0</v>
      </c>
      <c r="P31" s="283">
        <f>SUM('[3]Boutique Air'!$HD$41:$HO$41)</f>
        <v>1900</v>
      </c>
      <c r="Q31" s="282">
        <f>(O31-P31)/P31</f>
        <v>-1</v>
      </c>
      <c r="R31" s="284">
        <f>O31/$O$73</f>
        <v>0</v>
      </c>
      <c r="S31" s="280" t="s">
        <v>179</v>
      </c>
      <c r="T31" s="40"/>
      <c r="U31" s="281">
        <f>'[3]Boutique Air'!$IC$64</f>
        <v>0</v>
      </c>
      <c r="V31" s="283">
        <f>'[3]Boutique Air'!$HO$64</f>
        <v>0</v>
      </c>
      <c r="W31" s="284" t="e">
        <f>(U31-V31)/V31</f>
        <v>#DIV/0!</v>
      </c>
      <c r="X31" s="281">
        <f>SUM('[3]Boutique Air'!$HR$64:$IC$64)</f>
        <v>0</v>
      </c>
      <c r="Y31" s="283">
        <f>SUM('[3]Boutique Air'!$HD$64:$HO$64)</f>
        <v>0</v>
      </c>
      <c r="Z31" s="282" t="e">
        <f>(X31-Y31)/Y31</f>
        <v>#DIV/0!</v>
      </c>
      <c r="AA31" s="284">
        <f>X31/$X$73</f>
        <v>0</v>
      </c>
    </row>
    <row r="32" spans="1:27" ht="14.1" customHeight="1" x14ac:dyDescent="0.2">
      <c r="A32" s="38"/>
      <c r="B32" s="40"/>
      <c r="C32" s="285"/>
      <c r="E32" s="66"/>
      <c r="F32" s="2"/>
      <c r="I32" s="66"/>
      <c r="J32" s="38"/>
      <c r="K32" s="40"/>
      <c r="L32" s="285"/>
      <c r="N32" s="66"/>
      <c r="O32" s="285"/>
      <c r="P32" s="2"/>
      <c r="Q32" s="3"/>
      <c r="R32" s="66"/>
      <c r="S32" s="38"/>
      <c r="T32" s="40"/>
      <c r="U32" s="285"/>
      <c r="V32" s="2"/>
      <c r="W32" s="66"/>
      <c r="X32" s="285"/>
      <c r="Y32" s="2"/>
      <c r="Z32" s="3"/>
      <c r="AA32" s="66"/>
    </row>
    <row r="33" spans="1:27" ht="14.1" customHeight="1" x14ac:dyDescent="0.2">
      <c r="A33" s="280" t="s">
        <v>161</v>
      </c>
      <c r="B33" s="40"/>
      <c r="C33" s="281">
        <f>[3]Condor!$IC$19</f>
        <v>0</v>
      </c>
      <c r="D33" s="283">
        <f>[3]Condor!$HO$19</f>
        <v>0</v>
      </c>
      <c r="E33" s="284" t="e">
        <f>(C33-D33)/D33</f>
        <v>#DIV/0!</v>
      </c>
      <c r="F33" s="283">
        <f>SUM([3]Condor!$HR$19:$IC$19)</f>
        <v>98</v>
      </c>
      <c r="G33" s="283">
        <f>SUM([3]Condor!$HD$19:$HO$19)</f>
        <v>0</v>
      </c>
      <c r="H33" s="282" t="e">
        <f>(F33-G33)/G33</f>
        <v>#DIV/0!</v>
      </c>
      <c r="I33" s="284">
        <f>F33/$F$73</f>
        <v>3.5508918898353911E-4</v>
      </c>
      <c r="J33" s="280" t="s">
        <v>161</v>
      </c>
      <c r="K33" s="40"/>
      <c r="L33" s="281">
        <f>[3]Condor!$IC$41</f>
        <v>0</v>
      </c>
      <c r="M33" s="283">
        <f>[3]Condor!$HO$41</f>
        <v>0</v>
      </c>
      <c r="N33" s="284" t="e">
        <f>(L33-M33)/M33</f>
        <v>#DIV/0!</v>
      </c>
      <c r="O33" s="281">
        <f>SUM([3]Condor!$HR$41:$IC$41)</f>
        <v>19394</v>
      </c>
      <c r="P33" s="283">
        <f>SUM([3]Condor!$HD$41:$HO$41)</f>
        <v>0</v>
      </c>
      <c r="Q33" s="282" t="e">
        <f>(O33-P33)/P33</f>
        <v>#DIV/0!</v>
      </c>
      <c r="R33" s="284">
        <f>O33/$O$73</f>
        <v>6.3907282836913942E-4</v>
      </c>
      <c r="S33" s="280" t="s">
        <v>161</v>
      </c>
      <c r="T33" s="40"/>
      <c r="U33" s="281">
        <f>[3]Condor!$IC$64</f>
        <v>0</v>
      </c>
      <c r="V33" s="283">
        <f>[3]Condor!$HO$64</f>
        <v>0</v>
      </c>
      <c r="W33" s="284" t="e">
        <f>(U33-V33)/V33</f>
        <v>#DIV/0!</v>
      </c>
      <c r="X33" s="281">
        <f>SUM([3]Condor!$HR$64:$IC$64)</f>
        <v>606468</v>
      </c>
      <c r="Y33" s="283">
        <f>SUM([3]Condor!$HD$64:$HO$64)</f>
        <v>0</v>
      </c>
      <c r="Z33" s="282" t="e">
        <f>(X33-Y33)/Y33</f>
        <v>#DIV/0!</v>
      </c>
      <c r="AA33" s="284">
        <f>X33/$X$73</f>
        <v>6.0752685856178736E-3</v>
      </c>
    </row>
    <row r="34" spans="1:27" ht="14.1" customHeight="1" x14ac:dyDescent="0.2">
      <c r="A34" s="38"/>
      <c r="B34" s="40"/>
      <c r="C34" s="285"/>
      <c r="E34" s="66"/>
      <c r="F34" s="2"/>
      <c r="I34" s="66"/>
      <c r="J34" s="38"/>
      <c r="K34" s="40"/>
      <c r="L34" s="285"/>
      <c r="N34" s="66"/>
      <c r="O34" s="285"/>
      <c r="P34" s="2"/>
      <c r="Q34" s="3"/>
      <c r="R34" s="66"/>
      <c r="S34" s="38"/>
      <c r="T34" s="40"/>
      <c r="U34" s="285"/>
      <c r="V34" s="2"/>
      <c r="W34" s="66"/>
      <c r="X34" s="285"/>
      <c r="Y34" s="2"/>
      <c r="Z34" s="3"/>
      <c r="AA34" s="66"/>
    </row>
    <row r="35" spans="1:27" ht="14.1" customHeight="1" x14ac:dyDescent="0.2">
      <c r="A35" s="280" t="s">
        <v>229</v>
      </c>
      <c r="B35" s="40"/>
      <c r="C35" s="281">
        <f>'[3]Denver Air'!$IC$19</f>
        <v>162</v>
      </c>
      <c r="D35" s="283">
        <f>'[3]Denver Air'!$HO$19</f>
        <v>162</v>
      </c>
      <c r="E35" s="284">
        <f>(C35-D35)/D35</f>
        <v>0</v>
      </c>
      <c r="F35" s="283">
        <f>SUM('[3]Denver Air'!$HR$19:$IC$19)</f>
        <v>1888</v>
      </c>
      <c r="G35" s="283">
        <f>SUM('[3]Denver Air'!$HD$19:$HO$19)</f>
        <v>1450</v>
      </c>
      <c r="H35" s="282">
        <f>(F35-G35)/G35</f>
        <v>0.30206896551724138</v>
      </c>
      <c r="I35" s="284">
        <f>F35/$F$73</f>
        <v>6.8409019265400182E-3</v>
      </c>
      <c r="J35" s="280" t="s">
        <v>229</v>
      </c>
      <c r="K35" s="40"/>
      <c r="L35" s="281">
        <f>'[3]Denver Air'!$IC$41</f>
        <v>1935</v>
      </c>
      <c r="M35" s="283">
        <f>'[3]Denver Air'!$HO$41</f>
        <v>1908</v>
      </c>
      <c r="N35" s="284">
        <f>(L35-M35)/M35</f>
        <v>1.4150943396226415E-2</v>
      </c>
      <c r="O35" s="281">
        <f>SUM('[3]Denver Air'!$HR$41:$IC$41)</f>
        <v>19182</v>
      </c>
      <c r="P35" s="283">
        <f>SUM('[3]Denver Air'!$HD$41:$HO$41)</f>
        <v>12136</v>
      </c>
      <c r="Q35" s="282">
        <f>(O35-P35)/P35</f>
        <v>0.58058668424522086</v>
      </c>
      <c r="R35" s="284">
        <f>O35/$O$73</f>
        <v>6.3208698534478875E-4</v>
      </c>
      <c r="S35" s="280" t="s">
        <v>229</v>
      </c>
      <c r="T35" s="40"/>
      <c r="U35" s="281">
        <f>'[3]Denver Air'!$IC$64</f>
        <v>0</v>
      </c>
      <c r="V35" s="283">
        <f>'[3]Denver Air'!$HO$64</f>
        <v>0</v>
      </c>
      <c r="W35" s="284" t="e">
        <f>(U35-V35)/V35</f>
        <v>#DIV/0!</v>
      </c>
      <c r="X35" s="281">
        <f>SUM('[3]Denver Air'!$HR$64:$IC$64)</f>
        <v>0</v>
      </c>
      <c r="Y35" s="283">
        <f>SUM('[3]Denver Air'!$HD$64:$HO$64)</f>
        <v>0</v>
      </c>
      <c r="Z35" s="282" t="e">
        <f>(X35-Y35)/Y35</f>
        <v>#DIV/0!</v>
      </c>
      <c r="AA35" s="284">
        <f>X35/$X$71</f>
        <v>0</v>
      </c>
    </row>
    <row r="36" spans="1:27" ht="14.1" customHeight="1" x14ac:dyDescent="0.2">
      <c r="A36" s="38"/>
      <c r="B36" s="40"/>
      <c r="C36" s="285"/>
      <c r="E36" s="66"/>
      <c r="F36" s="2"/>
      <c r="I36" s="66"/>
      <c r="J36" s="38"/>
      <c r="K36" s="40"/>
      <c r="L36" s="285"/>
      <c r="N36" s="66"/>
      <c r="O36" s="285"/>
      <c r="P36" s="2"/>
      <c r="Q36" s="3"/>
      <c r="R36" s="66"/>
      <c r="S36" s="38"/>
      <c r="T36" s="40"/>
      <c r="U36" s="285"/>
      <c r="V36" s="2"/>
      <c r="W36" s="66"/>
      <c r="X36" s="285"/>
      <c r="Y36" s="2"/>
      <c r="Z36" s="3"/>
      <c r="AA36" s="66"/>
    </row>
    <row r="37" spans="1:27" ht="14.1" customHeight="1" x14ac:dyDescent="0.2">
      <c r="A37" s="280" t="s">
        <v>18</v>
      </c>
      <c r="B37" s="287"/>
      <c r="C37" s="281">
        <f>SUM(C38:C44)</f>
        <v>15590</v>
      </c>
      <c r="D37" s="283">
        <f>SUM(D38:D44)</f>
        <v>17214</v>
      </c>
      <c r="E37" s="284">
        <f t="shared" ref="E37:E44" si="23">(C37-D37)/D37</f>
        <v>-9.4341814801905427E-2</v>
      </c>
      <c r="F37" s="286">
        <f>SUM(F38:F44)</f>
        <v>205498</v>
      </c>
      <c r="G37" s="286">
        <f>SUM(G38:G44)</f>
        <v>209645</v>
      </c>
      <c r="H37" s="282">
        <f>(F37-G37)/G37</f>
        <v>-1.9781058455961269E-2</v>
      </c>
      <c r="I37" s="284">
        <f t="shared" ref="I37:I44" si="24">F37/$F$73</f>
        <v>0.7445930424259114</v>
      </c>
      <c r="J37" s="280" t="s">
        <v>18</v>
      </c>
      <c r="K37" s="287"/>
      <c r="L37" s="281">
        <f>SUM(L38:L44)</f>
        <v>1689444</v>
      </c>
      <c r="M37" s="283">
        <f>SUM(M38:M44)</f>
        <v>1607860</v>
      </c>
      <c r="N37" s="284">
        <f t="shared" ref="N37:N44" si="25">(L37-M37)/M37</f>
        <v>5.074073613374299E-2</v>
      </c>
      <c r="O37" s="281">
        <f>SUM(O38:O44)</f>
        <v>21568680</v>
      </c>
      <c r="P37" s="283">
        <f>SUM(P38:P44)</f>
        <v>17576004</v>
      </c>
      <c r="Q37" s="282">
        <f t="shared" ref="Q37:Q44" si="26">(O37-P37)/P37</f>
        <v>0.22716631152337016</v>
      </c>
      <c r="R37" s="284">
        <f t="shared" ref="R37:R44" si="27">O37/$O$73</f>
        <v>0.71073307887949322</v>
      </c>
      <c r="S37" s="280" t="s">
        <v>18</v>
      </c>
      <c r="T37" s="287"/>
      <c r="U37" s="281">
        <f>SUM(U38:U44)</f>
        <v>6260246</v>
      </c>
      <c r="V37" s="283">
        <f>SUM(V38:V44)</f>
        <v>5408965</v>
      </c>
      <c r="W37" s="284">
        <f t="shared" ref="W37:W44" si="28">(U37-V37)/V37</f>
        <v>0.15738334413330463</v>
      </c>
      <c r="X37" s="281">
        <f>SUM(X38:X44)</f>
        <v>80695370</v>
      </c>
      <c r="Y37" s="283">
        <f>SUM(Y38:Y44)</f>
        <v>49271901</v>
      </c>
      <c r="Z37" s="282">
        <f t="shared" ref="Z37:Z40" si="29">(X37-Y37)/Y37</f>
        <v>0.63775637558615816</v>
      </c>
      <c r="AA37" s="284">
        <f t="shared" ref="AA37:AA44" si="30">X37/$X$73</f>
        <v>0.80836259516711673</v>
      </c>
    </row>
    <row r="38" spans="1:27" ht="14.1" customHeight="1" x14ac:dyDescent="0.2">
      <c r="A38" s="38"/>
      <c r="B38" s="40" t="s">
        <v>18</v>
      </c>
      <c r="C38" s="285">
        <f>[3]Delta!$IC$19</f>
        <v>9931</v>
      </c>
      <c r="D38" s="2">
        <f>[3]Delta!$HO$19</f>
        <v>9176</v>
      </c>
      <c r="E38" s="66">
        <f t="shared" si="23"/>
        <v>8.2279860505666963E-2</v>
      </c>
      <c r="F38" s="2">
        <f>SUM([3]Delta!$HR$19:$IC$19)</f>
        <v>120469</v>
      </c>
      <c r="G38" s="2">
        <f>SUM([3]Delta!$HD$19:$HO$19)</f>
        <v>99980</v>
      </c>
      <c r="H38" s="3">
        <f t="shared" ref="H38:H44" si="31">(F38-G38)/G38</f>
        <v>0.20493098619723946</v>
      </c>
      <c r="I38" s="66">
        <f t="shared" si="24"/>
        <v>0.43650244395569354</v>
      </c>
      <c r="J38" s="38"/>
      <c r="K38" s="40" t="s">
        <v>18</v>
      </c>
      <c r="L38" s="285">
        <f>[3]Delta!$IC$41</f>
        <v>1386607</v>
      </c>
      <c r="M38" s="2">
        <f>[3]Delta!$HO$41</f>
        <v>1233313</v>
      </c>
      <c r="N38" s="66">
        <f t="shared" si="25"/>
        <v>0.12429448161172386</v>
      </c>
      <c r="O38" s="285">
        <f>SUM([3]Delta!$HR$41:$IC$41)</f>
        <v>17048891</v>
      </c>
      <c r="P38" s="2">
        <f>SUM([3]Delta!$HD$41:$HO$41)</f>
        <v>12572535</v>
      </c>
      <c r="Q38" s="3">
        <f t="shared" si="26"/>
        <v>0.35604243694688464</v>
      </c>
      <c r="R38" s="66">
        <f t="shared" si="27"/>
        <v>0.56179658615691275</v>
      </c>
      <c r="S38" s="38"/>
      <c r="T38" s="40" t="s">
        <v>18</v>
      </c>
      <c r="U38" s="285">
        <f>[3]Delta!$IC$64</f>
        <v>6260246</v>
      </c>
      <c r="V38" s="2">
        <f>[3]Delta!$HO$64</f>
        <v>5408965</v>
      </c>
      <c r="W38" s="66">
        <f t="shared" si="28"/>
        <v>0.15738334413330463</v>
      </c>
      <c r="X38" s="285">
        <f>SUM([3]Delta!$HR$64:$IC$64)</f>
        <v>80695370</v>
      </c>
      <c r="Y38" s="2">
        <f>SUM([3]Delta!$HD$64:$HO$64)</f>
        <v>49271901</v>
      </c>
      <c r="Z38" s="3">
        <f t="shared" si="29"/>
        <v>0.63775637558615816</v>
      </c>
      <c r="AA38" s="66">
        <f t="shared" si="30"/>
        <v>0.80836259516711673</v>
      </c>
    </row>
    <row r="39" spans="1:27" ht="14.1" customHeight="1" x14ac:dyDescent="0.2">
      <c r="A39" s="38"/>
      <c r="B39" s="288" t="s">
        <v>117</v>
      </c>
      <c r="C39" s="285">
        <f>[3]Compass!$IC$19</f>
        <v>0</v>
      </c>
      <c r="D39" s="2">
        <f>[3]Compass!$HO$19</f>
        <v>0</v>
      </c>
      <c r="E39" s="66" t="e">
        <f t="shared" si="23"/>
        <v>#DIV/0!</v>
      </c>
      <c r="F39" s="2">
        <f>SUM([3]Compass!$HR$19:$IC$19)</f>
        <v>0</v>
      </c>
      <c r="G39" s="2">
        <f>SUM([3]Compass!$HD$19:$HO$19)</f>
        <v>0</v>
      </c>
      <c r="H39" s="3" t="e">
        <f t="shared" si="31"/>
        <v>#DIV/0!</v>
      </c>
      <c r="I39" s="66">
        <f t="shared" si="24"/>
        <v>0</v>
      </c>
      <c r="J39" s="38"/>
      <c r="K39" s="288" t="s">
        <v>117</v>
      </c>
      <c r="L39" s="285">
        <f>[3]Compass!$IC$41</f>
        <v>0</v>
      </c>
      <c r="M39" s="2">
        <f>[3]Compass!$HO$41</f>
        <v>0</v>
      </c>
      <c r="N39" s="66" t="e">
        <f t="shared" si="25"/>
        <v>#DIV/0!</v>
      </c>
      <c r="O39" s="285">
        <f>SUM([3]Compass!$HR$41:$IC$41)</f>
        <v>0</v>
      </c>
      <c r="P39" s="2">
        <f>SUM([3]Compass!$HD$41:$HO$41)</f>
        <v>0</v>
      </c>
      <c r="Q39" s="3" t="e">
        <f t="shared" si="26"/>
        <v>#DIV/0!</v>
      </c>
      <c r="R39" s="66">
        <f t="shared" si="27"/>
        <v>0</v>
      </c>
      <c r="S39" s="38"/>
      <c r="T39" s="288" t="s">
        <v>117</v>
      </c>
      <c r="U39" s="285">
        <f>[3]Compass!$IC$64</f>
        <v>0</v>
      </c>
      <c r="V39" s="2">
        <f>[3]Compass!$HO$64</f>
        <v>0</v>
      </c>
      <c r="W39" s="66" t="e">
        <f t="shared" si="28"/>
        <v>#DIV/0!</v>
      </c>
      <c r="X39" s="285">
        <f>SUM([3]Compass!$HR$64:$IC$64)</f>
        <v>0</v>
      </c>
      <c r="Y39" s="2">
        <f>SUM([3]Compass!$HD$64:$HO$64)</f>
        <v>0</v>
      </c>
      <c r="Z39" s="3" t="e">
        <f t="shared" si="29"/>
        <v>#DIV/0!</v>
      </c>
      <c r="AA39" s="66">
        <f t="shared" si="30"/>
        <v>0</v>
      </c>
    </row>
    <row r="40" spans="1:27" ht="14.1" customHeight="1" x14ac:dyDescent="0.2">
      <c r="A40" s="38"/>
      <c r="B40" s="40" t="s">
        <v>158</v>
      </c>
      <c r="C40" s="285">
        <f>[3]Pinnacle!$IC$19</f>
        <v>1402</v>
      </c>
      <c r="D40" s="2">
        <f>[3]Pinnacle!$HO$19</f>
        <v>2225</v>
      </c>
      <c r="E40" s="66">
        <f t="shared" si="23"/>
        <v>-0.36988764044943823</v>
      </c>
      <c r="F40" s="2">
        <f>SUM([3]Pinnacle!$HR$19:$IC$19)</f>
        <v>17668</v>
      </c>
      <c r="G40" s="2">
        <f>SUM([3]Pinnacle!$HD$19:$HO$19)</f>
        <v>39774</v>
      </c>
      <c r="H40" s="3">
        <f t="shared" si="31"/>
        <v>-0.55579021471312917</v>
      </c>
      <c r="I40" s="66">
        <f t="shared" si="24"/>
        <v>6.4017508071032334E-2</v>
      </c>
      <c r="J40" s="38"/>
      <c r="K40" s="40" t="s">
        <v>158</v>
      </c>
      <c r="L40" s="285">
        <f>[3]Pinnacle!$IC$41</f>
        <v>78789</v>
      </c>
      <c r="M40" s="2">
        <f>[3]Pinnacle!$HO$41</f>
        <v>106778</v>
      </c>
      <c r="N40" s="66">
        <f t="shared" si="25"/>
        <v>-0.26212328382251027</v>
      </c>
      <c r="O40" s="285">
        <f>SUM([3]Pinnacle!$HR$41:$IC$41)</f>
        <v>898887</v>
      </c>
      <c r="P40" s="2">
        <f>SUM([3]Pinnacle!$HD$41:$HO$41)</f>
        <v>1741975</v>
      </c>
      <c r="Q40" s="3">
        <f t="shared" si="26"/>
        <v>-0.48398398369666612</v>
      </c>
      <c r="R40" s="66">
        <f t="shared" si="27"/>
        <v>2.9620205087875152E-2</v>
      </c>
      <c r="S40" s="38"/>
      <c r="T40" s="40" t="s">
        <v>158</v>
      </c>
      <c r="U40" s="285">
        <f>[3]Pinnacle!$IC$64</f>
        <v>0</v>
      </c>
      <c r="V40" s="2">
        <f>[3]Pinnacle!$HO$64</f>
        <v>0</v>
      </c>
      <c r="W40" s="66" t="e">
        <f t="shared" si="28"/>
        <v>#DIV/0!</v>
      </c>
      <c r="X40" s="285">
        <f>SUM([3]Pinnacle!$HR$64:$IC$64)</f>
        <v>0</v>
      </c>
      <c r="Y40" s="2">
        <f>SUM([3]Pinnacle!$HD$64:$HO$64)</f>
        <v>0</v>
      </c>
      <c r="Z40" s="3" t="e">
        <f t="shared" si="29"/>
        <v>#DIV/0!</v>
      </c>
      <c r="AA40" s="66">
        <f t="shared" si="30"/>
        <v>0</v>
      </c>
    </row>
    <row r="41" spans="1:27" ht="14.1" customHeight="1" x14ac:dyDescent="0.2">
      <c r="A41" s="38"/>
      <c r="B41" s="40" t="s">
        <v>154</v>
      </c>
      <c r="C41" s="285">
        <f>'[3]Go Jet'!$IC$19</f>
        <v>0</v>
      </c>
      <c r="D41" s="2">
        <f>'[3]Go Jet'!$HO$19</f>
        <v>0</v>
      </c>
      <c r="E41" s="66" t="e">
        <f t="shared" si="23"/>
        <v>#DIV/0!</v>
      </c>
      <c r="F41" s="2">
        <f>SUM('[3]Go Jet'!$HR$19:$IC$19)</f>
        <v>0</v>
      </c>
      <c r="G41" s="2">
        <f>SUM('[3]Go Jet'!$HD$19:$HO$19)</f>
        <v>0</v>
      </c>
      <c r="H41" s="3" t="e">
        <f>(F41-G41)/G41</f>
        <v>#DIV/0!</v>
      </c>
      <c r="I41" s="66">
        <f t="shared" si="24"/>
        <v>0</v>
      </c>
      <c r="J41" s="38"/>
      <c r="K41" s="40" t="s">
        <v>154</v>
      </c>
      <c r="L41" s="285">
        <f>'[3]Go Jet'!$IC$41</f>
        <v>0</v>
      </c>
      <c r="M41" s="2">
        <f>'[3]Go Jet'!$HO$41</f>
        <v>0</v>
      </c>
      <c r="N41" s="66" t="e">
        <f t="shared" si="25"/>
        <v>#DIV/0!</v>
      </c>
      <c r="O41" s="285">
        <f>SUM('[3]Go Jet'!$HR$41:$IC$41)</f>
        <v>0</v>
      </c>
      <c r="P41" s="2">
        <f>SUM('[3]Go Jet'!$HD$41:$HO$41)</f>
        <v>0</v>
      </c>
      <c r="Q41" s="3" t="e">
        <f>(O41-P41)/P41</f>
        <v>#DIV/0!</v>
      </c>
      <c r="R41" s="66">
        <f t="shared" si="27"/>
        <v>0</v>
      </c>
      <c r="S41" s="38"/>
      <c r="T41" s="40" t="s">
        <v>154</v>
      </c>
      <c r="U41" s="285">
        <f>'[3]Go Jet'!$IC$64</f>
        <v>0</v>
      </c>
      <c r="V41" s="2">
        <f>'[3]Go Jet'!$HO$64</f>
        <v>0</v>
      </c>
      <c r="W41" s="66" t="e">
        <f t="shared" si="28"/>
        <v>#DIV/0!</v>
      </c>
      <c r="X41" s="285">
        <f>SUM('[3]Go Jet'!$HR$64:$IC$64)</f>
        <v>0</v>
      </c>
      <c r="Y41" s="2">
        <f>SUM('[3]Go Jet'!$HD$64:$HO$64)</f>
        <v>0</v>
      </c>
      <c r="Z41" s="3" t="e">
        <f>(X41-Y41)/Y41</f>
        <v>#DIV/0!</v>
      </c>
      <c r="AA41" s="66">
        <f t="shared" si="30"/>
        <v>0</v>
      </c>
    </row>
    <row r="42" spans="1:27" ht="14.1" customHeight="1" x14ac:dyDescent="0.2">
      <c r="A42" s="38"/>
      <c r="B42" s="40" t="s">
        <v>97</v>
      </c>
      <c r="C42" s="285">
        <f>'[3]Sky West'!$IC$19</f>
        <v>4257</v>
      </c>
      <c r="D42" s="2">
        <f>'[3]Sky West'!$HO$19</f>
        <v>5813</v>
      </c>
      <c r="E42" s="66">
        <f t="shared" si="23"/>
        <v>-0.267675898847411</v>
      </c>
      <c r="F42" s="2">
        <f>SUM('[3]Sky West'!$HR$19:$IC$19)</f>
        <v>67361</v>
      </c>
      <c r="G42" s="2">
        <f>SUM('[3]Sky West'!$HD$19:$HO$19)</f>
        <v>69891</v>
      </c>
      <c r="H42" s="3">
        <f t="shared" si="31"/>
        <v>-3.6199224506731909E-2</v>
      </c>
      <c r="I42" s="66">
        <f t="shared" si="24"/>
        <v>0.24407309039918546</v>
      </c>
      <c r="J42" s="38"/>
      <c r="K42" s="40" t="s">
        <v>97</v>
      </c>
      <c r="L42" s="285">
        <f>'[3]Sky West'!$IC$41</f>
        <v>224048</v>
      </c>
      <c r="M42" s="2">
        <f>'[3]Sky West'!$HO$41</f>
        <v>267769</v>
      </c>
      <c r="N42" s="66">
        <f t="shared" si="25"/>
        <v>-0.16327879627589453</v>
      </c>
      <c r="O42" s="285">
        <f>SUM('[3]Sky West'!$HR$41:$IC$41)</f>
        <v>3620902</v>
      </c>
      <c r="P42" s="2">
        <f>SUM('[3]Sky West'!$HD$41:$HO$41)</f>
        <v>3261494</v>
      </c>
      <c r="Q42" s="3">
        <f t="shared" si="26"/>
        <v>0.11019735127521314</v>
      </c>
      <c r="R42" s="66">
        <f t="shared" si="27"/>
        <v>0.11931628763470525</v>
      </c>
      <c r="S42" s="38"/>
      <c r="T42" s="40" t="s">
        <v>97</v>
      </c>
      <c r="U42" s="285">
        <f>'[3]Sky West'!$IC$64</f>
        <v>0</v>
      </c>
      <c r="V42" s="2">
        <f>'[3]Sky West'!$HO$64</f>
        <v>0</v>
      </c>
      <c r="W42" s="66" t="e">
        <f t="shared" si="28"/>
        <v>#DIV/0!</v>
      </c>
      <c r="X42" s="285">
        <f>SUM('[3]Sky West'!$HR$64:$IC$64)</f>
        <v>0</v>
      </c>
      <c r="Y42" s="2">
        <f>SUM('[3]Sky West'!$HD$64:$HO$64)</f>
        <v>0</v>
      </c>
      <c r="Z42" s="3" t="e">
        <f t="shared" ref="Z42:Z44" si="32">(X42-Y42)/Y42</f>
        <v>#DIV/0!</v>
      </c>
      <c r="AA42" s="66">
        <f t="shared" si="30"/>
        <v>0</v>
      </c>
    </row>
    <row r="43" spans="1:27" ht="14.1" customHeight="1" x14ac:dyDescent="0.2">
      <c r="A43" s="38"/>
      <c r="B43" s="40" t="s">
        <v>131</v>
      </c>
      <c r="C43" s="285">
        <f>'[3]Shuttle America_Delta'!$IC$19</f>
        <v>0</v>
      </c>
      <c r="D43" s="2">
        <f>'[3]Shuttle America_Delta'!$HO$19</f>
        <v>0</v>
      </c>
      <c r="E43" s="66" t="e">
        <f t="shared" si="23"/>
        <v>#DIV/0!</v>
      </c>
      <c r="F43" s="2">
        <f>SUM('[3]Shuttle America_Delta'!$HR$19:$IC$19)</f>
        <v>0</v>
      </c>
      <c r="G43" s="2">
        <f>SUM('[3]Shuttle America_Delta'!$HD$19:$HO$19)</f>
        <v>0</v>
      </c>
      <c r="H43" s="3" t="e">
        <f t="shared" si="31"/>
        <v>#DIV/0!</v>
      </c>
      <c r="I43" s="66">
        <f t="shared" si="24"/>
        <v>0</v>
      </c>
      <c r="J43" s="38"/>
      <c r="K43" s="40" t="s">
        <v>131</v>
      </c>
      <c r="L43" s="285">
        <f>'[3]Shuttle America_Delta'!$IC$41</f>
        <v>0</v>
      </c>
      <c r="M43" s="2">
        <f>'[3]Shuttle America_Delta'!$HO$41</f>
        <v>0</v>
      </c>
      <c r="N43" s="66" t="e">
        <f t="shared" si="25"/>
        <v>#DIV/0!</v>
      </c>
      <c r="O43" s="285">
        <f>SUM('[3]Shuttle America_Delta'!$HR$41:$IC$41)</f>
        <v>0</v>
      </c>
      <c r="P43" s="2">
        <f>SUM('[3]Shuttle America_Delta'!$HD$41:$HO$41)</f>
        <v>0</v>
      </c>
      <c r="Q43" s="3" t="e">
        <f t="shared" si="26"/>
        <v>#DIV/0!</v>
      </c>
      <c r="R43" s="66">
        <f t="shared" si="27"/>
        <v>0</v>
      </c>
      <c r="S43" s="38"/>
      <c r="T43" s="40" t="s">
        <v>131</v>
      </c>
      <c r="U43" s="285">
        <f>'[3]Shuttle America_Delta'!$IC$64</f>
        <v>0</v>
      </c>
      <c r="V43" s="2">
        <f>'[3]Shuttle America_Delta'!$HO$64</f>
        <v>0</v>
      </c>
      <c r="W43" s="66" t="e">
        <f t="shared" si="28"/>
        <v>#DIV/0!</v>
      </c>
      <c r="X43" s="285">
        <f>SUM('[3]Shuttle America_Delta'!$HR$64:$IC$64)</f>
        <v>0</v>
      </c>
      <c r="Y43" s="2">
        <f>SUM('[3]Shuttle America_Delta'!$HD$64:$HO$64)</f>
        <v>0</v>
      </c>
      <c r="Z43" s="3" t="e">
        <f t="shared" si="32"/>
        <v>#DIV/0!</v>
      </c>
      <c r="AA43" s="66">
        <f t="shared" si="30"/>
        <v>0</v>
      </c>
    </row>
    <row r="44" spans="1:27" ht="14.1" customHeight="1" x14ac:dyDescent="0.2">
      <c r="A44" s="38"/>
      <c r="B44" s="340" t="s">
        <v>166</v>
      </c>
      <c r="C44" s="285">
        <f>'[3]Atlantic Southeast'!$IC$19</f>
        <v>0</v>
      </c>
      <c r="D44" s="2">
        <f>'[3]Atlantic Southeast'!$HO$19</f>
        <v>0</v>
      </c>
      <c r="E44" s="66" t="e">
        <f t="shared" si="23"/>
        <v>#DIV/0!</v>
      </c>
      <c r="F44" s="2">
        <f>SUM('[3]Atlantic Southeast'!$HR$19:$IC$19)</f>
        <v>0</v>
      </c>
      <c r="G44" s="2">
        <f>SUM('[3]Atlantic Southeast'!$HD$19:$HO$19)</f>
        <v>0</v>
      </c>
      <c r="H44" s="3" t="e">
        <f t="shared" si="31"/>
        <v>#DIV/0!</v>
      </c>
      <c r="I44" s="66">
        <f t="shared" si="24"/>
        <v>0</v>
      </c>
      <c r="J44" s="38"/>
      <c r="K44" s="340" t="s">
        <v>166</v>
      </c>
      <c r="L44" s="285">
        <f>'[3]Atlantic Southeast'!$IC$41</f>
        <v>0</v>
      </c>
      <c r="M44" s="2">
        <f>'[3]Atlantic Southeast'!$HO$41</f>
        <v>0</v>
      </c>
      <c r="N44" s="66" t="e">
        <f t="shared" si="25"/>
        <v>#DIV/0!</v>
      </c>
      <c r="O44" s="285">
        <f>SUM('[3]Atlantic Southeast'!$HR$41:$IC$41)</f>
        <v>0</v>
      </c>
      <c r="P44" s="2">
        <f>SUM('[3]Atlantic Southeast'!$HD$41:$HO$41)</f>
        <v>0</v>
      </c>
      <c r="Q44" s="3" t="e">
        <f t="shared" si="26"/>
        <v>#DIV/0!</v>
      </c>
      <c r="R44" s="66">
        <f t="shared" si="27"/>
        <v>0</v>
      </c>
      <c r="S44" s="38"/>
      <c r="T44" s="340" t="s">
        <v>166</v>
      </c>
      <c r="U44" s="285">
        <f>'[3]Atlantic Southeast'!$IC$64</f>
        <v>0</v>
      </c>
      <c r="V44" s="2">
        <f>'[3]Atlantic Southeast'!$HO$64</f>
        <v>0</v>
      </c>
      <c r="W44" s="66" t="e">
        <f t="shared" si="28"/>
        <v>#DIV/0!</v>
      </c>
      <c r="X44" s="285">
        <f>SUM('[3]Atlantic Southeast'!$HR$64:$IC$64)</f>
        <v>0</v>
      </c>
      <c r="Y44" s="2">
        <f>SUM('[3]Atlantic Southeast'!$HD$64:$HO$64)</f>
        <v>0</v>
      </c>
      <c r="Z44" s="3" t="e">
        <f t="shared" si="32"/>
        <v>#DIV/0!</v>
      </c>
      <c r="AA44" s="66">
        <f t="shared" si="30"/>
        <v>0</v>
      </c>
    </row>
    <row r="45" spans="1:27" ht="14.1" customHeight="1" x14ac:dyDescent="0.2">
      <c r="A45" s="38"/>
      <c r="B45" s="340"/>
      <c r="C45" s="285"/>
      <c r="E45" s="66"/>
      <c r="F45" s="2"/>
      <c r="I45" s="66"/>
      <c r="J45" s="38"/>
      <c r="K45" s="340"/>
      <c r="L45" s="285"/>
      <c r="N45" s="66"/>
      <c r="O45" s="285"/>
      <c r="P45" s="2"/>
      <c r="Q45" s="3"/>
      <c r="R45" s="66"/>
      <c r="S45" s="38"/>
      <c r="T45" s="340"/>
      <c r="U45" s="285"/>
      <c r="V45" s="2"/>
      <c r="W45" s="66"/>
      <c r="X45" s="285"/>
      <c r="Y45" s="2"/>
      <c r="Z45" s="3"/>
      <c r="AA45" s="66"/>
    </row>
    <row r="46" spans="1:27" ht="14.1" customHeight="1" x14ac:dyDescent="0.2">
      <c r="A46" s="280" t="s">
        <v>47</v>
      </c>
      <c r="B46" s="40"/>
      <c r="C46" s="281">
        <f>[3]Frontier!$IC$19</f>
        <v>60</v>
      </c>
      <c r="D46" s="283">
        <f>[3]Frontier!$HO$19</f>
        <v>139</v>
      </c>
      <c r="E46" s="284">
        <f>(C46-D46)/D46</f>
        <v>-0.56834532374100721</v>
      </c>
      <c r="F46" s="283">
        <f>SUM([3]Frontier!$HR$19:$IC$19)</f>
        <v>1238</v>
      </c>
      <c r="G46" s="283">
        <f>SUM([3]Frontier!$HD$19:$HO$19)</f>
        <v>1190</v>
      </c>
      <c r="H46" s="282">
        <f>(F46-G46)/G46</f>
        <v>4.0336134453781515E-2</v>
      </c>
      <c r="I46" s="284">
        <f>F46/$F$73</f>
        <v>4.4857185302206266E-3</v>
      </c>
      <c r="J46" s="280" t="s">
        <v>47</v>
      </c>
      <c r="K46" s="40"/>
      <c r="L46" s="281">
        <f>[3]Frontier!$IC$41</f>
        <v>9502</v>
      </c>
      <c r="M46" s="283">
        <f>[3]Frontier!$HO$41</f>
        <v>17003</v>
      </c>
      <c r="N46" s="284">
        <f>(L46-M46)/M46</f>
        <v>-0.44115744280421104</v>
      </c>
      <c r="O46" s="281">
        <f>SUM([3]Frontier!$HR$41:$IC$41)</f>
        <v>184115</v>
      </c>
      <c r="P46" s="283">
        <f>SUM([3]Frontier!$HD$41:$HO$41)</f>
        <v>177307</v>
      </c>
      <c r="Q46" s="282">
        <f>(O46-P46)/P46</f>
        <v>3.8396679206122712E-2</v>
      </c>
      <c r="R46" s="284">
        <f>O46/$O$73</f>
        <v>6.0669740020204248E-3</v>
      </c>
      <c r="S46" s="280" t="s">
        <v>47</v>
      </c>
      <c r="T46" s="40"/>
      <c r="U46" s="281">
        <f>[3]Frontier!$IC$64</f>
        <v>0</v>
      </c>
      <c r="V46" s="283">
        <f>[3]Frontier!$HO$64</f>
        <v>0</v>
      </c>
      <c r="W46" s="284" t="e">
        <f>(U46-V46)/V46</f>
        <v>#DIV/0!</v>
      </c>
      <c r="X46" s="281">
        <f>SUM([3]Frontier!$HR$64:$IC$64)</f>
        <v>0</v>
      </c>
      <c r="Y46" s="283">
        <f>SUM([3]Frontier!$HD$64:$HO$64)</f>
        <v>0</v>
      </c>
      <c r="Z46" s="282" t="e">
        <f>(X46-Y46)/Y46</f>
        <v>#DIV/0!</v>
      </c>
      <c r="AA46" s="284">
        <f>X46/$X$73</f>
        <v>0</v>
      </c>
    </row>
    <row r="47" spans="1:27" ht="14.1" customHeight="1" x14ac:dyDescent="0.2">
      <c r="A47" s="280"/>
      <c r="B47" s="40"/>
      <c r="C47" s="281"/>
      <c r="D47" s="283"/>
      <c r="E47" s="284"/>
      <c r="F47" s="283"/>
      <c r="G47" s="283"/>
      <c r="H47" s="282"/>
      <c r="I47" s="284"/>
      <c r="J47" s="280"/>
      <c r="K47" s="40"/>
      <c r="L47" s="285"/>
      <c r="N47" s="66"/>
      <c r="O47" s="285"/>
      <c r="P47" s="2"/>
      <c r="Q47" s="3"/>
      <c r="R47" s="66"/>
      <c r="S47" s="280"/>
      <c r="T47" s="40"/>
      <c r="U47" s="285"/>
      <c r="V47" s="2"/>
      <c r="W47" s="66"/>
      <c r="X47" s="285"/>
      <c r="Y47" s="2"/>
      <c r="Z47" s="3"/>
      <c r="AA47" s="66"/>
    </row>
    <row r="48" spans="1:27" ht="14.1" customHeight="1" x14ac:dyDescent="0.2">
      <c r="A48" s="280" t="s">
        <v>48</v>
      </c>
      <c r="B48" s="40"/>
      <c r="C48" s="281">
        <f>[3]Icelandair!$IC$19</f>
        <v>20</v>
      </c>
      <c r="D48" s="283">
        <f>[3]Icelandair!$HO$19</f>
        <v>0</v>
      </c>
      <c r="E48" s="284" t="e">
        <f>(C48-D48)/D48</f>
        <v>#DIV/0!</v>
      </c>
      <c r="F48" s="283">
        <f>SUM([3]Icelandair!$HR$19:$IC$19)</f>
        <v>396</v>
      </c>
      <c r="G48" s="283">
        <f>SUM([3]Icelandair!$HD$19:$HO$19)</f>
        <v>163</v>
      </c>
      <c r="H48" s="282">
        <f>(F48-G48)/G48</f>
        <v>1.4294478527607362</v>
      </c>
      <c r="I48" s="284">
        <f>F48/$F$73</f>
        <v>1.4348501922191988E-3</v>
      </c>
      <c r="J48" s="280" t="s">
        <v>48</v>
      </c>
      <c r="K48" s="40"/>
      <c r="L48" s="281">
        <f>[3]Icelandair!$IC$41</f>
        <v>1949</v>
      </c>
      <c r="M48" s="283">
        <f>[3]Icelandair!$HO$41</f>
        <v>0</v>
      </c>
      <c r="N48" s="284" t="e">
        <f>(L48-M48)/M48</f>
        <v>#DIV/0!</v>
      </c>
      <c r="O48" s="281">
        <f>SUM([3]Icelandair!$HR$41:$IC$41)</f>
        <v>56070</v>
      </c>
      <c r="P48" s="283">
        <f>SUM([3]Icelandair!$HD$41:$HO$41)</f>
        <v>16678</v>
      </c>
      <c r="Q48" s="282">
        <f>(O48-P48)/P48</f>
        <v>2.3619138985489867</v>
      </c>
      <c r="R48" s="284">
        <f>O48/$O$73</f>
        <v>1.8476236715818113E-3</v>
      </c>
      <c r="S48" s="280" t="s">
        <v>48</v>
      </c>
      <c r="T48" s="40"/>
      <c r="U48" s="281">
        <f>[3]Icelandair!$IC$64</f>
        <v>1240</v>
      </c>
      <c r="V48" s="283">
        <f>[3]Icelandair!$HO$64</f>
        <v>0</v>
      </c>
      <c r="W48" s="284" t="e">
        <f>(U48-V48)/V48</f>
        <v>#DIV/0!</v>
      </c>
      <c r="X48" s="281">
        <f>SUM([3]Icelandair!$HR$64:$IC$64)</f>
        <v>62559</v>
      </c>
      <c r="Y48" s="283">
        <f>SUM([3]Icelandair!$HD$64:$HO$64)</f>
        <v>26796</v>
      </c>
      <c r="Z48" s="282">
        <f>(X48-Y48)/Y48</f>
        <v>1.334639498432602</v>
      </c>
      <c r="AA48" s="284">
        <f>X48/$X$73</f>
        <v>6.2668224448391102E-4</v>
      </c>
    </row>
    <row r="49" spans="1:27" ht="14.1" customHeight="1" x14ac:dyDescent="0.2">
      <c r="A49" s="280"/>
      <c r="B49" s="40"/>
      <c r="C49" s="281"/>
      <c r="D49" s="283"/>
      <c r="E49" s="284"/>
      <c r="F49" s="283"/>
      <c r="G49" s="283"/>
      <c r="H49" s="282"/>
      <c r="I49" s="284"/>
      <c r="J49" s="280"/>
      <c r="K49" s="40"/>
      <c r="L49" s="285"/>
      <c r="N49" s="66"/>
      <c r="O49" s="285"/>
      <c r="P49" s="2"/>
      <c r="Q49" s="3"/>
      <c r="R49" s="66"/>
      <c r="S49" s="280"/>
      <c r="T49" s="40"/>
      <c r="U49" s="285"/>
      <c r="V49" s="2"/>
      <c r="W49" s="66"/>
      <c r="X49" s="285"/>
      <c r="Y49" s="2"/>
      <c r="Z49" s="3"/>
      <c r="AA49" s="66"/>
    </row>
    <row r="50" spans="1:27" ht="14.1" customHeight="1" x14ac:dyDescent="0.2">
      <c r="A50" s="280" t="s">
        <v>199</v>
      </c>
      <c r="B50" s="40"/>
      <c r="C50" s="281">
        <f>'[3]Jet Blue'!$IC$19</f>
        <v>169</v>
      </c>
      <c r="D50" s="283">
        <f>'[3]Jet Blue'!$HO$19</f>
        <v>96</v>
      </c>
      <c r="E50" s="284">
        <f>(C50-D50)/D50</f>
        <v>0.76041666666666663</v>
      </c>
      <c r="F50" s="283">
        <f>SUM('[3]Jet Blue'!$HR$19:$IC$19)</f>
        <v>1927</v>
      </c>
      <c r="G50" s="283">
        <f>SUM('[3]Jet Blue'!$HD$19:$HO$19)</f>
        <v>819</v>
      </c>
      <c r="H50" s="282">
        <f>(F50-G50)/G50</f>
        <v>1.3528693528693529</v>
      </c>
      <c r="I50" s="284">
        <f>F50/$F$73</f>
        <v>6.9822129303191817E-3</v>
      </c>
      <c r="J50" s="280" t="s">
        <v>199</v>
      </c>
      <c r="K50" s="40"/>
      <c r="L50" s="281">
        <f>'[3]Jet Blue'!$IC$41</f>
        <v>13479</v>
      </c>
      <c r="M50" s="283">
        <f>'[3]Jet Blue'!$HO$41</f>
        <v>6109</v>
      </c>
      <c r="N50" s="284">
        <f>(L50-M50)/M50</f>
        <v>1.2064167621541988</v>
      </c>
      <c r="O50" s="281">
        <f>SUM('[3]Jet Blue'!$HR$41:$IC$41)</f>
        <v>175806</v>
      </c>
      <c r="P50" s="283">
        <f>SUM('[3]Jet Blue'!$HD$41:$HO$41)</f>
        <v>61150</v>
      </c>
      <c r="Q50" s="282">
        <f>(O50-P50)/P50</f>
        <v>1.8749959116925592</v>
      </c>
      <c r="R50" s="284">
        <f>O50/$O$73</f>
        <v>5.7931750883915096E-3</v>
      </c>
      <c r="S50" s="280" t="s">
        <v>199</v>
      </c>
      <c r="T50" s="40"/>
      <c r="U50" s="281">
        <f>'[3]Jet Blue'!$IC$64</f>
        <v>0</v>
      </c>
      <c r="V50" s="283">
        <f>'[3]Jet Blue'!$HO$64</f>
        <v>0</v>
      </c>
      <c r="W50" s="284" t="e">
        <f>(U50-V50)/V50</f>
        <v>#DIV/0!</v>
      </c>
      <c r="X50" s="281">
        <f>SUM('[3]Jet Blue'!$HR$64:$IC$64)</f>
        <v>0</v>
      </c>
      <c r="Y50" s="283">
        <f>SUM('[3]Jet Blue'!$HD$64:$HO$64)</f>
        <v>0</v>
      </c>
      <c r="Z50" s="282" t="e">
        <f>(X50-Y50)/Y50</f>
        <v>#DIV/0!</v>
      </c>
      <c r="AA50" s="284">
        <f>X50/$X$73</f>
        <v>0</v>
      </c>
    </row>
    <row r="51" spans="1:27" ht="14.1" customHeight="1" x14ac:dyDescent="0.2">
      <c r="A51" s="280"/>
      <c r="B51" s="40"/>
      <c r="C51" s="281"/>
      <c r="D51" s="283"/>
      <c r="E51" s="284"/>
      <c r="F51" s="283"/>
      <c r="G51" s="283"/>
      <c r="H51" s="282"/>
      <c r="I51" s="284"/>
      <c r="J51" s="280"/>
      <c r="K51" s="40"/>
      <c r="L51" s="285"/>
      <c r="N51" s="66"/>
      <c r="O51" s="285"/>
      <c r="P51" s="2"/>
      <c r="Q51" s="3"/>
      <c r="R51" s="66"/>
      <c r="S51" s="280"/>
      <c r="T51" s="40"/>
      <c r="U51" s="285"/>
      <c r="V51" s="2"/>
      <c r="W51" s="66"/>
      <c r="X51" s="285"/>
      <c r="Y51" s="2"/>
      <c r="Z51" s="3"/>
      <c r="AA51" s="66"/>
    </row>
    <row r="52" spans="1:27" ht="14.1" customHeight="1" x14ac:dyDescent="0.2">
      <c r="A52" s="280" t="s">
        <v>194</v>
      </c>
      <c r="B52" s="40"/>
      <c r="C52" s="281">
        <f>[3]KLM!$IC$19</f>
        <v>34</v>
      </c>
      <c r="D52" s="283">
        <f>[3]KLM!$HO$19</f>
        <v>28</v>
      </c>
      <c r="E52" s="284">
        <f>(C52-D52)/D52</f>
        <v>0.21428571428571427</v>
      </c>
      <c r="F52" s="283">
        <f>SUM([3]KLM!$HR$19:$IC$19)</f>
        <v>400</v>
      </c>
      <c r="G52" s="283">
        <f>SUM([3]KLM!$HD$19:$HO$19)</f>
        <v>104</v>
      </c>
      <c r="H52" s="282">
        <f>(F52-G52)/G52</f>
        <v>2.8461538461538463</v>
      </c>
      <c r="I52" s="284">
        <f>F52/$F$73</f>
        <v>1.4493436285042411E-3</v>
      </c>
      <c r="J52" s="280" t="s">
        <v>194</v>
      </c>
      <c r="K52" s="40"/>
      <c r="L52" s="281">
        <f>[3]KLM!$IC$41</f>
        <v>8082</v>
      </c>
      <c r="M52" s="283">
        <f>[3]KLM!$HO$41</f>
        <v>6138</v>
      </c>
      <c r="N52" s="284">
        <f>(L52-M52)/M52</f>
        <v>0.31671554252199413</v>
      </c>
      <c r="O52" s="281">
        <f>SUM([3]KLM!$HR$41:$IC$41)</f>
        <v>86689</v>
      </c>
      <c r="P52" s="283">
        <f>SUM([3]KLM!$HD$41:$HO$41)</f>
        <v>17843</v>
      </c>
      <c r="Q52" s="282">
        <f>(O52-P52)/P52</f>
        <v>3.8584318780474134</v>
      </c>
      <c r="R52" s="284">
        <f>O52/$O$73</f>
        <v>2.8565837072544258E-3</v>
      </c>
      <c r="S52" s="280" t="s">
        <v>194</v>
      </c>
      <c r="T52" s="40"/>
      <c r="U52" s="281">
        <f>[3]KLM!$IC$64</f>
        <v>549257</v>
      </c>
      <c r="V52" s="283">
        <f>[3]KLM!$HO$64</f>
        <v>584943</v>
      </c>
      <c r="W52" s="284">
        <f>(U52-V52)/V52</f>
        <v>-6.1007653737201746E-2</v>
      </c>
      <c r="X52" s="281">
        <f>SUM([3]KLM!$HR$64:$IC$64)</f>
        <v>6423377</v>
      </c>
      <c r="Y52" s="283">
        <f>SUM([3]KLM!$HD$64:$HO$64)</f>
        <v>2244551</v>
      </c>
      <c r="Z52" s="282">
        <f>(X52-Y52)/Y52</f>
        <v>1.8617647805730411</v>
      </c>
      <c r="AA52" s="284">
        <f>X52/$X$73</f>
        <v>6.4345918501356014E-2</v>
      </c>
    </row>
    <row r="53" spans="1:27" ht="14.1" customHeight="1" x14ac:dyDescent="0.2">
      <c r="A53" s="280"/>
      <c r="B53" s="40"/>
      <c r="C53" s="281"/>
      <c r="D53" s="283"/>
      <c r="E53" s="284"/>
      <c r="F53" s="283"/>
      <c r="G53" s="283"/>
      <c r="H53" s="282"/>
      <c r="I53" s="284"/>
      <c r="J53" s="280"/>
      <c r="K53" s="40"/>
      <c r="L53" s="285"/>
      <c r="N53" s="66"/>
      <c r="O53" s="285"/>
      <c r="P53" s="2"/>
      <c r="Q53" s="3"/>
      <c r="R53" s="66"/>
      <c r="S53" s="280"/>
      <c r="T53" s="40"/>
      <c r="U53" s="285"/>
      <c r="V53" s="2"/>
      <c r="W53" s="66"/>
      <c r="X53" s="285"/>
      <c r="Y53" s="2"/>
      <c r="Z53" s="3"/>
      <c r="AA53" s="66"/>
    </row>
    <row r="54" spans="1:27" ht="14.1" customHeight="1" x14ac:dyDescent="0.2">
      <c r="A54" s="280" t="s">
        <v>129</v>
      </c>
      <c r="B54" s="40"/>
      <c r="C54" s="281">
        <f>[3]Southwest!$IC$19</f>
        <v>797</v>
      </c>
      <c r="D54" s="283">
        <f>[3]Southwest!$HO$19</f>
        <v>736</v>
      </c>
      <c r="E54" s="284">
        <f>(C54-D54)/D54</f>
        <v>8.2880434782608689E-2</v>
      </c>
      <c r="F54" s="283">
        <f>SUM([3]Southwest!$HR$19:$IC$19)</f>
        <v>10569</v>
      </c>
      <c r="G54" s="283">
        <f>SUM([3]Southwest!$HD$19:$HO$19)</f>
        <v>9324</v>
      </c>
      <c r="H54" s="282">
        <f>(F54-G54)/G54</f>
        <v>0.13352638352638352</v>
      </c>
      <c r="I54" s="284">
        <f>F54/$F$73</f>
        <v>3.8295282024153311E-2</v>
      </c>
      <c r="J54" s="280" t="s">
        <v>129</v>
      </c>
      <c r="K54" s="40"/>
      <c r="L54" s="281">
        <f>[3]Southwest!$IC$41</f>
        <v>90084</v>
      </c>
      <c r="M54" s="283">
        <f>[3]Southwest!$HO$41</f>
        <v>94215</v>
      </c>
      <c r="N54" s="284">
        <f>(L54-M54)/M54</f>
        <v>-4.3846521254577296E-2</v>
      </c>
      <c r="O54" s="281">
        <f>SUM([3]Southwest!$HR$41:$IC$41)</f>
        <v>1341040</v>
      </c>
      <c r="P54" s="283">
        <f>SUM([3]Southwest!$HD$41:$HO$41)</f>
        <v>1153629</v>
      </c>
      <c r="Q54" s="282">
        <f>(O54-P54)/P54</f>
        <v>0.16245344040415072</v>
      </c>
      <c r="R54" s="284">
        <f>O54/$O$73</f>
        <v>4.4190070421581455E-2</v>
      </c>
      <c r="S54" s="280" t="s">
        <v>129</v>
      </c>
      <c r="T54" s="40"/>
      <c r="U54" s="281">
        <f>[3]Southwest!$IC$64</f>
        <v>155849</v>
      </c>
      <c r="V54" s="283">
        <f>[3]Southwest!$HO$64</f>
        <v>234739</v>
      </c>
      <c r="W54" s="284">
        <f>(U54-V54)/V54</f>
        <v>-0.3360753858540762</v>
      </c>
      <c r="X54" s="281">
        <f>SUM([3]Southwest!$HR$64:$IC$64)</f>
        <v>2528424</v>
      </c>
      <c r="Y54" s="283">
        <f>SUM([3]Southwest!$HD$64:$HO$64)</f>
        <v>3591252</v>
      </c>
      <c r="Z54" s="282">
        <f>(X54-Y54)/Y54</f>
        <v>-0.29594915645017394</v>
      </c>
      <c r="AA54" s="284">
        <f>X54/$X$73</f>
        <v>2.5328384841941019E-2</v>
      </c>
    </row>
    <row r="55" spans="1:27" ht="14.1" customHeight="1" x14ac:dyDescent="0.2">
      <c r="A55" s="280"/>
      <c r="B55" s="40"/>
      <c r="C55" s="281"/>
      <c r="D55" s="283"/>
      <c r="E55" s="284"/>
      <c r="F55" s="283"/>
      <c r="G55" s="283"/>
      <c r="H55" s="282"/>
      <c r="I55" s="284"/>
      <c r="J55" s="280"/>
      <c r="K55" s="40"/>
      <c r="L55" s="285"/>
      <c r="N55" s="66"/>
      <c r="O55" s="285"/>
      <c r="P55" s="2"/>
      <c r="Q55" s="3"/>
      <c r="R55" s="66"/>
      <c r="S55" s="280"/>
      <c r="T55" s="40"/>
      <c r="U55" s="285"/>
      <c r="V55" s="2"/>
      <c r="W55" s="66"/>
      <c r="X55" s="285"/>
      <c r="Y55" s="2"/>
      <c r="Z55" s="3"/>
      <c r="AA55" s="66"/>
    </row>
    <row r="56" spans="1:27" ht="14.1" customHeight="1" x14ac:dyDescent="0.2">
      <c r="A56" s="280" t="s">
        <v>155</v>
      </c>
      <c r="B56" s="40"/>
      <c r="C56" s="281">
        <f>[3]Spirit!$IC$19</f>
        <v>275</v>
      </c>
      <c r="D56" s="283">
        <f>[3]Spirit!$HO$19</f>
        <v>251</v>
      </c>
      <c r="E56" s="284">
        <f>(C56-D56)/D56</f>
        <v>9.5617529880478086E-2</v>
      </c>
      <c r="F56" s="283">
        <f>SUM([3]Spirit!$HR$19:$IC$19)</f>
        <v>2915</v>
      </c>
      <c r="G56" s="283">
        <f>SUM([3]Spirit!$HD$19:$HO$19)</f>
        <v>3447</v>
      </c>
      <c r="H56" s="282">
        <f>(F56-G56)/G56</f>
        <v>-0.15433710472874965</v>
      </c>
      <c r="I56" s="284">
        <f>F56/$F$73</f>
        <v>1.0562091692724658E-2</v>
      </c>
      <c r="J56" s="280" t="s">
        <v>155</v>
      </c>
      <c r="K56" s="40"/>
      <c r="L56" s="281">
        <f>[3]Spirit!$IC$41</f>
        <v>37012</v>
      </c>
      <c r="M56" s="283">
        <f>[3]Spirit!$HO$41</f>
        <v>38052</v>
      </c>
      <c r="N56" s="284">
        <f>(L56-M56)/M56</f>
        <v>-2.7331020708504152E-2</v>
      </c>
      <c r="O56" s="281">
        <f>SUM([3]Spirit!$HR$41:$IC$41)</f>
        <v>432257</v>
      </c>
      <c r="P56" s="283">
        <f>SUM([3]Spirit!$HD$41:$HO$41)</f>
        <v>488601</v>
      </c>
      <c r="Q56" s="282">
        <f>(O56-P56)/P56</f>
        <v>-0.11531699689521716</v>
      </c>
      <c r="R56" s="284">
        <f>O56/$O$73</f>
        <v>1.4243771453663975E-2</v>
      </c>
      <c r="S56" s="280" t="s">
        <v>155</v>
      </c>
      <c r="T56" s="40"/>
      <c r="U56" s="281">
        <f>[3]Spirit!$IC$64</f>
        <v>0</v>
      </c>
      <c r="V56" s="283">
        <f>[3]Spirit!$HO$64</f>
        <v>0</v>
      </c>
      <c r="W56" s="284" t="e">
        <f>(U56-V56)/V56</f>
        <v>#DIV/0!</v>
      </c>
      <c r="X56" s="281">
        <f>SUM([3]Spirit!$HR$64:$IC$64)</f>
        <v>0</v>
      </c>
      <c r="Y56" s="283">
        <f>SUM([3]Spirit!$HD$64:$HO$64)</f>
        <v>0</v>
      </c>
      <c r="Z56" s="282" t="e">
        <f>(X56-Y56)/Y56</f>
        <v>#DIV/0!</v>
      </c>
      <c r="AA56" s="284">
        <f>X56/$X$73</f>
        <v>0</v>
      </c>
    </row>
    <row r="57" spans="1:27" ht="14.1" customHeight="1" x14ac:dyDescent="0.2">
      <c r="A57" s="280"/>
      <c r="B57" s="40"/>
      <c r="C57" s="281"/>
      <c r="D57" s="283"/>
      <c r="E57" s="284"/>
      <c r="F57" s="283"/>
      <c r="G57" s="283"/>
      <c r="H57" s="282"/>
      <c r="I57" s="284"/>
      <c r="J57" s="280"/>
      <c r="K57" s="40"/>
      <c r="L57" s="285"/>
      <c r="N57" s="66"/>
      <c r="O57" s="285"/>
      <c r="P57" s="2"/>
      <c r="Q57" s="3"/>
      <c r="R57" s="66">
        <f>O57/$O$73</f>
        <v>0</v>
      </c>
      <c r="S57" s="280"/>
      <c r="T57" s="40"/>
      <c r="U57" s="285"/>
      <c r="V57" s="2"/>
      <c r="W57" s="66"/>
      <c r="X57" s="285"/>
      <c r="Y57" s="2"/>
      <c r="Z57" s="3"/>
      <c r="AA57" s="66">
        <f>X57/$X$73</f>
        <v>0</v>
      </c>
    </row>
    <row r="58" spans="1:27" ht="14.1" customHeight="1" x14ac:dyDescent="0.2">
      <c r="A58" s="280" t="s">
        <v>49</v>
      </c>
      <c r="B58" s="40"/>
      <c r="C58" s="281">
        <f>'[3]Sun Country'!$IC$19</f>
        <v>2219</v>
      </c>
      <c r="D58" s="283">
        <f>'[3]Sun Country'!$HO$19</f>
        <v>1821</v>
      </c>
      <c r="E58" s="284">
        <f>(C58-D58)/D58</f>
        <v>0.21856123009335529</v>
      </c>
      <c r="F58" s="283">
        <f>SUM('[3]Sun Country'!$HR$19:$IC$19)</f>
        <v>22519</v>
      </c>
      <c r="G58" s="283">
        <f>SUM('[3]Sun Country'!$HD$19:$HO$19)</f>
        <v>19344</v>
      </c>
      <c r="H58" s="282">
        <f>(F58-G58)/G58</f>
        <v>0.16413358147229115</v>
      </c>
      <c r="I58" s="284">
        <f>F58/$F$73</f>
        <v>8.1594422925717516E-2</v>
      </c>
      <c r="J58" s="280" t="s">
        <v>49</v>
      </c>
      <c r="K58" s="40"/>
      <c r="L58" s="281">
        <f>'[3]Sun Country'!$IC$41</f>
        <v>322314</v>
      </c>
      <c r="M58" s="283">
        <f>'[3]Sun Country'!$HO$41</f>
        <v>245717</v>
      </c>
      <c r="N58" s="284">
        <f>(L58-M58)/M58</f>
        <v>0.31172853323131894</v>
      </c>
      <c r="O58" s="281">
        <f>SUM('[3]Sun Country'!$HR$41:$IC$41)</f>
        <v>3268081</v>
      </c>
      <c r="P58" s="283">
        <f>SUM('[3]Sun Country'!$HD$41:$HO$41)</f>
        <v>2430940</v>
      </c>
      <c r="Q58" s="282">
        <f>(O58-P58)/P58</f>
        <v>0.34436925633705479</v>
      </c>
      <c r="R58" s="284">
        <f>O58/$O$73</f>
        <v>0.10769009838142959</v>
      </c>
      <c r="S58" s="280" t="s">
        <v>49</v>
      </c>
      <c r="T58" s="40"/>
      <c r="U58" s="281">
        <f>'[3]Sun Country'!$IC$64</f>
        <v>121167</v>
      </c>
      <c r="V58" s="283">
        <f>'[3]Sun Country'!$HO$64</f>
        <v>447632</v>
      </c>
      <c r="W58" s="284">
        <f>(U58-V58)/V58</f>
        <v>-0.72931559852736172</v>
      </c>
      <c r="X58" s="281">
        <f>SUM('[3]Sun Country'!$HR$64:$IC$64)</f>
        <v>3589888</v>
      </c>
      <c r="Y58" s="283">
        <f>SUM('[3]Sun Country'!$HD$64:$HO$64)</f>
        <v>4549860</v>
      </c>
      <c r="Z58" s="282">
        <f>(X58-Y58)/Y58</f>
        <v>-0.21098934912283016</v>
      </c>
      <c r="AA58" s="284">
        <f>X58/$X$73</f>
        <v>3.5961557398389653E-2</v>
      </c>
    </row>
    <row r="59" spans="1:27" ht="14.1" customHeight="1" x14ac:dyDescent="0.2">
      <c r="A59" s="280"/>
      <c r="B59" s="40"/>
      <c r="C59" s="281"/>
      <c r="D59" s="283"/>
      <c r="E59" s="284"/>
      <c r="F59" s="283"/>
      <c r="G59" s="283"/>
      <c r="H59" s="282"/>
      <c r="I59" s="284"/>
      <c r="J59" s="280"/>
      <c r="K59" s="40"/>
      <c r="L59" s="285"/>
      <c r="N59" s="66"/>
      <c r="O59" s="285"/>
      <c r="P59" s="2"/>
      <c r="Q59" s="3"/>
      <c r="R59" s="66"/>
      <c r="S59" s="280"/>
      <c r="T59" s="40"/>
      <c r="U59" s="285"/>
      <c r="V59" s="2"/>
      <c r="W59" s="66"/>
      <c r="X59" s="285"/>
      <c r="Y59" s="2"/>
      <c r="Z59" s="3"/>
      <c r="AA59" s="66"/>
    </row>
    <row r="60" spans="1:27" ht="14.1" customHeight="1" x14ac:dyDescent="0.2">
      <c r="A60" s="280" t="s">
        <v>19</v>
      </c>
      <c r="B60" s="287"/>
      <c r="C60" s="281">
        <f>SUM(C61:C68)</f>
        <v>838</v>
      </c>
      <c r="D60" s="283">
        <f>SUM(D61:D68)</f>
        <v>1003</v>
      </c>
      <c r="E60" s="284">
        <f t="shared" ref="E60:E68" si="33">(C60-D60)/D60</f>
        <v>-0.16450648055832504</v>
      </c>
      <c r="F60" s="283">
        <f>SUM(F61:F68)</f>
        <v>11088</v>
      </c>
      <c r="G60" s="283">
        <f>SUM(G61:G68)</f>
        <v>9342</v>
      </c>
      <c r="H60" s="282">
        <f t="shared" ref="H60:H68" si="34">(F60-G60)/G60</f>
        <v>0.18689788053949905</v>
      </c>
      <c r="I60" s="284">
        <f t="shared" ref="I60:I68" si="35">F60/$F$73</f>
        <v>4.0175805382137567E-2</v>
      </c>
      <c r="J60" s="280" t="s">
        <v>19</v>
      </c>
      <c r="K60" s="287"/>
      <c r="L60" s="281">
        <f>SUM(L61:L68)</f>
        <v>104726</v>
      </c>
      <c r="M60" s="283">
        <f>SUM(M61:M68)</f>
        <v>93044</v>
      </c>
      <c r="N60" s="284">
        <f t="shared" ref="N60:N68" si="36">(L60-M60)/M60</f>
        <v>0.12555350156915007</v>
      </c>
      <c r="O60" s="281">
        <f>SUM(O61:O68)</f>
        <v>1276085</v>
      </c>
      <c r="P60" s="283">
        <f>SUM(P61:P68)</f>
        <v>879559</v>
      </c>
      <c r="Q60" s="282">
        <f t="shared" ref="Q60:Q68" si="37">(O60-P60)/P60</f>
        <v>0.45082365139803016</v>
      </c>
      <c r="R60" s="284">
        <f t="shared" ref="R60:R68" si="38">O60/$O$73</f>
        <v>4.2049667432681931E-2</v>
      </c>
      <c r="S60" s="280" t="s">
        <v>19</v>
      </c>
      <c r="T60" s="287"/>
      <c r="U60" s="281">
        <f>SUM(U61:U68)</f>
        <v>139023</v>
      </c>
      <c r="V60" s="283">
        <f>SUM(V61:V68)</f>
        <v>111521</v>
      </c>
      <c r="W60" s="284">
        <f t="shared" ref="W60:W68" si="39">(U60-V60)/V60</f>
        <v>0.24660826212103551</v>
      </c>
      <c r="X60" s="281">
        <f>SUM(X61:X68)</f>
        <v>1371238</v>
      </c>
      <c r="Y60" s="283">
        <f>SUM(Y61:Y68)</f>
        <v>1380045</v>
      </c>
      <c r="Z60" s="282">
        <f t="shared" ref="Z60:Z68" si="40">(X60-Y60)/Y60</f>
        <v>-6.381675959841889E-3</v>
      </c>
      <c r="AA60" s="284">
        <f t="shared" ref="AA60:AA68" si="41">X60/$X$73</f>
        <v>1.3736321033930037E-2</v>
      </c>
    </row>
    <row r="61" spans="1:27" ht="14.1" customHeight="1" x14ac:dyDescent="0.2">
      <c r="A61" s="38"/>
      <c r="B61" s="340" t="s">
        <v>19</v>
      </c>
      <c r="C61" s="285">
        <f>[3]United!$IC$19</f>
        <v>744</v>
      </c>
      <c r="D61" s="2">
        <f>[3]United!$HO$19+[3]Continental!$HO$19</f>
        <v>493</v>
      </c>
      <c r="E61" s="66">
        <f t="shared" si="33"/>
        <v>0.50912778904665312</v>
      </c>
      <c r="F61" s="2">
        <f>SUM([3]United!$HR$19:$IC$19)</f>
        <v>8306</v>
      </c>
      <c r="G61" s="2">
        <f>SUM([3]United!$HD$19:$HO$19)+SUM([3]Continental!$HD$19:$HO$19)</f>
        <v>4931</v>
      </c>
      <c r="H61" s="3">
        <f t="shared" si="34"/>
        <v>0.68444534577164873</v>
      </c>
      <c r="I61" s="66">
        <f t="shared" si="35"/>
        <v>3.0095620445890568E-2</v>
      </c>
      <c r="J61" s="38"/>
      <c r="K61" s="340" t="s">
        <v>19</v>
      </c>
      <c r="L61" s="285">
        <f>[3]United!$IC$41</f>
        <v>98473</v>
      </c>
      <c r="M61" s="2">
        <f>[3]United!$HO$41+[3]Continental!$HO$41</f>
        <v>60343</v>
      </c>
      <c r="N61" s="66">
        <f t="shared" si="36"/>
        <v>0.63188770859917476</v>
      </c>
      <c r="O61" s="285">
        <f>SUM([3]United!$HR$41:$IC$41)</f>
        <v>1097129</v>
      </c>
      <c r="P61" s="2">
        <f>SUM([3]United!$HD$41:$HO$41)+SUM([3]Continental!$HD$41:$HO$41)</f>
        <v>610665</v>
      </c>
      <c r="Q61" s="3">
        <f t="shared" si="37"/>
        <v>0.796613527875349</v>
      </c>
      <c r="R61" s="66">
        <f t="shared" si="38"/>
        <v>3.6152693261617283E-2</v>
      </c>
      <c r="S61" s="38"/>
      <c r="T61" s="340" t="s">
        <v>19</v>
      </c>
      <c r="U61" s="285">
        <f>[3]United!$IC$64</f>
        <v>139023</v>
      </c>
      <c r="V61" s="2">
        <f>[3]United!$HO$64+[3]Continental!$HO$64</f>
        <v>111521</v>
      </c>
      <c r="W61" s="66">
        <f t="shared" si="39"/>
        <v>0.24660826212103551</v>
      </c>
      <c r="X61" s="285">
        <f>SUM([3]United!$HR$64:$IC$64)</f>
        <v>1371238</v>
      </c>
      <c r="Y61" s="2">
        <f>SUM([3]United!$HD$64:$HO$64)+SUM([3]Continental!$HD$64:$HO$64)</f>
        <v>1380045</v>
      </c>
      <c r="Z61" s="3">
        <f t="shared" si="40"/>
        <v>-6.381675959841889E-3</v>
      </c>
      <c r="AA61" s="66">
        <f t="shared" si="41"/>
        <v>1.3736321033930037E-2</v>
      </c>
    </row>
    <row r="62" spans="1:27" ht="14.1" customHeight="1" x14ac:dyDescent="0.2">
      <c r="A62" s="38"/>
      <c r="B62" s="340" t="s">
        <v>166</v>
      </c>
      <c r="C62" s="285">
        <f>'[3]Continental Express'!$IC$19</f>
        <v>0</v>
      </c>
      <c r="D62" s="2">
        <f>'[3]Continental Express'!$HO$19</f>
        <v>0</v>
      </c>
      <c r="E62" s="66" t="e">
        <f t="shared" si="33"/>
        <v>#DIV/0!</v>
      </c>
      <c r="F62" s="2">
        <f>SUM('[3]Continental Express'!$HR$19:$IC$19)</f>
        <v>0</v>
      </c>
      <c r="G62" s="2">
        <f>SUM('[3]Continental Express'!$HD$19:$HO$19)</f>
        <v>0</v>
      </c>
      <c r="H62" s="3" t="e">
        <f t="shared" si="34"/>
        <v>#DIV/0!</v>
      </c>
      <c r="I62" s="66">
        <f t="shared" si="35"/>
        <v>0</v>
      </c>
      <c r="J62" s="38"/>
      <c r="K62" s="340" t="s">
        <v>166</v>
      </c>
      <c r="L62" s="285">
        <f>'[3]Continental Express'!$IC$41</f>
        <v>0</v>
      </c>
      <c r="M62" s="2">
        <f>'[3]Continental Express'!$HO$41</f>
        <v>0</v>
      </c>
      <c r="N62" s="66" t="e">
        <f t="shared" si="36"/>
        <v>#DIV/0!</v>
      </c>
      <c r="O62" s="285">
        <f>SUM('[3]Continental Express'!$HR$41:$IC$41)</f>
        <v>0</v>
      </c>
      <c r="P62" s="2">
        <f>SUM('[3]Continental Express'!$HD$41:$HO$41)</f>
        <v>0</v>
      </c>
      <c r="Q62" s="3" t="e">
        <f t="shared" si="37"/>
        <v>#DIV/0!</v>
      </c>
      <c r="R62" s="66">
        <f t="shared" si="38"/>
        <v>0</v>
      </c>
      <c r="S62" s="38"/>
      <c r="T62" s="340" t="s">
        <v>166</v>
      </c>
      <c r="U62" s="285">
        <f>'[3]Continental Express'!$IC$64</f>
        <v>0</v>
      </c>
      <c r="V62" s="2">
        <f>'[3]Continental Express'!$HO$64</f>
        <v>0</v>
      </c>
      <c r="W62" s="66" t="e">
        <f t="shared" si="39"/>
        <v>#DIV/0!</v>
      </c>
      <c r="X62" s="285">
        <f>SUM('[3]Continental Express'!$HR$64:$IC$64)</f>
        <v>0</v>
      </c>
      <c r="Y62" s="2">
        <f>SUM('[3]Continental Express'!$HD$64:$HO$64)</f>
        <v>0</v>
      </c>
      <c r="Z62" s="3" t="e">
        <f t="shared" si="40"/>
        <v>#DIV/0!</v>
      </c>
      <c r="AA62" s="66">
        <f t="shared" si="41"/>
        <v>0</v>
      </c>
    </row>
    <row r="63" spans="1:27" ht="14.1" customHeight="1" x14ac:dyDescent="0.2">
      <c r="A63" s="38"/>
      <c r="B63" s="40" t="s">
        <v>154</v>
      </c>
      <c r="C63" s="285">
        <f>'[3]Go Jet_UA'!$IC$19</f>
        <v>0</v>
      </c>
      <c r="D63" s="2">
        <f>'[3]Go Jet_UA'!$HO$19</f>
        <v>0</v>
      </c>
      <c r="E63" s="66" t="e">
        <f t="shared" si="33"/>
        <v>#DIV/0!</v>
      </c>
      <c r="F63" s="2">
        <f>SUM('[3]Go Jet_UA'!$HR$19:$IC$19)</f>
        <v>2</v>
      </c>
      <c r="G63" s="2">
        <f>SUM('[3]Go Jet_UA'!$HD$19:$HO$19)</f>
        <v>2</v>
      </c>
      <c r="H63" s="3">
        <f t="shared" si="34"/>
        <v>0</v>
      </c>
      <c r="I63" s="66">
        <f t="shared" si="35"/>
        <v>7.246718142521206E-6</v>
      </c>
      <c r="J63" s="38"/>
      <c r="K63" s="40" t="s">
        <v>154</v>
      </c>
      <c r="L63" s="285">
        <f>'[3]Go Jet_UA'!$IC$41</f>
        <v>0</v>
      </c>
      <c r="M63" s="2">
        <f>'[3]Go Jet_UA'!$HO$41</f>
        <v>0</v>
      </c>
      <c r="N63" s="66" t="e">
        <f t="shared" si="36"/>
        <v>#DIV/0!</v>
      </c>
      <c r="O63" s="285">
        <f>SUM('[3]Go Jet_UA'!$HR$41:$IC$41)</f>
        <v>37</v>
      </c>
      <c r="P63" s="2">
        <f>SUM('[3]Go Jet_UA'!$HD$41:$HO$41)</f>
        <v>0</v>
      </c>
      <c r="Q63" s="3" t="e">
        <f t="shared" si="37"/>
        <v>#DIV/0!</v>
      </c>
      <c r="R63" s="66">
        <f t="shared" si="38"/>
        <v>1.2192273202876231E-6</v>
      </c>
      <c r="S63" s="38"/>
      <c r="T63" s="40" t="s">
        <v>154</v>
      </c>
      <c r="U63" s="285">
        <f>'[3]Go Jet_UA'!$IC$64</f>
        <v>0</v>
      </c>
      <c r="V63" s="2">
        <f>'[3]Go Jet_UA'!$HO$64</f>
        <v>0</v>
      </c>
      <c r="W63" s="66" t="e">
        <f t="shared" si="39"/>
        <v>#DIV/0!</v>
      </c>
      <c r="X63" s="285">
        <f>SUM('[3]Go Jet_UA'!$HR$64:$IC$64)</f>
        <v>0</v>
      </c>
      <c r="Y63" s="2">
        <f>SUM('[3]Go Jet_UA'!$HD$64:$HO$64)</f>
        <v>0</v>
      </c>
      <c r="Z63" s="3" t="e">
        <f t="shared" si="40"/>
        <v>#DIV/0!</v>
      </c>
      <c r="AA63" s="66">
        <f t="shared" si="41"/>
        <v>0</v>
      </c>
    </row>
    <row r="64" spans="1:27" ht="14.1" customHeight="1" x14ac:dyDescent="0.2">
      <c r="A64" s="38"/>
      <c r="B64" s="40" t="s">
        <v>51</v>
      </c>
      <c r="C64" s="285">
        <f>[3]MESA_UA!$IC$19</f>
        <v>72</v>
      </c>
      <c r="D64" s="2">
        <f>[3]MESA_UA!$HO$19</f>
        <v>163</v>
      </c>
      <c r="E64" s="66">
        <f t="shared" si="33"/>
        <v>-0.55828220858895705</v>
      </c>
      <c r="F64" s="2">
        <f>SUM([3]MESA_UA!$HR$19:$IC$19)</f>
        <v>1306</v>
      </c>
      <c r="G64" s="2">
        <f>SUM([3]MESA_UA!$HD$19:$HO$19)</f>
        <v>1703</v>
      </c>
      <c r="H64" s="3">
        <f>(F64-G64)/G64</f>
        <v>-0.23311802701115678</v>
      </c>
      <c r="I64" s="66">
        <f t="shared" si="35"/>
        <v>4.732106947066347E-3</v>
      </c>
      <c r="J64" s="38"/>
      <c r="K64" s="40" t="s">
        <v>51</v>
      </c>
      <c r="L64" s="285">
        <f>[3]MESA_UA!$IC$41</f>
        <v>4792</v>
      </c>
      <c r="M64" s="2">
        <f>[3]MESA_UA!$HO$41</f>
        <v>10645</v>
      </c>
      <c r="N64" s="66">
        <f t="shared" si="36"/>
        <v>-0.54983560356975103</v>
      </c>
      <c r="O64" s="285">
        <f>SUM([3]MESA_UA!$HR$41:$IC$41)</f>
        <v>87779</v>
      </c>
      <c r="P64" s="2">
        <f>SUM([3]MESA_UA!$HD$41:$HO$41)</f>
        <v>104308</v>
      </c>
      <c r="Q64" s="3">
        <f t="shared" si="37"/>
        <v>-0.1584633968631361</v>
      </c>
      <c r="R64" s="66">
        <f t="shared" si="38"/>
        <v>2.8925014850683041E-3</v>
      </c>
      <c r="S64" s="38"/>
      <c r="T64" s="40" t="s">
        <v>51</v>
      </c>
      <c r="U64" s="285">
        <f>[3]MESA_UA!$IC$64</f>
        <v>0</v>
      </c>
      <c r="V64" s="2">
        <f>[3]MESA_UA!$HO$64</f>
        <v>0</v>
      </c>
      <c r="W64" s="66" t="e">
        <f t="shared" si="39"/>
        <v>#DIV/0!</v>
      </c>
      <c r="X64" s="285">
        <f>SUM([3]MESA_UA!$HR$64:$IC$64)</f>
        <v>0</v>
      </c>
      <c r="Y64" s="2">
        <f>SUM([3]MESA_UA!$HD$64:$HO$64)</f>
        <v>0</v>
      </c>
      <c r="Z64" s="3" t="e">
        <f t="shared" si="40"/>
        <v>#DIV/0!</v>
      </c>
      <c r="AA64" s="66">
        <f t="shared" si="41"/>
        <v>0</v>
      </c>
    </row>
    <row r="65" spans="1:27" ht="14.1" customHeight="1" x14ac:dyDescent="0.2">
      <c r="A65" s="38"/>
      <c r="B65" s="340" t="s">
        <v>52</v>
      </c>
      <c r="C65" s="285">
        <f>[3]Republic_UA!$IC$19</f>
        <v>22</v>
      </c>
      <c r="D65" s="2">
        <f>[3]Republic_UA!$HO$19</f>
        <v>203</v>
      </c>
      <c r="E65" s="66">
        <f t="shared" si="33"/>
        <v>-0.89162561576354682</v>
      </c>
      <c r="F65" s="2">
        <f>SUM([3]Republic_UA!$HR$19:$IC$19)</f>
        <v>1070</v>
      </c>
      <c r="G65" s="2">
        <f>SUM([3]Republic_UA!$HD$19:$HO$19)</f>
        <v>1662</v>
      </c>
      <c r="H65" s="3">
        <f t="shared" ref="H65:H66" si="42">(F65-G65)/G65</f>
        <v>-0.35619735258724428</v>
      </c>
      <c r="I65" s="66">
        <f t="shared" si="35"/>
        <v>3.8769942062488452E-3</v>
      </c>
      <c r="J65" s="38"/>
      <c r="K65" s="340" t="s">
        <v>52</v>
      </c>
      <c r="L65" s="285">
        <f>[3]Republic_UA!$IC$41</f>
        <v>1461</v>
      </c>
      <c r="M65" s="2">
        <f>[3]Republic_UA!$HO$41</f>
        <v>12781</v>
      </c>
      <c r="N65" s="66">
        <f t="shared" si="36"/>
        <v>-0.88568969564196853</v>
      </c>
      <c r="O65" s="285">
        <f>SUM([3]Republic_UA!$HR$41:$IC$41)</f>
        <v>65867</v>
      </c>
      <c r="P65" s="2">
        <f>SUM([3]Republic_UA!$HD$41:$HO$41)</f>
        <v>99267</v>
      </c>
      <c r="Q65" s="3">
        <f t="shared" si="37"/>
        <v>-0.33646629796407668</v>
      </c>
      <c r="R65" s="66">
        <f t="shared" si="38"/>
        <v>2.1704552947401316E-3</v>
      </c>
      <c r="S65" s="38"/>
      <c r="T65" s="340" t="s">
        <v>52</v>
      </c>
      <c r="U65" s="285">
        <f>[3]Republic_UA!$IC$64</f>
        <v>0</v>
      </c>
      <c r="V65" s="2">
        <f>[3]Republic_UA!$HO$64</f>
        <v>0</v>
      </c>
      <c r="W65" s="66" t="e">
        <f t="shared" si="39"/>
        <v>#DIV/0!</v>
      </c>
      <c r="X65" s="285">
        <f>SUM([3]Republic_UA!$HR$64:$IC$64)</f>
        <v>0</v>
      </c>
      <c r="Y65" s="2">
        <f>SUM([3]Republic_UA!$HD$64:$HO$64)</f>
        <v>0</v>
      </c>
      <c r="Z65" s="3" t="e">
        <f t="shared" si="40"/>
        <v>#DIV/0!</v>
      </c>
      <c r="AA65" s="66">
        <f t="shared" si="41"/>
        <v>0</v>
      </c>
    </row>
    <row r="66" spans="1:27" ht="14.1" customHeight="1" x14ac:dyDescent="0.2">
      <c r="A66" s="38"/>
      <c r="B66" s="340" t="s">
        <v>50</v>
      </c>
      <c r="C66" s="285">
        <f>'[3]Air Wisconsin'!$IC$19</f>
        <v>0</v>
      </c>
      <c r="D66" s="2">
        <f>'[3]Air Wisconsin'!$HO$19</f>
        <v>0</v>
      </c>
      <c r="E66" s="66" t="e">
        <f t="shared" si="33"/>
        <v>#DIV/0!</v>
      </c>
      <c r="F66" s="2">
        <f>SUM('[3]Air Wisconsin'!$HR$19:$IC$19)</f>
        <v>8</v>
      </c>
      <c r="G66" s="2">
        <f>SUM('[3]Air Wisconsin'!$HD$19:$HO$19)</f>
        <v>0</v>
      </c>
      <c r="H66" s="376" t="e">
        <f t="shared" si="42"/>
        <v>#DIV/0!</v>
      </c>
      <c r="I66" s="66">
        <f t="shared" si="35"/>
        <v>2.8986872570084824E-5</v>
      </c>
      <c r="J66" s="38"/>
      <c r="K66" s="288" t="s">
        <v>50</v>
      </c>
      <c r="L66" s="285">
        <f>'[3]Air Wisconsin'!$IC$41</f>
        <v>0</v>
      </c>
      <c r="M66" s="2">
        <f>'[3]Air Wisconsin'!$HO$41</f>
        <v>0</v>
      </c>
      <c r="N66" s="66" t="e">
        <f t="shared" si="36"/>
        <v>#DIV/0!</v>
      </c>
      <c r="O66" s="285">
        <f>SUM('[3]Air Wisconsin'!$HR$41:$IC$41)</f>
        <v>92</v>
      </c>
      <c r="P66" s="2">
        <f>SUM('[3]Air Wisconsin'!$HD$41:$HO$41)</f>
        <v>0</v>
      </c>
      <c r="Q66" s="3" t="e">
        <f t="shared" si="37"/>
        <v>#DIV/0!</v>
      </c>
      <c r="R66" s="66">
        <f t="shared" si="38"/>
        <v>3.0315922558503058E-6</v>
      </c>
      <c r="S66" s="38"/>
      <c r="T66" s="288" t="s">
        <v>50</v>
      </c>
      <c r="U66" s="285">
        <f>'[3]Air Wisconsin'!$IC$64</f>
        <v>0</v>
      </c>
      <c r="V66" s="2">
        <f>'[3]Air Wisconsin'!$HO$64</f>
        <v>0</v>
      </c>
      <c r="W66" s="66" t="e">
        <f t="shared" si="39"/>
        <v>#DIV/0!</v>
      </c>
      <c r="X66" s="285">
        <f>SUM('[3]Air Wisconsin'!$HR$64:$IC$64)</f>
        <v>0</v>
      </c>
      <c r="Y66" s="2">
        <f>SUM('[3]Air Wisconsin'!$HD$64:$HO$64)</f>
        <v>0</v>
      </c>
      <c r="Z66" s="3" t="e">
        <f t="shared" si="40"/>
        <v>#DIV/0!</v>
      </c>
      <c r="AA66" s="66">
        <f t="shared" si="41"/>
        <v>0</v>
      </c>
    </row>
    <row r="67" spans="1:27" ht="14.1" customHeight="1" x14ac:dyDescent="0.2">
      <c r="A67" s="38"/>
      <c r="B67" s="40" t="s">
        <v>97</v>
      </c>
      <c r="C67" s="285">
        <f>'[3]Sky West_UA'!$IC$19</f>
        <v>0</v>
      </c>
      <c r="D67" s="2">
        <f>'[3]Sky West_UA'!$HO$19+'[3]Sky West_CO'!$HO$19</f>
        <v>144</v>
      </c>
      <c r="E67" s="66">
        <f t="shared" si="33"/>
        <v>-1</v>
      </c>
      <c r="F67" s="2">
        <f>SUM('[3]Sky West_UA'!$HR$19:$IC$19)</f>
        <v>396</v>
      </c>
      <c r="G67" s="2">
        <f>SUM('[3]Sky West_UA'!$HD$19:$HO$19)+SUM('[3]Sky West_CO'!$HD$19:$HO$19)</f>
        <v>1044</v>
      </c>
      <c r="H67" s="3">
        <f t="shared" si="34"/>
        <v>-0.62068965517241381</v>
      </c>
      <c r="I67" s="66">
        <f t="shared" si="35"/>
        <v>1.4348501922191988E-3</v>
      </c>
      <c r="J67" s="38"/>
      <c r="K67" s="40" t="s">
        <v>97</v>
      </c>
      <c r="L67" s="285">
        <f>'[3]Sky West_UA'!$IC$41</f>
        <v>0</v>
      </c>
      <c r="M67" s="2">
        <f>'[3]Sky West_UA'!$HO$41+'[3]Sky West_CO'!$HO$41</f>
        <v>9275</v>
      </c>
      <c r="N67" s="66">
        <f t="shared" si="36"/>
        <v>-1</v>
      </c>
      <c r="O67" s="285">
        <f>SUM('[3]Sky West_UA'!$HR$41:$IC$41)</f>
        <v>25181</v>
      </c>
      <c r="P67" s="2">
        <f>SUM('[3]Sky West_UA'!$HD$41:$HO$41)+SUM('[3]Sky West_CO'!$HD$41:$HO$41)</f>
        <v>65319</v>
      </c>
      <c r="Q67" s="3">
        <f t="shared" si="37"/>
        <v>-0.61449195486764951</v>
      </c>
      <c r="R67" s="66">
        <f t="shared" si="38"/>
        <v>8.2976657168007124E-4</v>
      </c>
      <c r="S67" s="38"/>
      <c r="T67" s="40" t="s">
        <v>97</v>
      </c>
      <c r="U67" s="285">
        <f>'[3]Sky West_UA'!$IC$64</f>
        <v>0</v>
      </c>
      <c r="V67" s="2">
        <f>'[3]Sky West_UA'!$HO$64+'[3]Sky West_CO'!$HO$64</f>
        <v>0</v>
      </c>
      <c r="W67" s="66" t="e">
        <f t="shared" si="39"/>
        <v>#DIV/0!</v>
      </c>
      <c r="X67" s="285">
        <f>SUM('[3]Sky West_UA'!$HR$64:$IC$64)</f>
        <v>0</v>
      </c>
      <c r="Y67" s="2">
        <f>SUM('[3]Sky West_UA'!$HD$64:$HO$64)+SUM('[3]Sky West_CO'!$HD$64:$HO$64)</f>
        <v>0</v>
      </c>
      <c r="Z67" s="3" t="e">
        <f t="shared" si="40"/>
        <v>#DIV/0!</v>
      </c>
      <c r="AA67" s="66">
        <f t="shared" si="41"/>
        <v>0</v>
      </c>
    </row>
    <row r="68" spans="1:27" ht="14.1" customHeight="1" x14ac:dyDescent="0.2">
      <c r="A68" s="38"/>
      <c r="B68" s="288" t="s">
        <v>131</v>
      </c>
      <c r="C68" s="285">
        <f>'[3]Shuttle America'!$IC$19</f>
        <v>0</v>
      </c>
      <c r="D68" s="2">
        <f>'[3]Shuttle America'!$HO$19</f>
        <v>0</v>
      </c>
      <c r="E68" s="66" t="e">
        <f t="shared" si="33"/>
        <v>#DIV/0!</v>
      </c>
      <c r="F68" s="2">
        <f>SUM('[3]Shuttle America'!$HR$19:$IC$19)</f>
        <v>0</v>
      </c>
      <c r="G68" s="2">
        <f>SUM('[3]Shuttle America'!$HD$19:$HO$19)</f>
        <v>0</v>
      </c>
      <c r="H68" s="3" t="e">
        <f t="shared" si="34"/>
        <v>#DIV/0!</v>
      </c>
      <c r="I68" s="66">
        <f t="shared" si="35"/>
        <v>0</v>
      </c>
      <c r="J68" s="38"/>
      <c r="K68" s="288" t="s">
        <v>131</v>
      </c>
      <c r="L68" s="285">
        <f>'[3]Shuttle America'!$IC$41</f>
        <v>0</v>
      </c>
      <c r="M68" s="2">
        <f>'[3]Shuttle America'!$HO$41</f>
        <v>0</v>
      </c>
      <c r="N68" s="66" t="e">
        <f t="shared" si="36"/>
        <v>#DIV/0!</v>
      </c>
      <c r="O68" s="285">
        <f>SUM('[3]Shuttle America'!$HR$41:$IC$41)</f>
        <v>0</v>
      </c>
      <c r="P68" s="2">
        <f>SUM('[3]Shuttle America'!$HD$41:$HO$41)</f>
        <v>0</v>
      </c>
      <c r="Q68" s="3" t="e">
        <f t="shared" si="37"/>
        <v>#DIV/0!</v>
      </c>
      <c r="R68" s="66">
        <f t="shared" si="38"/>
        <v>0</v>
      </c>
      <c r="S68" s="38"/>
      <c r="T68" s="288" t="s">
        <v>131</v>
      </c>
      <c r="U68" s="285">
        <f>'[3]Shuttle America'!$IC$64</f>
        <v>0</v>
      </c>
      <c r="V68" s="2">
        <f>'[3]Shuttle America'!$HO$64</f>
        <v>0</v>
      </c>
      <c r="W68" s="66" t="e">
        <f t="shared" si="39"/>
        <v>#DIV/0!</v>
      </c>
      <c r="X68" s="285">
        <f>SUM('[3]Shuttle America'!$HR$64:$IC$64)</f>
        <v>0</v>
      </c>
      <c r="Y68" s="2">
        <f>SUM('[3]Shuttle America'!$HD$64:$HO$64)</f>
        <v>0</v>
      </c>
      <c r="Z68" s="3" t="e">
        <f t="shared" si="40"/>
        <v>#DIV/0!</v>
      </c>
      <c r="AA68" s="66">
        <f t="shared" si="41"/>
        <v>0</v>
      </c>
    </row>
    <row r="69" spans="1:27" ht="14.1" customHeight="1" thickBot="1" x14ac:dyDescent="0.25">
      <c r="A69" s="342"/>
      <c r="B69" s="343"/>
      <c r="C69" s="289"/>
      <c r="D69" s="291"/>
      <c r="E69" s="292"/>
      <c r="F69" s="291"/>
      <c r="G69" s="291"/>
      <c r="H69" s="290"/>
      <c r="I69" s="292"/>
      <c r="J69" s="342"/>
      <c r="K69" s="343"/>
      <c r="L69" s="289"/>
      <c r="M69" s="291"/>
      <c r="N69" s="292"/>
      <c r="O69" s="289"/>
      <c r="P69" s="291"/>
      <c r="Q69" s="290"/>
      <c r="R69" s="369"/>
      <c r="S69" s="342"/>
      <c r="T69" s="343"/>
      <c r="U69" s="289"/>
      <c r="V69" s="291"/>
      <c r="W69" s="292"/>
      <c r="X69" s="289"/>
      <c r="Y69" s="291"/>
      <c r="Z69" s="290"/>
      <c r="AA69" s="369"/>
    </row>
    <row r="70" spans="1:27" s="171" customFormat="1" ht="14.1" customHeight="1" thickBot="1" x14ac:dyDescent="0.25">
      <c r="B70" s="170"/>
      <c r="C70" s="283"/>
      <c r="D70" s="283"/>
      <c r="E70" s="282"/>
      <c r="F70" s="341"/>
      <c r="G70" s="283"/>
      <c r="H70" s="282"/>
      <c r="I70" s="282"/>
      <c r="J70" s="293"/>
      <c r="K70" s="170"/>
      <c r="L70" s="294"/>
      <c r="M70" s="295"/>
      <c r="N70" s="293"/>
      <c r="S70" s="293"/>
      <c r="T70" s="170"/>
      <c r="U70" s="294"/>
      <c r="V70" s="295"/>
      <c r="W70" s="293"/>
    </row>
    <row r="71" spans="1:27" ht="14.1" customHeight="1" x14ac:dyDescent="0.2">
      <c r="B71" s="296" t="s">
        <v>133</v>
      </c>
      <c r="C71" s="350">
        <f>+C73-C72</f>
        <v>15222</v>
      </c>
      <c r="D71" s="350">
        <f>+D73-D72</f>
        <v>13653</v>
      </c>
      <c r="E71" s="351">
        <f>(C71-D71)/D71</f>
        <v>0.11491979784662712</v>
      </c>
      <c r="F71" s="350">
        <f>+F73-F72</f>
        <v>180739</v>
      </c>
      <c r="G71" s="350">
        <f>+G73-G72</f>
        <v>150969</v>
      </c>
      <c r="H71" s="351">
        <f>(F71-G71)/G71</f>
        <v>0.19719280117110136</v>
      </c>
      <c r="I71" s="383">
        <f>F71/$F$73</f>
        <v>0.65488229518057006</v>
      </c>
      <c r="K71" s="296" t="s">
        <v>133</v>
      </c>
      <c r="L71" s="350">
        <f>+L73-L72</f>
        <v>2081424</v>
      </c>
      <c r="M71" s="350">
        <f>+M73-M72</f>
        <v>1810377</v>
      </c>
      <c r="N71" s="351">
        <f>(L71-M71)/M71</f>
        <v>0.14971853928767323</v>
      </c>
      <c r="O71" s="350">
        <f>+O73-O72</f>
        <v>25220562</v>
      </c>
      <c r="P71" s="350">
        <f>+P73-P72</f>
        <v>18813026</v>
      </c>
      <c r="Q71" s="379">
        <f>(O71-P71)/P71</f>
        <v>0.34059039731301066</v>
      </c>
      <c r="R71" s="441">
        <f>+O71/O73</f>
        <v>0.8310702222542663</v>
      </c>
      <c r="S71" s="3"/>
      <c r="T71" s="296" t="s">
        <v>133</v>
      </c>
      <c r="U71" s="350">
        <f>+U73-U72</f>
        <v>7329875</v>
      </c>
      <c r="V71" s="350">
        <f>+V73-V72</f>
        <v>6936813</v>
      </c>
      <c r="W71" s="351">
        <f>(U71-V71)/V71</f>
        <v>5.6663196773503913E-2</v>
      </c>
      <c r="X71" s="350">
        <f>+X73-X72</f>
        <v>98972663</v>
      </c>
      <c r="Y71" s="350">
        <f>+Y73-Y72</f>
        <v>64797342</v>
      </c>
      <c r="Z71" s="379">
        <f>(X71-Y71)/Y71</f>
        <v>0.52741856294043665</v>
      </c>
      <c r="AA71" s="441">
        <f>+X71/X73</f>
        <v>0.99145463628558217</v>
      </c>
    </row>
    <row r="72" spans="1:27" ht="14.1" customHeight="1" x14ac:dyDescent="0.2">
      <c r="B72" s="170" t="s">
        <v>134</v>
      </c>
      <c r="C72" s="352">
        <f>C68+C44+C42+C40+C39+C43+C25+C67+C63+C41+C62+C64+C66+C29+C26+C20+C8+C65+C27+C28+C10+C21+C9</f>
        <v>6358</v>
      </c>
      <c r="D72" s="352">
        <f>D68+D44+D42+D40+D39+D43+D25+D67+D63+D41+D62+D64+D66+D29+D26+D20+D8+D65+D27+D28+D10+D21+D9</f>
        <v>9068</v>
      </c>
      <c r="E72" s="297">
        <f>(C72-D72)/D72</f>
        <v>-0.2988531098367887</v>
      </c>
      <c r="F72" s="352">
        <f>F68+F44+F42+F40+F39+F43+F25+F67+F63+F41+F62+F64+F66+F29+F26+F20+F8+F65+F27+F28+F10+F21+F9</f>
        <v>95248</v>
      </c>
      <c r="G72" s="352">
        <f>G68+G44+G42+G40+G39+G43+G25+G67+G63+G41+G62+G64+G66+G29+G26+G20+G8+G65+G27+G28+G10+G21+G9</f>
        <v>119594</v>
      </c>
      <c r="H72" s="297">
        <f>(F72-G72)/G72</f>
        <v>-0.20357208555613157</v>
      </c>
      <c r="I72" s="384">
        <f>F72/$F$73</f>
        <v>0.34511770481942988</v>
      </c>
      <c r="K72" s="170" t="s">
        <v>134</v>
      </c>
      <c r="L72" s="352">
        <f>L68+L44+L42+L40+L39+L43+L25+L67+L63+L41+L62+L64+L66+L29+L26+L20+L8+L65+L27+L28+L10+L21+L9</f>
        <v>341907</v>
      </c>
      <c r="M72" s="352">
        <f>M68+M44+M42+M40+M39+M43+M25+M67+M63+M41+M62+M64+M66+M29+M26+M20+M8+M65+M27+M28+M10+M21+M9</f>
        <v>435747</v>
      </c>
      <c r="N72" s="297">
        <f>(L72-M72)/M72</f>
        <v>-0.21535432257709175</v>
      </c>
      <c r="O72" s="352">
        <f>O68+O44+O42+O40+O39+O43+O25+O67+O63+O41+O62+O64+O66+O29+O26+O20+O8+O65+O27+O28+O10+O21+O9</f>
        <v>5126527</v>
      </c>
      <c r="P72" s="352">
        <f>P68+P44+P42+P40+P39+P43+P25+P67+P63+P41+P62+P64+P66+P29+P26+P20+P8+P65+P27+P28+P10+P21+P9</f>
        <v>5609060</v>
      </c>
      <c r="Q72" s="377">
        <f>(O72-P72)/P72</f>
        <v>-8.6027427055513764E-2</v>
      </c>
      <c r="R72" s="442">
        <f>+O72/O73</f>
        <v>0.1689297777457337</v>
      </c>
      <c r="S72" s="3"/>
      <c r="T72" s="170" t="s">
        <v>134</v>
      </c>
      <c r="U72" s="352">
        <f>U68+U44+U42+U40+U39+U43+U25+U67+U63+U41+U62+U64+U66+U29+U26+U20+U8+U65+U27+U28+U10+U21+U9</f>
        <v>3459</v>
      </c>
      <c r="V72" s="352">
        <f>V68+V44+V42+V40+V39+V43+V25+V67+V63+V41+V62+V64+V66+V29+V26+V20+V8+V65+V27+V28+V10+V21+V9</f>
        <v>2346</v>
      </c>
      <c r="W72" s="297">
        <f>(U72-V72)/V72</f>
        <v>0.47442455242966752</v>
      </c>
      <c r="X72" s="352">
        <f>X68+X44+X42+X40+X39+X43+X25+X67+X63+X41+X62+X64+X66+X29+X26+X20+X8+X65+X27+X28+X10+X21+X9</f>
        <v>853047</v>
      </c>
      <c r="Y72" s="352">
        <f>Y68+Y44+Y42+Y40+Y39+Y43+Y25+Y67+Y63+Y41+Y62+Y64+Y66+Y29+Y26+Y20+Y8+Y65+Y27+Y28+Y10+Y21+Y9</f>
        <v>53321</v>
      </c>
      <c r="Z72" s="377">
        <f>(X72-Y72)/Y72</f>
        <v>14.998330864012303</v>
      </c>
      <c r="AA72" s="442">
        <f>+X72/X73</f>
        <v>8.5453637144178585E-3</v>
      </c>
    </row>
    <row r="73" spans="1:27" ht="14.1" customHeight="1" thickBot="1" x14ac:dyDescent="0.25">
      <c r="B73" s="170" t="s">
        <v>135</v>
      </c>
      <c r="C73" s="353">
        <f>C60+C58+C54+C48+C46+C37+C23+C18+C6+C56+C33+C31+C12+C52+C14+C50+C4+C35+C16</f>
        <v>21580</v>
      </c>
      <c r="D73" s="353">
        <f>D60+D58+D54+D48+D46+D37+D23+D18+D6+D56+D33+D31+D12+D52+D14+D50+D4+D35+D16</f>
        <v>22721</v>
      </c>
      <c r="E73" s="354">
        <f>(C73-D73)/D73</f>
        <v>-5.0217860129395712E-2</v>
      </c>
      <c r="F73" s="353">
        <f>F60+F58+F54+F48+F46+F37+F23+F18+F6+F56+F33+F31+F12+F52+F14+F50+F4+F35+F16</f>
        <v>275987</v>
      </c>
      <c r="G73" s="353">
        <f>G60+G58+G54+G48+G46+G37+G23+G18+G6+G56+G33+G31+G12+G52+G14+G50+G4+G35+G16</f>
        <v>270563</v>
      </c>
      <c r="H73" s="354">
        <f>(F73-G73)/G73</f>
        <v>2.0047087000070223E-2</v>
      </c>
      <c r="I73" s="385">
        <f>+H73/H73</f>
        <v>1</v>
      </c>
      <c r="K73" s="170" t="s">
        <v>135</v>
      </c>
      <c r="L73" s="353">
        <f>L60+L58+L54+L48+L46+L37+L23+L18+L6+L56+L33+L31+L12+L52+L14+L50+L4+L35+L16</f>
        <v>2423331</v>
      </c>
      <c r="M73" s="353">
        <f>M60+M58+M54+M48+M46+M37+M23+M18+M6+M56+M33+M31+M12+M52+M14+M50+M4+M35+M16</f>
        <v>2246124</v>
      </c>
      <c r="N73" s="354">
        <f>(L73-M73)/M73</f>
        <v>7.8894575722444529E-2</v>
      </c>
      <c r="O73" s="353">
        <f>O60+O58+O54+O48+O46+O37+O23+O18+O6+O56+O33+O31+O12+O52+O14+O50+O4+O35+O16</f>
        <v>30347089</v>
      </c>
      <c r="P73" s="353">
        <f>P60+P58+P54+P48+P46+P37+P23+P18+P6+P56+P33+P31+P12+P52+P14+P50+P4+P35+P16</f>
        <v>24422086</v>
      </c>
      <c r="Q73" s="440">
        <f>(O73-P73)/P73</f>
        <v>0.24260839143716062</v>
      </c>
      <c r="R73" s="385">
        <f>+Q73/Q73</f>
        <v>1</v>
      </c>
      <c r="S73" s="3"/>
      <c r="T73" s="170" t="s">
        <v>135</v>
      </c>
      <c r="U73" s="353">
        <f>U60+U58+U54+U48+U46+U37+U23+U18+U6+U56+U33+U31+U12+U52+U14+U50+U4+U35+U16</f>
        <v>7333334</v>
      </c>
      <c r="V73" s="353">
        <f>V60+V58+V54+V48+V46+V37+V23+V18+V6+V56+V33+V31+V12+V52+V14+V50+V4+V35+V16</f>
        <v>6939159</v>
      </c>
      <c r="W73" s="354">
        <f>(U73-V73)/V73</f>
        <v>5.6804434081997542E-2</v>
      </c>
      <c r="X73" s="353">
        <f>X60+X58+X54+X48+X46+X37+X23+X18+X6+X56+X33+X31+X12+X52+X14+X50+X4+X35+X16</f>
        <v>99825710</v>
      </c>
      <c r="Y73" s="353">
        <f>Y60+Y58+Y54+Y48+Y46+Y37+Y23+Y18+Y6+Y56+Y33+Y31+Y12+Y52+Y14+Y50+Y4+Y35+Y16</f>
        <v>64850663</v>
      </c>
      <c r="Z73" s="440">
        <f>(X73-Y73)/Y73</f>
        <v>0.53931672217445181</v>
      </c>
      <c r="AA73" s="385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 s="2"/>
      <c r="F75" s="2"/>
      <c r="H75" s="2"/>
      <c r="I75"/>
      <c r="J75"/>
      <c r="K75"/>
      <c r="N75" s="2"/>
      <c r="O75" s="2"/>
      <c r="P75" s="2"/>
      <c r="Q75" s="2"/>
      <c r="U75" s="96"/>
      <c r="V75" s="96"/>
      <c r="W75" s="96"/>
    </row>
    <row r="76" spans="1:27" x14ac:dyDescent="0.2">
      <c r="E76" s="2"/>
      <c r="F76" s="2"/>
      <c r="H76" s="2"/>
      <c r="I76"/>
      <c r="J76"/>
      <c r="K76"/>
      <c r="N76" s="2"/>
      <c r="O76" s="2"/>
      <c r="P76" s="2"/>
      <c r="Q76" s="2"/>
      <c r="U76" s="96"/>
      <c r="V76" s="96"/>
      <c r="W76" s="96"/>
    </row>
    <row r="77" spans="1:27" x14ac:dyDescent="0.2">
      <c r="E77" s="2"/>
      <c r="F77" s="2"/>
      <c r="H77" s="2"/>
      <c r="I77"/>
      <c r="J77"/>
      <c r="K77"/>
      <c r="N77" s="2"/>
      <c r="O77" s="2"/>
      <c r="P77" s="2"/>
      <c r="Q77" s="2"/>
      <c r="U77" s="96"/>
    </row>
    <row r="78" spans="1:27" x14ac:dyDescent="0.2">
      <c r="E78" s="2"/>
      <c r="F78" s="2"/>
      <c r="H78" s="2"/>
      <c r="I78"/>
      <c r="J78"/>
      <c r="K78"/>
      <c r="N78" s="2"/>
      <c r="O78" s="2"/>
      <c r="P78" s="2"/>
      <c r="Q78" s="2"/>
      <c r="U78" s="96"/>
    </row>
    <row r="79" spans="1:27" x14ac:dyDescent="0.2">
      <c r="E79"/>
      <c r="F79" s="2"/>
      <c r="H79"/>
      <c r="I79"/>
      <c r="J79"/>
      <c r="K79"/>
      <c r="N79"/>
      <c r="O79" s="2"/>
      <c r="P79" s="2"/>
      <c r="U79" s="96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December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39">
        <v>44896</v>
      </c>
      <c r="B1" s="349" t="s">
        <v>17</v>
      </c>
      <c r="C1" s="349" t="s">
        <v>18</v>
      </c>
      <c r="D1" s="349" t="s">
        <v>19</v>
      </c>
      <c r="E1" s="349" t="s">
        <v>155</v>
      </c>
      <c r="F1" s="349" t="s">
        <v>161</v>
      </c>
      <c r="G1" s="349" t="s">
        <v>156</v>
      </c>
      <c r="H1" s="387" t="s">
        <v>199</v>
      </c>
      <c r="I1" s="387" t="s">
        <v>194</v>
      </c>
      <c r="J1" s="349" t="s">
        <v>20</v>
      </c>
      <c r="K1" s="348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6"/>
      <c r="I2" s="386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[3]American!$IC$22</f>
        <v>43329</v>
      </c>
      <c r="C4" s="13">
        <f>[3]Delta!$IC$22+[3]Delta!$IC$32</f>
        <v>683773</v>
      </c>
      <c r="D4" s="13">
        <f>[3]United!$IC$22</f>
        <v>49248</v>
      </c>
      <c r="E4" s="13">
        <f>[3]Spirit!$IC$22</f>
        <v>19775</v>
      </c>
      <c r="F4" s="13">
        <f>[3]Condor!$IC$32</f>
        <v>0</v>
      </c>
      <c r="G4" s="13">
        <f>'[3]Air France'!$IC$32</f>
        <v>0</v>
      </c>
      <c r="H4" s="13">
        <f>'[3]Jet Blue'!$IC$22</f>
        <v>7156</v>
      </c>
      <c r="I4" s="13">
        <f>[3]KLM!$IC$22+[3]KLM!$IC$32</f>
        <v>3880</v>
      </c>
      <c r="J4" s="13">
        <f>'Other Major Airline Stats'!K5</f>
        <v>219179</v>
      </c>
      <c r="K4" s="219">
        <f>SUM(B4:J4)</f>
        <v>1026340</v>
      </c>
    </row>
    <row r="5" spans="1:20" x14ac:dyDescent="0.2">
      <c r="A5" s="46" t="s">
        <v>31</v>
      </c>
      <c r="B5" s="7">
        <f>[3]American!$IC$23</f>
        <v>43246</v>
      </c>
      <c r="C5" s="7">
        <f>[3]Delta!$IC$23+[3]Delta!$IC$33</f>
        <v>702834</v>
      </c>
      <c r="D5" s="7">
        <f>[3]United!$IC$23</f>
        <v>49225</v>
      </c>
      <c r="E5" s="7">
        <f>[3]Spirit!$IC$23</f>
        <v>17237</v>
      </c>
      <c r="F5" s="7">
        <f>[3]Condor!$IC$33</f>
        <v>0</v>
      </c>
      <c r="G5" s="7">
        <f>'[3]Air France'!$IC$33</f>
        <v>0</v>
      </c>
      <c r="H5" s="7">
        <f>'[3]Jet Blue'!$IC$23</f>
        <v>6323</v>
      </c>
      <c r="I5" s="7">
        <f>[3]KLM!$IC$23+[3]KLM!$IC$33</f>
        <v>4202</v>
      </c>
      <c r="J5" s="7">
        <f>'Other Major Airline Stats'!K6</f>
        <v>232017</v>
      </c>
      <c r="K5" s="220">
        <f>SUM(B5:J5)</f>
        <v>1055084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86575</v>
      </c>
      <c r="C6" s="25">
        <f t="shared" si="0"/>
        <v>1386607</v>
      </c>
      <c r="D6" s="25">
        <f t="shared" si="0"/>
        <v>98473</v>
      </c>
      <c r="E6" s="25">
        <f t="shared" si="0"/>
        <v>37012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13479</v>
      </c>
      <c r="I6" s="25">
        <f t="shared" si="1"/>
        <v>8082</v>
      </c>
      <c r="J6" s="25">
        <f>SUM(J4:J5)</f>
        <v>451196</v>
      </c>
      <c r="K6" s="221">
        <f>SUM(B6:J6)</f>
        <v>2081424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[3]American!$IC$27</f>
        <v>1603</v>
      </c>
      <c r="C9" s="13">
        <f>[3]Delta!$IC$27+[3]Delta!$IC$37</f>
        <v>22044</v>
      </c>
      <c r="D9" s="13">
        <f>[3]United!$IC$27</f>
        <v>1356</v>
      </c>
      <c r="E9" s="13">
        <f>[3]Spirit!$IC$27</f>
        <v>185</v>
      </c>
      <c r="F9" s="13">
        <f>[3]Condor!$IC$37</f>
        <v>0</v>
      </c>
      <c r="G9" s="13">
        <f>'[3]Air France'!$IC$37</f>
        <v>0</v>
      </c>
      <c r="H9" s="13">
        <f>'[3]Jet Blue'!$IC$27</f>
        <v>245</v>
      </c>
      <c r="I9" s="13">
        <f>[3]KLM!$IC$27+[3]KLM!$IC$37</f>
        <v>0</v>
      </c>
      <c r="J9" s="13">
        <f>'Other Major Airline Stats'!K10</f>
        <v>3529</v>
      </c>
      <c r="K9" s="219">
        <f>SUM(B9:J9)</f>
        <v>28962</v>
      </c>
      <c r="N9" s="244"/>
    </row>
    <row r="10" spans="1:20" x14ac:dyDescent="0.2">
      <c r="A10" s="46" t="s">
        <v>33</v>
      </c>
      <c r="B10" s="7">
        <f>[3]American!$IC$28</f>
        <v>1676</v>
      </c>
      <c r="C10" s="7">
        <f>[3]Delta!$IC$28+[3]Delta!$IC$38</f>
        <v>21998</v>
      </c>
      <c r="D10" s="7">
        <f>[3]United!$IC$28</f>
        <v>1376</v>
      </c>
      <c r="E10" s="7">
        <f>[3]Spirit!$IC$28</f>
        <v>199</v>
      </c>
      <c r="F10" s="7">
        <f>[3]Condor!$IC$38</f>
        <v>0</v>
      </c>
      <c r="G10" s="7">
        <f>'[3]Air France'!$IC$38</f>
        <v>0</v>
      </c>
      <c r="H10" s="7">
        <f>'[3]Jet Blue'!$IC$28</f>
        <v>261</v>
      </c>
      <c r="I10" s="7">
        <f>[3]KLM!$IC$28+[3]KLM!$IC$38</f>
        <v>0</v>
      </c>
      <c r="J10" s="7">
        <f>'Other Major Airline Stats'!K11</f>
        <v>3732</v>
      </c>
      <c r="K10" s="220">
        <f>SUM(B10:J10)</f>
        <v>29242</v>
      </c>
    </row>
    <row r="11" spans="1:20" ht="15.75" thickBot="1" x14ac:dyDescent="0.3">
      <c r="A11" s="47" t="s">
        <v>34</v>
      </c>
      <c r="B11" s="222">
        <f t="shared" ref="B11:J11" si="3">SUM(B9:B10)</f>
        <v>3279</v>
      </c>
      <c r="C11" s="222">
        <f t="shared" si="3"/>
        <v>44042</v>
      </c>
      <c r="D11" s="222">
        <f t="shared" si="3"/>
        <v>2732</v>
      </c>
      <c r="E11" s="222">
        <f t="shared" si="3"/>
        <v>384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506</v>
      </c>
      <c r="I11" s="222">
        <f t="shared" si="4"/>
        <v>0</v>
      </c>
      <c r="J11" s="222">
        <f t="shared" si="3"/>
        <v>7261</v>
      </c>
      <c r="K11" s="223">
        <f>SUM(B11:J11)</f>
        <v>58204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[3]American!$IC$4</f>
        <v>311</v>
      </c>
      <c r="C15" s="13">
        <f>[3]Delta!$IC$4+[3]Delta!$IC$15</f>
        <v>4961</v>
      </c>
      <c r="D15" s="13">
        <f>[3]United!$IC$4</f>
        <v>372</v>
      </c>
      <c r="E15" s="13">
        <f>[3]Spirit!$IC$4</f>
        <v>139</v>
      </c>
      <c r="F15" s="13">
        <f>[3]Condor!$IC$15</f>
        <v>0</v>
      </c>
      <c r="G15" s="13">
        <f>'[3]Air France'!$IC$15</f>
        <v>0</v>
      </c>
      <c r="H15" s="13">
        <f>'[3]Jet Blue'!$IC$4</f>
        <v>84</v>
      </c>
      <c r="I15" s="13">
        <f>[3]KLM!$IC$4+[3]KLM!$IC$15</f>
        <v>17</v>
      </c>
      <c r="J15" s="13">
        <f>'Other Major Airline Stats'!K16</f>
        <v>1661</v>
      </c>
      <c r="K15" s="18">
        <f>SUM(B15:J15)</f>
        <v>7545</v>
      </c>
    </row>
    <row r="16" spans="1:20" x14ac:dyDescent="0.2">
      <c r="A16" s="46" t="s">
        <v>23</v>
      </c>
      <c r="B16" s="7">
        <f>[3]American!$IC$5</f>
        <v>310</v>
      </c>
      <c r="C16" s="7">
        <f>[3]Delta!$IC$5+[3]Delta!$IC$16</f>
        <v>4952</v>
      </c>
      <c r="D16" s="7">
        <f>[3]United!$IC$5</f>
        <v>372</v>
      </c>
      <c r="E16" s="7">
        <f>[3]Spirit!$IC$5</f>
        <v>136</v>
      </c>
      <c r="F16" s="7">
        <f>[3]Condor!$IC$16</f>
        <v>0</v>
      </c>
      <c r="G16" s="7">
        <f>'[3]Air France'!$IC$16</f>
        <v>0</v>
      </c>
      <c r="H16" s="7">
        <f>'[3]Jet Blue'!$IC$5</f>
        <v>85</v>
      </c>
      <c r="I16" s="7">
        <f>[3]KLM!$IC$5+[3]KLM!$IC$16</f>
        <v>17</v>
      </c>
      <c r="J16" s="7">
        <f>'Other Major Airline Stats'!K17</f>
        <v>1651</v>
      </c>
      <c r="K16" s="24">
        <f>SUM(B16:J16)</f>
        <v>7523</v>
      </c>
    </row>
    <row r="17" spans="1:11" x14ac:dyDescent="0.2">
      <c r="A17" s="46" t="s">
        <v>24</v>
      </c>
      <c r="B17" s="226">
        <f t="shared" ref="B17:J17" si="6">SUM(B15:B16)</f>
        <v>621</v>
      </c>
      <c r="C17" s="224">
        <f t="shared" si="6"/>
        <v>9913</v>
      </c>
      <c r="D17" s="224">
        <f t="shared" si="6"/>
        <v>744</v>
      </c>
      <c r="E17" s="224">
        <f t="shared" si="6"/>
        <v>275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169</v>
      </c>
      <c r="I17" s="224">
        <f t="shared" si="7"/>
        <v>34</v>
      </c>
      <c r="J17" s="224">
        <f t="shared" si="6"/>
        <v>3312</v>
      </c>
      <c r="K17" s="225">
        <f>SUM(B17:J17)</f>
        <v>15068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[3]American!$IC$8</f>
        <v>0</v>
      </c>
      <c r="C19" s="13">
        <f>[3]Delta!$IC$8</f>
        <v>9</v>
      </c>
      <c r="D19" s="13">
        <f>[3]United!$IC$8</f>
        <v>0</v>
      </c>
      <c r="E19" s="13">
        <f>[3]Spirit!$IC$8</f>
        <v>0</v>
      </c>
      <c r="F19" s="13">
        <f>[3]Condor!$IC$8</f>
        <v>0</v>
      </c>
      <c r="G19" s="13">
        <f>'[3]Air France'!$IC$8</f>
        <v>0</v>
      </c>
      <c r="H19" s="13">
        <f>'[3]Jet Blue'!$IC$8</f>
        <v>0</v>
      </c>
      <c r="I19" s="13">
        <f>[3]KLM!$IC$8</f>
        <v>0</v>
      </c>
      <c r="J19" s="13">
        <f>'Other Major Airline Stats'!K20</f>
        <v>67</v>
      </c>
      <c r="K19" s="18">
        <f>SUM(B19:J19)</f>
        <v>76</v>
      </c>
    </row>
    <row r="20" spans="1:11" x14ac:dyDescent="0.2">
      <c r="A20" s="46" t="s">
        <v>26</v>
      </c>
      <c r="B20" s="7">
        <f>[3]American!$IC$9</f>
        <v>0</v>
      </c>
      <c r="C20" s="7">
        <f>[3]Delta!$IC$9</f>
        <v>9</v>
      </c>
      <c r="D20" s="7">
        <f>[3]United!$IC$9</f>
        <v>0</v>
      </c>
      <c r="E20" s="7">
        <f>[3]Spirit!$IC$9</f>
        <v>0</v>
      </c>
      <c r="F20" s="7">
        <f>[3]Condor!$IC$9</f>
        <v>0</v>
      </c>
      <c r="G20" s="7">
        <f>'[3]Air France'!$IC$9</f>
        <v>0</v>
      </c>
      <c r="H20" s="7">
        <f>'[3]Jet Blue'!$IC$9</f>
        <v>0</v>
      </c>
      <c r="I20" s="7">
        <f>[3]KLM!$IC$9</f>
        <v>0</v>
      </c>
      <c r="J20" s="7">
        <f>'Other Major Airline Stats'!K21</f>
        <v>69</v>
      </c>
      <c r="K20" s="24">
        <f>SUM(B20:J20)</f>
        <v>78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18</v>
      </c>
      <c r="D21" s="224">
        <f t="shared" si="9"/>
        <v>0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136</v>
      </c>
      <c r="K21" s="146">
        <f>SUM(B21:J21)</f>
        <v>154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621</v>
      </c>
      <c r="C23" s="19">
        <f t="shared" si="12"/>
        <v>9931</v>
      </c>
      <c r="D23" s="19">
        <f t="shared" si="12"/>
        <v>744</v>
      </c>
      <c r="E23" s="19">
        <f>E17+E21</f>
        <v>275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169</v>
      </c>
      <c r="I23" s="19">
        <f t="shared" si="13"/>
        <v>34</v>
      </c>
      <c r="J23" s="19">
        <f t="shared" si="12"/>
        <v>3448</v>
      </c>
      <c r="K23" s="20">
        <f>SUM(B23:J23)</f>
        <v>15222</v>
      </c>
    </row>
    <row r="25" spans="1:11" ht="13.5" thickBot="1" x14ac:dyDescent="0.25">
      <c r="B25" s="333"/>
      <c r="C25" s="333"/>
      <c r="D25" s="333"/>
      <c r="E25" s="333"/>
      <c r="F25" s="333"/>
      <c r="G25" s="333"/>
      <c r="H25" s="333"/>
      <c r="I25" s="333"/>
      <c r="J25" s="333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[3]American!$IC$47</f>
        <v>41754</v>
      </c>
      <c r="C28" s="13">
        <f>[3]Delta!$IC$47</f>
        <v>2661492</v>
      </c>
      <c r="D28" s="13">
        <f>[3]United!$IC$47</f>
        <v>57450</v>
      </c>
      <c r="E28" s="13">
        <f>[3]Spirit!$IC$47</f>
        <v>0</v>
      </c>
      <c r="F28" s="13">
        <f>[3]Condor!$IC$47</f>
        <v>0</v>
      </c>
      <c r="G28" s="13">
        <f>'[3]Air France'!$IC$47</f>
        <v>0</v>
      </c>
      <c r="H28" s="13">
        <f>'[3]Jet Blue'!$IC$47</f>
        <v>0</v>
      </c>
      <c r="I28" s="13">
        <f>[3]KLM!$IC$47</f>
        <v>483070</v>
      </c>
      <c r="J28" s="13">
        <f>'Other Major Airline Stats'!K28</f>
        <v>154008</v>
      </c>
      <c r="K28" s="18">
        <f>SUM(B28:J28)</f>
        <v>3397774</v>
      </c>
    </row>
    <row r="29" spans="1:11" x14ac:dyDescent="0.2">
      <c r="A29" s="46" t="s">
        <v>38</v>
      </c>
      <c r="B29" s="7">
        <f>[3]American!$IC$48</f>
        <v>24735</v>
      </c>
      <c r="C29" s="7">
        <f>[3]Delta!$IC$48</f>
        <v>1146410</v>
      </c>
      <c r="D29" s="7">
        <f>[3]United!$IC$48</f>
        <v>35238</v>
      </c>
      <c r="E29" s="7">
        <f>[3]Spirit!$IC$48</f>
        <v>0</v>
      </c>
      <c r="F29" s="7">
        <f>[3]Condor!$IC$48</f>
        <v>0</v>
      </c>
      <c r="G29" s="7">
        <f>'[3]Air France'!$IC$48</f>
        <v>0</v>
      </c>
      <c r="H29" s="7">
        <f>'[3]Jet Blue'!$IC$48</f>
        <v>0</v>
      </c>
      <c r="I29" s="7">
        <f>[3]KLM!$IC$48</f>
        <v>0</v>
      </c>
      <c r="J29" s="7">
        <f>'Other Major Airline Stats'!K29</f>
        <v>75052</v>
      </c>
      <c r="K29" s="24">
        <f>SUM(B29:J29)</f>
        <v>1281435</v>
      </c>
    </row>
    <row r="30" spans="1:11" x14ac:dyDescent="0.2">
      <c r="A30" s="50" t="s">
        <v>39</v>
      </c>
      <c r="B30" s="226">
        <f t="shared" ref="B30:J30" si="15">SUM(B28:B29)</f>
        <v>66489</v>
      </c>
      <c r="C30" s="226">
        <f t="shared" si="15"/>
        <v>3807902</v>
      </c>
      <c r="D30" s="226">
        <f t="shared" si="15"/>
        <v>92688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483070</v>
      </c>
      <c r="J30" s="226">
        <f t="shared" si="15"/>
        <v>229060</v>
      </c>
      <c r="K30" s="18">
        <f>SUM(B30:J30)</f>
        <v>4679209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[3]American!$IC$52</f>
        <v>3763</v>
      </c>
      <c r="C33" s="13">
        <f>[3]Delta!$IC$52</f>
        <v>1361617</v>
      </c>
      <c r="D33" s="13">
        <f>[3]United!$IC$52</f>
        <v>37628</v>
      </c>
      <c r="E33" s="13">
        <f>[3]Spirit!$IC$52</f>
        <v>0</v>
      </c>
      <c r="F33" s="13">
        <f>[3]Condor!$IC$52</f>
        <v>0</v>
      </c>
      <c r="G33" s="13">
        <f>'[3]Air France'!$IC$52</f>
        <v>0</v>
      </c>
      <c r="H33" s="13">
        <f>'[3]Jet Blue'!$IC$52</f>
        <v>0</v>
      </c>
      <c r="I33" s="13">
        <f>[3]KLM!$IC$52</f>
        <v>66187</v>
      </c>
      <c r="J33" s="13">
        <f>'Other Major Airline Stats'!K33</f>
        <v>37455</v>
      </c>
      <c r="K33" s="18">
        <f t="shared" si="18"/>
        <v>1506650</v>
      </c>
    </row>
    <row r="34" spans="1:11" x14ac:dyDescent="0.2">
      <c r="A34" s="46" t="s">
        <v>38</v>
      </c>
      <c r="B34" s="7">
        <f>[3]American!$IC$53</f>
        <v>13968</v>
      </c>
      <c r="C34" s="7">
        <f>[3]Delta!$IC$53</f>
        <v>1090727</v>
      </c>
      <c r="D34" s="7">
        <f>[3]United!$IC$53</f>
        <v>8707</v>
      </c>
      <c r="E34" s="7">
        <f>[3]Spirit!$IC$53</f>
        <v>0</v>
      </c>
      <c r="F34" s="7">
        <f>[3]Condor!$IC$53</f>
        <v>0</v>
      </c>
      <c r="G34" s="7">
        <f>'[3]Air France'!$IC$53</f>
        <v>0</v>
      </c>
      <c r="H34" s="7">
        <f>'[3]Jet Blue'!$IC$53</f>
        <v>0</v>
      </c>
      <c r="I34" s="7">
        <f>[3]KLM!$IC$53</f>
        <v>0</v>
      </c>
      <c r="J34" s="7">
        <f>'Other Major Airline Stats'!K34</f>
        <v>30614</v>
      </c>
      <c r="K34" s="24">
        <f t="shared" si="18"/>
        <v>1144016</v>
      </c>
    </row>
    <row r="35" spans="1:11" x14ac:dyDescent="0.2">
      <c r="A35" s="50" t="s">
        <v>41</v>
      </c>
      <c r="B35" s="226">
        <f t="shared" ref="B35:J35" si="19">SUM(B33:B34)</f>
        <v>17731</v>
      </c>
      <c r="C35" s="226">
        <f t="shared" si="19"/>
        <v>2452344</v>
      </c>
      <c r="D35" s="226">
        <f t="shared" si="19"/>
        <v>46335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66187</v>
      </c>
      <c r="J35" s="226">
        <f t="shared" si="19"/>
        <v>68069</v>
      </c>
      <c r="K35" s="18">
        <f t="shared" si="18"/>
        <v>2650666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[3]American!$IC$57</f>
        <v>0</v>
      </c>
      <c r="C38" s="13">
        <f>[3]Delta!$IC$57</f>
        <v>0</v>
      </c>
      <c r="D38" s="13">
        <f>[3]United!$IC$57</f>
        <v>0</v>
      </c>
      <c r="E38" s="13">
        <f>[3]Spirit!$IC$57</f>
        <v>0</v>
      </c>
      <c r="F38" s="13">
        <f>[3]Condor!$IC$57</f>
        <v>0</v>
      </c>
      <c r="G38" s="13">
        <f>'[3]Air France'!$IC$57</f>
        <v>0</v>
      </c>
      <c r="H38" s="13">
        <f>'[3]Jet Blue'!$IC$57</f>
        <v>0</v>
      </c>
      <c r="I38" s="13">
        <f>[3]KLM!$IC$57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[3]American!$IC$58</f>
        <v>0</v>
      </c>
      <c r="C39" s="7">
        <f>[3]Delta!$IC$58</f>
        <v>0</v>
      </c>
      <c r="D39" s="7">
        <f>[3]United!$IC$58</f>
        <v>0</v>
      </c>
      <c r="E39" s="7">
        <f>[3]Spirit!$IC$58</f>
        <v>0</v>
      </c>
      <c r="F39" s="7">
        <f>[3]Condor!$IC$58</f>
        <v>0</v>
      </c>
      <c r="G39" s="7">
        <f>'[3]Air France'!$IC$58</f>
        <v>0</v>
      </c>
      <c r="H39" s="7">
        <f>'[3]Jet Blue'!$IC$58</f>
        <v>0</v>
      </c>
      <c r="I39" s="7">
        <f>[3]KLM!$IC$58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45517</v>
      </c>
      <c r="C43" s="13">
        <f t="shared" si="25"/>
        <v>4023109</v>
      </c>
      <c r="D43" s="13">
        <f t="shared" si="25"/>
        <v>95078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549257</v>
      </c>
      <c r="J43" s="13">
        <f t="shared" si="25"/>
        <v>191463</v>
      </c>
      <c r="K43" s="18">
        <f>SUM(B43:J43)</f>
        <v>4904424</v>
      </c>
    </row>
    <row r="44" spans="1:11" x14ac:dyDescent="0.2">
      <c r="A44" s="46" t="s">
        <v>38</v>
      </c>
      <c r="B44" s="7">
        <f t="shared" si="25"/>
        <v>38703</v>
      </c>
      <c r="C44" s="7">
        <f t="shared" si="25"/>
        <v>2237137</v>
      </c>
      <c r="D44" s="7">
        <f t="shared" si="25"/>
        <v>43945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105666</v>
      </c>
      <c r="K44" s="18">
        <f>SUM(B44:J44)</f>
        <v>2425451</v>
      </c>
    </row>
    <row r="45" spans="1:11" ht="15.75" thickBot="1" x14ac:dyDescent="0.3">
      <c r="A45" s="47" t="s">
        <v>46</v>
      </c>
      <c r="B45" s="227">
        <f t="shared" ref="B45:J45" si="30">SUM(B43:B44)</f>
        <v>84220</v>
      </c>
      <c r="C45" s="227">
        <f t="shared" si="30"/>
        <v>6260246</v>
      </c>
      <c r="D45" s="227">
        <f t="shared" si="30"/>
        <v>139023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549257</v>
      </c>
      <c r="J45" s="227">
        <f t="shared" si="30"/>
        <v>297129</v>
      </c>
      <c r="K45" s="228">
        <f>SUM(B45:J45)</f>
        <v>7329875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98" t="s">
        <v>121</v>
      </c>
      <c r="C47" s="253">
        <f>[3]Delta!$IC$70+[3]Delta!$IC$73</f>
        <v>437226</v>
      </c>
      <c r="D47" s="241"/>
      <c r="E47" s="241"/>
      <c r="F47" s="241"/>
      <c r="G47" s="241"/>
      <c r="H47" s="241"/>
      <c r="I47" s="241"/>
      <c r="J47" s="241"/>
      <c r="K47" s="242">
        <f>SUM(B47:J47)</f>
        <v>437226</v>
      </c>
    </row>
    <row r="48" spans="1:11" hidden="1" x14ac:dyDescent="0.2">
      <c r="A48" s="299" t="s">
        <v>122</v>
      </c>
      <c r="C48" s="253">
        <f>[3]Delta!$IC$71+[3]Delta!$IC$74</f>
        <v>265608</v>
      </c>
      <c r="D48" s="241"/>
      <c r="E48" s="241"/>
      <c r="F48" s="241"/>
      <c r="G48" s="241"/>
      <c r="H48" s="241"/>
      <c r="I48" s="241"/>
      <c r="J48" s="241"/>
      <c r="K48" s="242">
        <f>SUM(B48:J48)</f>
        <v>265608</v>
      </c>
    </row>
    <row r="49" spans="1:11" hidden="1" x14ac:dyDescent="0.2">
      <c r="A49" s="300" t="s">
        <v>123</v>
      </c>
      <c r="C49" s="254">
        <f>SUM(C47:C48)</f>
        <v>702834</v>
      </c>
      <c r="K49" s="242">
        <f>SUM(B49:J49)</f>
        <v>702834</v>
      </c>
    </row>
    <row r="50" spans="1:11" x14ac:dyDescent="0.2">
      <c r="A50" s="298" t="s">
        <v>121</v>
      </c>
      <c r="B50" s="309"/>
      <c r="C50" s="256">
        <f>[3]Delta!$IC$70+[3]Delta!$IC$73</f>
        <v>437226</v>
      </c>
      <c r="D50" s="309"/>
      <c r="E50" s="256">
        <f>[3]Spirit!$IC$70+[3]Spirit!$IC$73</f>
        <v>0</v>
      </c>
      <c r="F50" s="309"/>
      <c r="G50" s="309"/>
      <c r="H50" s="309"/>
      <c r="I50" s="309"/>
      <c r="J50" s="255">
        <f>'Other Major Airline Stats'!K48</f>
        <v>212336</v>
      </c>
      <c r="K50" s="245">
        <f>SUM(B50:J50)</f>
        <v>649562</v>
      </c>
    </row>
    <row r="51" spans="1:11" x14ac:dyDescent="0.2">
      <c r="A51" s="311" t="s">
        <v>122</v>
      </c>
      <c r="B51" s="309"/>
      <c r="C51" s="256">
        <f>[3]Delta!$IC$71+[3]Delta!$IC$74</f>
        <v>265608</v>
      </c>
      <c r="D51" s="309"/>
      <c r="E51" s="256">
        <f>[3]Spirit!$IC$71+[3]Spirit!$IC$74</f>
        <v>0</v>
      </c>
      <c r="F51" s="309"/>
      <c r="G51" s="309"/>
      <c r="H51" s="309"/>
      <c r="I51" s="309"/>
      <c r="J51" s="255">
        <f>+'Other Major Airline Stats'!K49</f>
        <v>173</v>
      </c>
      <c r="K51" s="245">
        <f>SUM(B51:J51)</f>
        <v>265781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sqref="A1:XFD104857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39">
        <v>44896</v>
      </c>
      <c r="B2" s="349" t="s">
        <v>47</v>
      </c>
      <c r="C2" s="348" t="s">
        <v>237</v>
      </c>
      <c r="D2" s="348" t="s">
        <v>203</v>
      </c>
      <c r="E2" s="348" t="s">
        <v>229</v>
      </c>
      <c r="F2" s="348" t="s">
        <v>179</v>
      </c>
      <c r="G2" s="349" t="s">
        <v>48</v>
      </c>
      <c r="H2" s="348" t="s">
        <v>129</v>
      </c>
      <c r="I2" s="348" t="s">
        <v>49</v>
      </c>
      <c r="J2" s="348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[3]Frontier!$IC$22+[3]Frontier!$IC$32</f>
        <v>4799</v>
      </c>
      <c r="C5" s="96">
        <f>'[3]Allegiant '!$IC$22</f>
        <v>6793</v>
      </c>
      <c r="D5" s="96">
        <f>'[3]Aer Lingus'!$IC$22+'[3]Aer Lingus'!$IC$32</f>
        <v>0</v>
      </c>
      <c r="E5" s="96">
        <f>'[3]Denver Air'!$IC$22+'[3]Denver Air'!$IC$32</f>
        <v>982</v>
      </c>
      <c r="F5" s="96">
        <f>'[3]Boutique Air'!$IC$22</f>
        <v>0</v>
      </c>
      <c r="G5" s="96">
        <f>[3]Icelandair!$IC$32</f>
        <v>1017</v>
      </c>
      <c r="H5" s="96">
        <f>[3]Southwest!$IC$22</f>
        <v>45545</v>
      </c>
      <c r="I5" s="96">
        <f>'[3]Sun Country'!$IC$22+'[3]Sun Country'!$IC$32</f>
        <v>154344</v>
      </c>
      <c r="J5" s="96">
        <f>[3]Alaska!$IC$22</f>
        <v>5699</v>
      </c>
      <c r="K5" s="119">
        <f>SUM(B5:J5)</f>
        <v>219179</v>
      </c>
      <c r="N5" s="96"/>
    </row>
    <row r="6" spans="1:14" x14ac:dyDescent="0.2">
      <c r="A6" s="46" t="s">
        <v>31</v>
      </c>
      <c r="B6" s="96">
        <f>[3]Frontier!$IC$23+[3]Frontier!$IC$33</f>
        <v>4703</v>
      </c>
      <c r="C6" s="96">
        <f>'[3]Allegiant '!$IC$23</f>
        <v>7228</v>
      </c>
      <c r="D6" s="96">
        <f>'[3]Aer Lingus'!$IC$23+'[3]Aer Lingus'!$IC$33</f>
        <v>0</v>
      </c>
      <c r="E6" s="96">
        <f>'[3]Denver Air'!$IC$23+'[3]Denver Air'!$IC$33</f>
        <v>953</v>
      </c>
      <c r="F6" s="96">
        <f>'[3]Boutique Air'!$IC$23</f>
        <v>0</v>
      </c>
      <c r="G6" s="96">
        <f>[3]Icelandair!$IC$33</f>
        <v>932</v>
      </c>
      <c r="H6" s="96">
        <f>[3]Southwest!$IC$23</f>
        <v>44539</v>
      </c>
      <c r="I6" s="96">
        <f>'[3]Sun Country'!$IC$23+'[3]Sun Country'!$IC$33</f>
        <v>167970</v>
      </c>
      <c r="J6" s="96">
        <f>[3]Alaska!$IC$23</f>
        <v>5692</v>
      </c>
      <c r="K6" s="119">
        <f>SUM(B6:J6)</f>
        <v>232017</v>
      </c>
    </row>
    <row r="7" spans="1:14" ht="15" x14ac:dyDescent="0.25">
      <c r="A7" s="44" t="s">
        <v>7</v>
      </c>
      <c r="B7" s="127">
        <f>SUM(B5:B6)</f>
        <v>9502</v>
      </c>
      <c r="C7" s="127">
        <f t="shared" ref="C7:F7" si="0">SUM(C5:C6)</f>
        <v>14021</v>
      </c>
      <c r="D7" s="127">
        <f>SUM(D5:D6)</f>
        <v>0</v>
      </c>
      <c r="E7" s="127">
        <f>SUM(E5:E6)</f>
        <v>1935</v>
      </c>
      <c r="F7" s="127">
        <f t="shared" si="0"/>
        <v>0</v>
      </c>
      <c r="G7" s="127">
        <f t="shared" ref="G7:J7" si="1">SUM(G5:G6)</f>
        <v>1949</v>
      </c>
      <c r="H7" s="127">
        <f t="shared" si="1"/>
        <v>90084</v>
      </c>
      <c r="I7" s="127">
        <f>SUM(I5:I6)</f>
        <v>322314</v>
      </c>
      <c r="J7" s="127">
        <f t="shared" si="1"/>
        <v>11391</v>
      </c>
      <c r="K7" s="128">
        <f>SUM(B7:J7)</f>
        <v>451196</v>
      </c>
    </row>
    <row r="8" spans="1:14" x14ac:dyDescent="0.2">
      <c r="A8" s="46"/>
      <c r="B8" s="126"/>
      <c r="C8" s="126"/>
      <c r="D8" s="392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2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[3]Frontier!$IC$27+[3]Frontier!$IC$37</f>
        <v>38</v>
      </c>
      <c r="C10" s="126">
        <f>'[3]Allegiant '!$IC$27</f>
        <v>0</v>
      </c>
      <c r="D10" s="392">
        <f>'[3]Aer Lingus'!$IC$27+'[3]Aer Lingus'!$IC$37</f>
        <v>0</v>
      </c>
      <c r="E10" s="126">
        <f>'[3]Denver Air'!$IC$27+'[3]Denver Air'!$IC$37</f>
        <v>21</v>
      </c>
      <c r="F10" s="126">
        <f>'[3]Boutique Air'!$IC$27</f>
        <v>0</v>
      </c>
      <c r="G10" s="126">
        <f>[3]Icelandair!$IC$37</f>
        <v>13</v>
      </c>
      <c r="H10" s="126">
        <f>[3]Southwest!$IC$27</f>
        <v>922</v>
      </c>
      <c r="I10" s="126">
        <f>'[3]Sun Country'!$IC$27+'[3]Sun Country'!$IC$37</f>
        <v>2253</v>
      </c>
      <c r="J10" s="126">
        <f>[3]Alaska!$IC$27</f>
        <v>282</v>
      </c>
      <c r="K10" s="119">
        <f>SUM(B10:J10)</f>
        <v>3529</v>
      </c>
    </row>
    <row r="11" spans="1:14" x14ac:dyDescent="0.2">
      <c r="A11" s="46" t="s">
        <v>33</v>
      </c>
      <c r="B11" s="129">
        <f>[3]Frontier!$IC$28+[3]Frontier!$IC$38</f>
        <v>38</v>
      </c>
      <c r="C11" s="129">
        <f>'[3]Allegiant '!$IC$28</f>
        <v>0</v>
      </c>
      <c r="D11" s="129">
        <f>'[3]Aer Lingus'!$IC$28+'[3]Aer Lingus'!$IC$38</f>
        <v>0</v>
      </c>
      <c r="E11" s="129">
        <f>'[3]Denver Air'!$IC$28+'[3]Denver Air'!$IC$38</f>
        <v>19</v>
      </c>
      <c r="F11" s="129">
        <f>'[3]Boutique Air'!$IC$28</f>
        <v>0</v>
      </c>
      <c r="G11" s="129">
        <f>[3]Icelandair!$IC$38</f>
        <v>21</v>
      </c>
      <c r="H11" s="129">
        <f>[3]Southwest!$IC$28</f>
        <v>990</v>
      </c>
      <c r="I11" s="129">
        <f>'[3]Sun Country'!$IC$28+'[3]Sun Country'!$IC$38</f>
        <v>2413</v>
      </c>
      <c r="J11" s="129">
        <f>[3]Alaska!$IC$28</f>
        <v>251</v>
      </c>
      <c r="K11" s="119">
        <f>SUM(B11:J11)</f>
        <v>3732</v>
      </c>
    </row>
    <row r="12" spans="1:14" ht="15.75" thickBot="1" x14ac:dyDescent="0.3">
      <c r="A12" s="47" t="s">
        <v>34</v>
      </c>
      <c r="B12" s="122">
        <f>SUM(B10:B11)</f>
        <v>76</v>
      </c>
      <c r="C12" s="122">
        <f t="shared" ref="C12:F12" si="2">SUM(C10:C11)</f>
        <v>0</v>
      </c>
      <c r="D12" s="122">
        <f>SUM(D10:D11)</f>
        <v>0</v>
      </c>
      <c r="E12" s="122">
        <f>SUM(E10:E11)</f>
        <v>40</v>
      </c>
      <c r="F12" s="122">
        <f t="shared" si="2"/>
        <v>0</v>
      </c>
      <c r="G12" s="122">
        <f t="shared" ref="G12:J12" si="3">SUM(G10:G11)</f>
        <v>34</v>
      </c>
      <c r="H12" s="122">
        <f t="shared" si="3"/>
        <v>1912</v>
      </c>
      <c r="I12" s="122">
        <f>SUM(I10:I11)</f>
        <v>4666</v>
      </c>
      <c r="J12" s="122">
        <f t="shared" si="3"/>
        <v>533</v>
      </c>
      <c r="K12" s="130">
        <f>SUM(B12:J12)</f>
        <v>7261</v>
      </c>
      <c r="N12" s="96"/>
    </row>
    <row r="13" spans="1:14" ht="15" x14ac:dyDescent="0.25">
      <c r="A13" s="43"/>
      <c r="B13" s="229"/>
      <c r="C13" s="229"/>
      <c r="D13" s="393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[3]Frontier!$IC$4+[3]Frontier!$IC$15</f>
        <v>30</v>
      </c>
      <c r="C16" s="86">
        <f>'[3]Allegiant '!$IC$4</f>
        <v>50</v>
      </c>
      <c r="D16" s="96">
        <f>'[3]Aer Lingus'!$IC$4+'[3]Aer Lingus'!$IC$15</f>
        <v>0</v>
      </c>
      <c r="E16" s="96">
        <f>'[3]Denver Air'!$IC$4+'[3]Denver Air'!$IC$15</f>
        <v>80</v>
      </c>
      <c r="F16" s="86">
        <f>'[3]Boutique Air'!$IC$4</f>
        <v>0</v>
      </c>
      <c r="G16" s="96">
        <f>[3]Icelandair!$IC$15</f>
        <v>10</v>
      </c>
      <c r="H16" s="86">
        <f>[3]Southwest!$IC$4</f>
        <v>401</v>
      </c>
      <c r="I16" s="96">
        <f>'[3]Sun Country'!$IC$4+'[3]Sun Country'!$IC$15</f>
        <v>1045</v>
      </c>
      <c r="J16" s="96">
        <f>[3]Alaska!$IC$4</f>
        <v>45</v>
      </c>
      <c r="K16" s="119">
        <f>SUM(B16:J16)</f>
        <v>1661</v>
      </c>
    </row>
    <row r="17" spans="1:258" x14ac:dyDescent="0.2">
      <c r="A17" s="46" t="s">
        <v>23</v>
      </c>
      <c r="B17" s="96">
        <f>[3]Frontier!$IC$5+[3]Frontier!$IC$16</f>
        <v>30</v>
      </c>
      <c r="C17" s="86">
        <f>'[3]Allegiant '!$IC$5</f>
        <v>50</v>
      </c>
      <c r="D17" s="96">
        <f>'[3]Aer Lingus'!$IC$5+'[3]Aer Lingus'!$IC$16</f>
        <v>0</v>
      </c>
      <c r="E17" s="96">
        <f>'[3]Denver Air'!$IC$5+'[3]Denver Air'!$IC$16</f>
        <v>80</v>
      </c>
      <c r="F17" s="86">
        <f>'[3]Boutique Air'!$IC$5</f>
        <v>0</v>
      </c>
      <c r="G17" s="96">
        <f>[3]Icelandair!$IC$16</f>
        <v>10</v>
      </c>
      <c r="H17" s="86">
        <f>[3]Southwest!$IC$5</f>
        <v>396</v>
      </c>
      <c r="I17" s="96">
        <f>'[3]Sun Country'!$IC$5+'[3]Sun Country'!$IC$16</f>
        <v>1040</v>
      </c>
      <c r="J17" s="96">
        <f>[3]Alaska!$IC$5</f>
        <v>45</v>
      </c>
      <c r="K17" s="119">
        <f>SUM(B17:J17)</f>
        <v>1651</v>
      </c>
    </row>
    <row r="18" spans="1:258" x14ac:dyDescent="0.2">
      <c r="A18" s="50" t="s">
        <v>24</v>
      </c>
      <c r="B18" s="120">
        <f t="shared" ref="B18" si="4">SUM(B16:B17)</f>
        <v>60</v>
      </c>
      <c r="C18" s="120">
        <f t="shared" ref="C18:F18" si="5">SUM(C16:C17)</f>
        <v>100</v>
      </c>
      <c r="D18" s="120">
        <f t="shared" si="5"/>
        <v>0</v>
      </c>
      <c r="E18" s="120">
        <f t="shared" si="5"/>
        <v>160</v>
      </c>
      <c r="F18" s="120">
        <f t="shared" si="5"/>
        <v>0</v>
      </c>
      <c r="G18" s="120">
        <f t="shared" ref="G18:J18" si="6">SUM(G16:G17)</f>
        <v>20</v>
      </c>
      <c r="H18" s="120">
        <f t="shared" si="6"/>
        <v>797</v>
      </c>
      <c r="I18" s="120">
        <f t="shared" si="6"/>
        <v>2085</v>
      </c>
      <c r="J18" s="120">
        <f t="shared" si="6"/>
        <v>90</v>
      </c>
      <c r="K18" s="121">
        <f>SUM(B18:J18)</f>
        <v>3312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[3]Frontier!$IC$8</f>
        <v>0</v>
      </c>
      <c r="C20" s="96">
        <f>'[3]Allegiant '!$IC$8</f>
        <v>0</v>
      </c>
      <c r="D20" s="96">
        <f>'[3]Aer Lingus'!$IC$8</f>
        <v>0</v>
      </c>
      <c r="E20" s="96">
        <f>'[3]Denver Air'!$IC$8</f>
        <v>1</v>
      </c>
      <c r="F20" s="96">
        <f>'[3]Boutique Air'!$IC$8</f>
        <v>0</v>
      </c>
      <c r="G20" s="96">
        <f>[3]Icelandair!$IC$8</f>
        <v>0</v>
      </c>
      <c r="H20" s="96">
        <f>[3]Southwest!$IC$8</f>
        <v>0</v>
      </c>
      <c r="I20" s="96">
        <f>'[3]Sun Country'!$IC$8</f>
        <v>66</v>
      </c>
      <c r="J20" s="96">
        <f>[3]Alaska!$IC$8</f>
        <v>0</v>
      </c>
      <c r="K20" s="119">
        <f>SUM(B20:J20)</f>
        <v>67</v>
      </c>
    </row>
    <row r="21" spans="1:258" x14ac:dyDescent="0.2">
      <c r="A21" s="46" t="s">
        <v>26</v>
      </c>
      <c r="B21" s="96">
        <f>[3]Frontier!$IC$9</f>
        <v>0</v>
      </c>
      <c r="C21" s="96">
        <f>'[3]Allegiant '!$IC$9</f>
        <v>0</v>
      </c>
      <c r="D21" s="96">
        <f>'[3]Aer Lingus'!$IC$9</f>
        <v>0</v>
      </c>
      <c r="E21" s="96">
        <f>'[3]Denver Air'!$IC$9</f>
        <v>1</v>
      </c>
      <c r="F21" s="96">
        <f>'[3]Boutique Air'!$IC$9</f>
        <v>0</v>
      </c>
      <c r="G21" s="96">
        <f>[3]Icelandair!$IC$9</f>
        <v>0</v>
      </c>
      <c r="H21" s="96">
        <f>[3]Southwest!$IC$9</f>
        <v>0</v>
      </c>
      <c r="I21" s="96">
        <f>'[3]Sun Country'!$IC$9</f>
        <v>68</v>
      </c>
      <c r="J21" s="96">
        <f>[3]Alaska!$IC$9</f>
        <v>0</v>
      </c>
      <c r="K21" s="119">
        <f>SUM(B21:J21)</f>
        <v>69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2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134</v>
      </c>
      <c r="J22" s="120">
        <f t="shared" si="9"/>
        <v>0</v>
      </c>
      <c r="K22" s="121">
        <f>SUM(B22:J22)</f>
        <v>136</v>
      </c>
    </row>
    <row r="23" spans="1:258" ht="15.75" thickBot="1" x14ac:dyDescent="0.3">
      <c r="A23" s="47" t="s">
        <v>28</v>
      </c>
      <c r="B23" s="122">
        <f t="shared" ref="B23" si="10">B22+B18</f>
        <v>60</v>
      </c>
      <c r="C23" s="122">
        <f t="shared" ref="C23:F23" si="11">C22+C18</f>
        <v>100</v>
      </c>
      <c r="D23" s="122">
        <f t="shared" si="11"/>
        <v>0</v>
      </c>
      <c r="E23" s="122">
        <f t="shared" si="11"/>
        <v>162</v>
      </c>
      <c r="F23" s="122">
        <f t="shared" si="11"/>
        <v>0</v>
      </c>
      <c r="G23" s="122">
        <f t="shared" ref="G23:J23" si="12">G22+G18</f>
        <v>20</v>
      </c>
      <c r="H23" s="122">
        <f t="shared" si="12"/>
        <v>797</v>
      </c>
      <c r="I23" s="122">
        <f t="shared" si="12"/>
        <v>2219</v>
      </c>
      <c r="J23" s="122">
        <f t="shared" si="12"/>
        <v>90</v>
      </c>
      <c r="K23" s="123">
        <f>SUM(B23:J23)</f>
        <v>3448</v>
      </c>
    </row>
    <row r="24" spans="1:258" x14ac:dyDescent="0.2">
      <c r="A24" s="13"/>
      <c r="B24" s="13"/>
      <c r="C24" s="13"/>
      <c r="D24" s="39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3"/>
      <c r="C25" s="333"/>
      <c r="D25" s="333"/>
      <c r="E25" s="333"/>
      <c r="F25" s="333"/>
      <c r="G25" s="333"/>
      <c r="H25" s="333"/>
      <c r="I25" s="333"/>
      <c r="J25" s="333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[3]Frontier!$IC$47</f>
        <v>0</v>
      </c>
      <c r="C28" s="96">
        <f>'[3]Allegiant '!$IC$47</f>
        <v>0</v>
      </c>
      <c r="D28" s="96">
        <f>'[3]Aer Lingus'!$IC$47</f>
        <v>0</v>
      </c>
      <c r="E28" s="96">
        <f>'[3]Denver Air'!$IC$47</f>
        <v>0</v>
      </c>
      <c r="F28" s="96">
        <f>'[3]Boutique Air'!$IC$47</f>
        <v>0</v>
      </c>
      <c r="G28" s="96">
        <f>[3]Icelandair!$IC$47</f>
        <v>1216</v>
      </c>
      <c r="H28" s="96">
        <f>[3]Southwest!$IC$47</f>
        <v>131391</v>
      </c>
      <c r="I28" s="96">
        <f>'[3]Sun Country'!$IC$47</f>
        <v>14300</v>
      </c>
      <c r="J28" s="96">
        <f>[3]Alaska!$IC$47</f>
        <v>7101</v>
      </c>
      <c r="K28" s="119">
        <f>SUM(B28:J28)</f>
        <v>154008</v>
      </c>
    </row>
    <row r="29" spans="1:258" x14ac:dyDescent="0.2">
      <c r="A29" s="46" t="s">
        <v>38</v>
      </c>
      <c r="B29" s="96">
        <f>[3]Frontier!$IC$48</f>
        <v>0</v>
      </c>
      <c r="C29" s="96">
        <f>'[3]Allegiant '!$IC$48</f>
        <v>0</v>
      </c>
      <c r="D29" s="96">
        <f>'[3]Aer Lingus'!$IC$48</f>
        <v>0</v>
      </c>
      <c r="E29" s="96">
        <f>'[3]Denver Air'!$IC$48</f>
        <v>0</v>
      </c>
      <c r="F29" s="96">
        <f>'[3]Boutique Air'!$IC$48</f>
        <v>0</v>
      </c>
      <c r="G29" s="96">
        <f>[3]Icelandair!$IC$48</f>
        <v>0</v>
      </c>
      <c r="H29" s="96">
        <f>[3]Southwest!$IC$48</f>
        <v>0</v>
      </c>
      <c r="I29" s="96">
        <f>'[3]Sun Country'!$IC$48</f>
        <v>75052</v>
      </c>
      <c r="J29" s="96">
        <f>[3]Alaska!$IC$48</f>
        <v>0</v>
      </c>
      <c r="K29" s="119">
        <f>SUM(B29:J29)</f>
        <v>75052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1216</v>
      </c>
      <c r="H30" s="134">
        <f t="shared" si="15"/>
        <v>131391</v>
      </c>
      <c r="I30" s="134">
        <f t="shared" si="15"/>
        <v>89352</v>
      </c>
      <c r="J30" s="134">
        <f t="shared" si="15"/>
        <v>7101</v>
      </c>
      <c r="K30" s="136">
        <f>SUM(B30:J30)</f>
        <v>229060</v>
      </c>
    </row>
    <row r="31" spans="1:258" x14ac:dyDescent="0.2">
      <c r="A31" s="46"/>
      <c r="B31" s="126"/>
      <c r="C31" s="126"/>
      <c r="D31" s="392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[3]Frontier!$IC$52</f>
        <v>0</v>
      </c>
      <c r="C33" s="96">
        <f>'[3]Allegiant '!$IC$52</f>
        <v>0</v>
      </c>
      <c r="D33" s="96">
        <f>'[3]Aer Lingus'!$IC$52</f>
        <v>0</v>
      </c>
      <c r="E33" s="96">
        <f>'[3]Denver Air'!$IC$52</f>
        <v>0</v>
      </c>
      <c r="F33" s="96">
        <f>'[3]Boutique Air'!$IC$52</f>
        <v>0</v>
      </c>
      <c r="G33" s="96">
        <f>[3]Icelandair!$IC$52</f>
        <v>24</v>
      </c>
      <c r="H33" s="96">
        <f>[3]Southwest!$IC$52</f>
        <v>24458</v>
      </c>
      <c r="I33" s="96">
        <f>'[3]Sun Country'!$IC$52</f>
        <v>1201</v>
      </c>
      <c r="J33" s="96">
        <f>[3]Alaska!$IC$52</f>
        <v>11772</v>
      </c>
      <c r="K33" s="119">
        <f>SUM(B33:J33)</f>
        <v>37455</v>
      </c>
    </row>
    <row r="34" spans="1:11" x14ac:dyDescent="0.2">
      <c r="A34" s="46" t="s">
        <v>38</v>
      </c>
      <c r="B34" s="96">
        <f>[3]Frontier!$IC$53</f>
        <v>0</v>
      </c>
      <c r="C34" s="96">
        <f>'[3]Allegiant '!$IC$53</f>
        <v>0</v>
      </c>
      <c r="D34" s="96">
        <f>'[3]Aer Lingus'!$IC$53</f>
        <v>0</v>
      </c>
      <c r="E34" s="96">
        <f>'[3]Denver Air'!$IC$53</f>
        <v>0</v>
      </c>
      <c r="F34" s="96">
        <f>'[3]Boutique Air'!$IC$53</f>
        <v>0</v>
      </c>
      <c r="G34" s="96">
        <f>[3]Icelandair!$IC$53</f>
        <v>0</v>
      </c>
      <c r="H34" s="96">
        <f>[3]Southwest!$IC$53</f>
        <v>0</v>
      </c>
      <c r="I34" s="96">
        <f>'[3]Sun Country'!$IC$53</f>
        <v>30614</v>
      </c>
      <c r="J34" s="96">
        <f>[3]Alaska!$IC$53</f>
        <v>0</v>
      </c>
      <c r="K34" s="135">
        <f>SUM(B34:J34)</f>
        <v>30614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24</v>
      </c>
      <c r="H35" s="120">
        <f t="shared" si="18"/>
        <v>24458</v>
      </c>
      <c r="I35" s="120">
        <f t="shared" si="18"/>
        <v>31815</v>
      </c>
      <c r="J35" s="120">
        <f t="shared" si="18"/>
        <v>11772</v>
      </c>
      <c r="K35" s="136">
        <f>SUM(B35:J35)</f>
        <v>68069</v>
      </c>
    </row>
    <row r="36" spans="1:11" hidden="1" x14ac:dyDescent="0.2">
      <c r="A36" s="46"/>
      <c r="B36" s="126"/>
      <c r="C36" s="126"/>
      <c r="D36" s="392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2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[3]Frontier!$IC$57</f>
        <v>0</v>
      </c>
      <c r="C38" s="126">
        <f>'[3]Allegiant '!$IC$57</f>
        <v>0</v>
      </c>
      <c r="D38" s="392">
        <f>'[3]Aer Lingus'!$IC$57</f>
        <v>0</v>
      </c>
      <c r="E38" s="126">
        <f>'[3]Denver Air'!$IC$57</f>
        <v>0</v>
      </c>
      <c r="F38" s="126">
        <f>'[3]Boutique Air'!$IC$57</f>
        <v>0</v>
      </c>
      <c r="G38" s="126">
        <f>[3]Icelandair!$IC$57</f>
        <v>0</v>
      </c>
      <c r="H38" s="126">
        <f>[3]Southwest!$IC$57</f>
        <v>0</v>
      </c>
      <c r="I38" s="126">
        <f>'[3]Sun Country'!$IC$57</f>
        <v>0</v>
      </c>
      <c r="J38" s="126">
        <f>[3]Alaska!$IC$57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[3]Frontier!$IC$58</f>
        <v>0</v>
      </c>
      <c r="C39" s="129">
        <f>'[3]Allegiant '!$IC$58</f>
        <v>0</v>
      </c>
      <c r="D39" s="129">
        <f>'[3]Aer Lingus'!$IC$58</f>
        <v>0</v>
      </c>
      <c r="E39" s="129">
        <f>'[3]Denver Air'!$IC$58</f>
        <v>0</v>
      </c>
      <c r="F39" s="129">
        <f>'[3]Boutique Air'!$IC$58</f>
        <v>0</v>
      </c>
      <c r="G39" s="129">
        <f>[3]Icelandair!$IC$58</f>
        <v>0</v>
      </c>
      <c r="H39" s="129">
        <f>[3]Southwest!$IC$58</f>
        <v>0</v>
      </c>
      <c r="I39" s="129">
        <f>'[3]Sun Country'!$IC$58</f>
        <v>0</v>
      </c>
      <c r="J39" s="129">
        <f>[3]Alaska!$IC$58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5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2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2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2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1240</v>
      </c>
      <c r="H43" s="126">
        <f t="shared" si="24"/>
        <v>155849</v>
      </c>
      <c r="I43" s="126">
        <f t="shared" si="24"/>
        <v>15501</v>
      </c>
      <c r="J43" s="126">
        <f t="shared" si="24"/>
        <v>18873</v>
      </c>
      <c r="K43" s="119">
        <f>SUM(B43:J43)</f>
        <v>191463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105666</v>
      </c>
      <c r="J44" s="129">
        <f t="shared" si="27"/>
        <v>0</v>
      </c>
      <c r="K44" s="119">
        <f>SUM(B44:J44)</f>
        <v>105666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1240</v>
      </c>
      <c r="H45" s="138">
        <f t="shared" si="30"/>
        <v>155849</v>
      </c>
      <c r="I45" s="138">
        <f t="shared" si="30"/>
        <v>121167</v>
      </c>
      <c r="J45" s="138">
        <f t="shared" si="30"/>
        <v>18873</v>
      </c>
      <c r="K45" s="139">
        <f>SUM(B45:J45)</f>
        <v>297129</v>
      </c>
    </row>
    <row r="48" spans="1:11" x14ac:dyDescent="0.2">
      <c r="A48" s="298" t="s">
        <v>121</v>
      </c>
      <c r="B48" s="309"/>
      <c r="C48" s="309"/>
      <c r="D48" s="309"/>
      <c r="E48" s="309"/>
      <c r="F48" s="309"/>
      <c r="H48" s="256">
        <f>[3]Southwest!$IC$70+[3]Southwest!$IC$73</f>
        <v>44366</v>
      </c>
      <c r="I48" s="256">
        <f>'[3]Sun Country'!$IC$70+'[3]Sun Country'!$IC$73</f>
        <v>167970</v>
      </c>
      <c r="J48" s="309"/>
      <c r="K48" s="245">
        <f>SUM(B48:J48)</f>
        <v>212336</v>
      </c>
    </row>
    <row r="49" spans="1:11" x14ac:dyDescent="0.2">
      <c r="A49" s="311" t="s">
        <v>122</v>
      </c>
      <c r="B49" s="309"/>
      <c r="C49" s="309"/>
      <c r="D49" s="309"/>
      <c r="E49" s="309"/>
      <c r="F49" s="309"/>
      <c r="H49" s="256">
        <f>[3]Southwest!$IC$71+[3]Southwest!$IC$74</f>
        <v>173</v>
      </c>
      <c r="I49" s="256">
        <f>'[3]Sun Country'!$IC$71+'[3]Sun Country'!$IC$74</f>
        <v>0</v>
      </c>
      <c r="J49" s="309"/>
      <c r="K49" s="245">
        <f>SUM(B49:J49)</f>
        <v>173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December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sqref="A1:XFD104857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07"/>
    </row>
    <row r="2" spans="1:16" ht="51.75" thickBot="1" x14ac:dyDescent="0.25">
      <c r="A2" s="439">
        <v>44896</v>
      </c>
      <c r="B2" s="347" t="s">
        <v>157</v>
      </c>
      <c r="C2" s="347" t="s">
        <v>160</v>
      </c>
      <c r="D2" s="347" t="s">
        <v>168</v>
      </c>
      <c r="E2" s="347" t="s">
        <v>167</v>
      </c>
      <c r="F2" s="347" t="s">
        <v>169</v>
      </c>
      <c r="G2" s="347" t="s">
        <v>198</v>
      </c>
      <c r="H2" s="347" t="s">
        <v>173</v>
      </c>
      <c r="I2" s="347" t="s">
        <v>180</v>
      </c>
      <c r="J2" s="347" t="s">
        <v>196</v>
      </c>
      <c r="K2" s="347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[3]Pinnacle!$IC$22+[3]Pinnacle!$IC$32</f>
        <v>39539</v>
      </c>
      <c r="C5" s="88">
        <f>[3]MESA_UA!$IC$22</f>
        <v>2296</v>
      </c>
      <c r="D5" s="96">
        <f>'[3]Sky West'!$IC$22+'[3]Sky West'!$IC$32</f>
        <v>113803</v>
      </c>
      <c r="E5" s="96">
        <f>'[3]Sky West_UA'!$IC$22</f>
        <v>0</v>
      </c>
      <c r="F5" s="96">
        <f>'[3]Sky West_AS'!$IC$22</f>
        <v>0</v>
      </c>
      <c r="G5" s="96">
        <f>'[3]Sky West_AA'!$IC$22</f>
        <v>0</v>
      </c>
      <c r="H5" s="96">
        <f>[3]Republic!$IC$22</f>
        <v>4561</v>
      </c>
      <c r="I5" s="96">
        <f>[3]Republic_UA!$IC$22</f>
        <v>693</v>
      </c>
      <c r="J5" s="96">
        <f>'[3]Sky Regional'!$IC$32</f>
        <v>0</v>
      </c>
      <c r="K5" s="96">
        <f>'[3]American Eagle'!$IC$22</f>
        <v>4187</v>
      </c>
      <c r="L5" s="96">
        <f>'Other Regional'!L5</f>
        <v>7684</v>
      </c>
      <c r="M5" s="89">
        <f>SUM(B5:L5)</f>
        <v>172763</v>
      </c>
    </row>
    <row r="6" spans="1:16" s="6" customFormat="1" x14ac:dyDescent="0.2">
      <c r="A6" s="46" t="s">
        <v>31</v>
      </c>
      <c r="B6" s="88">
        <f>[3]Pinnacle!$IC$23+[3]Pinnacle!$IC$33</f>
        <v>39250</v>
      </c>
      <c r="C6" s="88">
        <f>[3]MESA_UA!$IC$23</f>
        <v>2496</v>
      </c>
      <c r="D6" s="96">
        <f>'[3]Sky West'!$IC$23+'[3]Sky West'!$IC$33</f>
        <v>110245</v>
      </c>
      <c r="E6" s="96">
        <f>'[3]Sky West_UA'!$IC$23</f>
        <v>0</v>
      </c>
      <c r="F6" s="96">
        <f>'[3]Sky West_AS'!$IC$23</f>
        <v>0</v>
      </c>
      <c r="G6" s="96">
        <f>'[3]Sky West_AA'!$IC$23</f>
        <v>0</v>
      </c>
      <c r="H6" s="96">
        <f>[3]Republic!$IC$23</f>
        <v>4711</v>
      </c>
      <c r="I6" s="96">
        <f>[3]Republic_UA!$IC$23</f>
        <v>768</v>
      </c>
      <c r="J6" s="96">
        <f>'[3]Sky Regional'!$IC$33</f>
        <v>0</v>
      </c>
      <c r="K6" s="96">
        <f>'[3]American Eagle'!$IC$23</f>
        <v>4374</v>
      </c>
      <c r="L6" s="96">
        <f>'Other Regional'!L6</f>
        <v>7300</v>
      </c>
      <c r="M6" s="93">
        <f>SUM(B6:L6)</f>
        <v>169144</v>
      </c>
    </row>
    <row r="7" spans="1:16" ht="15" thickBot="1" x14ac:dyDescent="0.25">
      <c r="A7" s="55" t="s">
        <v>7</v>
      </c>
      <c r="B7" s="106">
        <f>SUM(B5:B6)</f>
        <v>78789</v>
      </c>
      <c r="C7" s="106">
        <f t="shared" ref="C7:L7" si="0">SUM(C5:C6)</f>
        <v>4792</v>
      </c>
      <c r="D7" s="106">
        <f t="shared" si="0"/>
        <v>224048</v>
      </c>
      <c r="E7" s="106">
        <f t="shared" si="0"/>
        <v>0</v>
      </c>
      <c r="F7" s="106">
        <f t="shared" ref="F7:G7" si="1">SUM(F5:F6)</f>
        <v>0</v>
      </c>
      <c r="G7" s="106">
        <f t="shared" si="1"/>
        <v>0</v>
      </c>
      <c r="H7" s="106">
        <f t="shared" si="0"/>
        <v>9272</v>
      </c>
      <c r="I7" s="106">
        <f t="shared" si="0"/>
        <v>1461</v>
      </c>
      <c r="J7" s="106">
        <f t="shared" si="0"/>
        <v>0</v>
      </c>
      <c r="K7" s="106">
        <f t="shared" si="0"/>
        <v>8561</v>
      </c>
      <c r="L7" s="106">
        <f t="shared" si="0"/>
        <v>14984</v>
      </c>
      <c r="M7" s="107">
        <f>SUM(B7:L7)</f>
        <v>341907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[3]Pinnacle!$IC$27+[3]Pinnacle!$IC$37</f>
        <v>1499</v>
      </c>
      <c r="C10" s="88">
        <f>[3]MESA_UA!$IC$27</f>
        <v>81</v>
      </c>
      <c r="D10" s="96">
        <f>'[3]Sky West'!$IC$27+'[3]Sky West'!$IC$37</f>
        <v>3284</v>
      </c>
      <c r="E10" s="96">
        <f>'[3]Sky West_UA'!$IC$27</f>
        <v>0</v>
      </c>
      <c r="F10" s="96">
        <f>'[3]Sky West_AS'!$IC$27</f>
        <v>0</v>
      </c>
      <c r="G10" s="96">
        <f>'[3]Sky West_AA'!$IC$27</f>
        <v>0</v>
      </c>
      <c r="H10" s="96">
        <f>[3]Republic!$IC$27</f>
        <v>117</v>
      </c>
      <c r="I10" s="96">
        <f>[3]Republic_UA!$IC$27</f>
        <v>49</v>
      </c>
      <c r="J10" s="96">
        <f>'[3]Sky Regional'!$IC$37</f>
        <v>0</v>
      </c>
      <c r="K10" s="96">
        <f>'[3]American Eagle'!$IC$27</f>
        <v>271</v>
      </c>
      <c r="L10" s="96">
        <f>'Other Regional'!L10</f>
        <v>150</v>
      </c>
      <c r="M10" s="89">
        <f>SUM(B10:L10)</f>
        <v>5451</v>
      </c>
    </row>
    <row r="11" spans="1:16" x14ac:dyDescent="0.2">
      <c r="A11" s="46" t="s">
        <v>33</v>
      </c>
      <c r="B11" s="88">
        <f>[3]Pinnacle!$IC$28+[3]Pinnacle!$IC$38</f>
        <v>1613</v>
      </c>
      <c r="C11" s="88">
        <f>[3]MESA_UA!$IC$28</f>
        <v>67</v>
      </c>
      <c r="D11" s="96">
        <f>'[3]Sky West'!$IC$28+'[3]Sky West'!$IC$38</f>
        <v>3261</v>
      </c>
      <c r="E11" s="96">
        <f>'[3]Sky West_UA'!$IC$28</f>
        <v>0</v>
      </c>
      <c r="F11" s="96">
        <f>'[3]Sky West_AS'!$IC$28</f>
        <v>0</v>
      </c>
      <c r="G11" s="96">
        <f>'[3]Sky West_AA'!$IC$28</f>
        <v>0</v>
      </c>
      <c r="H11" s="96">
        <f>[3]Republic!$IC$28</f>
        <v>135</v>
      </c>
      <c r="I11" s="96">
        <f>[3]Republic_UA!$IC$28</f>
        <v>21</v>
      </c>
      <c r="J11" s="96">
        <f>'[3]Sky Regional'!$IC$38</f>
        <v>0</v>
      </c>
      <c r="K11" s="96">
        <f>'[3]American Eagle'!$IC$28</f>
        <v>205</v>
      </c>
      <c r="L11" s="96">
        <f>'Other Regional'!L11</f>
        <v>167</v>
      </c>
      <c r="M11" s="93">
        <f>SUM(B11:L11)</f>
        <v>5469</v>
      </c>
    </row>
    <row r="12" spans="1:16" ht="15" thickBot="1" x14ac:dyDescent="0.25">
      <c r="A12" s="56" t="s">
        <v>34</v>
      </c>
      <c r="B12" s="109">
        <f t="shared" ref="B12:L12" si="2">SUM(B10:B11)</f>
        <v>3112</v>
      </c>
      <c r="C12" s="109">
        <f t="shared" si="2"/>
        <v>148</v>
      </c>
      <c r="D12" s="109">
        <f t="shared" si="2"/>
        <v>6545</v>
      </c>
      <c r="E12" s="109">
        <f t="shared" si="2"/>
        <v>0</v>
      </c>
      <c r="F12" s="109">
        <f t="shared" ref="F12:G12" si="3">SUM(F10:F11)</f>
        <v>0</v>
      </c>
      <c r="G12" s="109">
        <f t="shared" si="3"/>
        <v>0</v>
      </c>
      <c r="H12" s="109">
        <f t="shared" si="2"/>
        <v>252</v>
      </c>
      <c r="I12" s="109">
        <f t="shared" si="2"/>
        <v>70</v>
      </c>
      <c r="J12" s="109">
        <f t="shared" si="2"/>
        <v>0</v>
      </c>
      <c r="K12" s="109">
        <f t="shared" si="2"/>
        <v>476</v>
      </c>
      <c r="L12" s="109">
        <f t="shared" si="2"/>
        <v>317</v>
      </c>
      <c r="M12" s="110">
        <f>SUM(B12:L12)</f>
        <v>10920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[3]Pinnacle!$IC$4+[3]Pinnacle!$IC$15</f>
        <v>701</v>
      </c>
      <c r="C15" s="87">
        <f>[3]MESA_UA!$IC$4</f>
        <v>36</v>
      </c>
      <c r="D15" s="86">
        <f>'[3]Sky West'!$IC$4+'[3]Sky West'!$IC$15</f>
        <v>2132</v>
      </c>
      <c r="E15" s="86">
        <f>'[3]Sky West_UA'!$IC$4</f>
        <v>0</v>
      </c>
      <c r="F15" s="86">
        <f>'[3]Sky West_AS'!$IC$4</f>
        <v>0</v>
      </c>
      <c r="G15" s="86">
        <f>'[3]Sky West_AA'!$IC$4</f>
        <v>0</v>
      </c>
      <c r="H15" s="88">
        <f>[3]Republic!$IC$4</f>
        <v>75</v>
      </c>
      <c r="I15" s="360">
        <f>[3]Republic_UA!$IC$4</f>
        <v>11</v>
      </c>
      <c r="J15" s="360">
        <f>'[3]Sky Regional'!$IC$15</f>
        <v>0</v>
      </c>
      <c r="K15" s="88">
        <f>'[3]American Eagle'!$IC$4</f>
        <v>82</v>
      </c>
      <c r="L15" s="87">
        <f>'Other Regional'!L15</f>
        <v>143</v>
      </c>
      <c r="M15" s="89">
        <f>SUM(B15:L15)</f>
        <v>3180</v>
      </c>
    </row>
    <row r="16" spans="1:16" x14ac:dyDescent="0.2">
      <c r="A16" s="46" t="s">
        <v>54</v>
      </c>
      <c r="B16" s="7">
        <f>[3]Pinnacle!$IC$5+[3]Pinnacle!$IC$16</f>
        <v>701</v>
      </c>
      <c r="C16" s="91">
        <f>[3]MESA_UA!$IC$5</f>
        <v>36</v>
      </c>
      <c r="D16" s="90">
        <f>'[3]Sky West'!$IC$5+'[3]Sky West'!$IC$16</f>
        <v>2122</v>
      </c>
      <c r="E16" s="90">
        <f>'[3]Sky West_UA'!$IC$5</f>
        <v>0</v>
      </c>
      <c r="F16" s="90">
        <f>'[3]Sky West_AS'!$IC$5</f>
        <v>0</v>
      </c>
      <c r="G16" s="90">
        <f>'[3]Sky West_AA'!$IC$5</f>
        <v>0</v>
      </c>
      <c r="H16" s="92">
        <f>[3]Republic!$IC$5</f>
        <v>75</v>
      </c>
      <c r="I16" s="232">
        <f>[3]Republic_UA!$IC$5</f>
        <v>11</v>
      </c>
      <c r="J16" s="232">
        <f>'[3]Sky Regional'!$IC$16</f>
        <v>0</v>
      </c>
      <c r="K16" s="92">
        <f>'[3]American Eagle'!$IC$5</f>
        <v>82</v>
      </c>
      <c r="L16" s="91">
        <f>'Other Regional'!L16</f>
        <v>148</v>
      </c>
      <c r="M16" s="93">
        <f>SUM(B16:L16)</f>
        <v>3175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1402</v>
      </c>
      <c r="C17" s="94">
        <f t="shared" si="5"/>
        <v>72</v>
      </c>
      <c r="D17" s="94">
        <f t="shared" si="5"/>
        <v>4254</v>
      </c>
      <c r="E17" s="94">
        <f t="shared" si="5"/>
        <v>0</v>
      </c>
      <c r="F17" s="94">
        <f t="shared" ref="F17:G17" si="6">SUM(F15:F16)</f>
        <v>0</v>
      </c>
      <c r="G17" s="94">
        <f t="shared" si="6"/>
        <v>0</v>
      </c>
      <c r="H17" s="94">
        <f>SUM(H15:H16)</f>
        <v>150</v>
      </c>
      <c r="I17" s="94">
        <f t="shared" ref="I17:J17" si="7">SUM(I15:I16)</f>
        <v>22</v>
      </c>
      <c r="J17" s="94">
        <f t="shared" si="7"/>
        <v>0</v>
      </c>
      <c r="K17" s="94">
        <f>SUM(K15:K16)</f>
        <v>164</v>
      </c>
      <c r="L17" s="94">
        <f>SUM(L15:L16)</f>
        <v>291</v>
      </c>
      <c r="M17" s="95">
        <f t="shared" ref="M17:M21" si="8">SUM(B17:L17)</f>
        <v>6355</v>
      </c>
    </row>
    <row r="18" spans="1:13" x14ac:dyDescent="0.2">
      <c r="A18" s="46" t="s">
        <v>56</v>
      </c>
      <c r="B18" s="96">
        <f>[3]Pinnacle!$IC$8</f>
        <v>0</v>
      </c>
      <c r="C18" s="88">
        <f>[3]MESA_UA!$IC$8</f>
        <v>0</v>
      </c>
      <c r="D18" s="96">
        <f>'[3]Sky West'!$IC$8</f>
        <v>2</v>
      </c>
      <c r="E18" s="96">
        <f>'[3]Sky West_UA'!$IC$8</f>
        <v>0</v>
      </c>
      <c r="F18" s="96">
        <f>'[3]Sky West_AS'!$IC$8</f>
        <v>0</v>
      </c>
      <c r="G18" s="96">
        <f>'[3]Sky West_AA'!$IC$8</f>
        <v>0</v>
      </c>
      <c r="H18" s="96">
        <f>[3]Republic!$IC$8</f>
        <v>0</v>
      </c>
      <c r="I18" s="96">
        <f>[3]Republic_UA!$IC$8</f>
        <v>0</v>
      </c>
      <c r="J18" s="96">
        <f>'[3]Sky Regional'!$IC$8</f>
        <v>0</v>
      </c>
      <c r="K18" s="96">
        <f>'[3]American Eagle'!$IC$8</f>
        <v>0</v>
      </c>
      <c r="L18" s="96">
        <f>'Other Regional'!L18</f>
        <v>0</v>
      </c>
      <c r="M18" s="89">
        <f t="shared" si="8"/>
        <v>2</v>
      </c>
    </row>
    <row r="19" spans="1:13" x14ac:dyDescent="0.2">
      <c r="A19" s="46" t="s">
        <v>57</v>
      </c>
      <c r="B19" s="97">
        <f>[3]Pinnacle!$IC$9</f>
        <v>0</v>
      </c>
      <c r="C19" s="92">
        <f>[3]MESA_UA!$IC$9</f>
        <v>0</v>
      </c>
      <c r="D19" s="97">
        <f>'[3]Sky West'!$IC$9</f>
        <v>1</v>
      </c>
      <c r="E19" s="97">
        <f>'[3]Sky West_UA'!$IC$9</f>
        <v>0</v>
      </c>
      <c r="F19" s="97">
        <f>'[3]Sky West_AS'!$IC$9</f>
        <v>0</v>
      </c>
      <c r="G19" s="97">
        <f>'[3]Sky West_AA'!$IC$9</f>
        <v>0</v>
      </c>
      <c r="H19" s="97">
        <f>[3]Republic!$IC$9</f>
        <v>0</v>
      </c>
      <c r="I19" s="97">
        <f>[3]Republic_UA!$IC$9</f>
        <v>0</v>
      </c>
      <c r="J19" s="97">
        <f>'[3]Sky Regional'!$IC$9</f>
        <v>0</v>
      </c>
      <c r="K19" s="97">
        <f>'[3]American Eagle'!$IC$9</f>
        <v>0</v>
      </c>
      <c r="L19" s="97">
        <f>'Other Regional'!L19</f>
        <v>0</v>
      </c>
      <c r="M19" s="93">
        <f t="shared" si="8"/>
        <v>1</v>
      </c>
    </row>
    <row r="20" spans="1:13" x14ac:dyDescent="0.2">
      <c r="A20" s="50" t="s">
        <v>58</v>
      </c>
      <c r="B20" s="94">
        <f t="shared" ref="B20:L20" si="9">SUM(B18:B19)</f>
        <v>0</v>
      </c>
      <c r="C20" s="94">
        <f t="shared" si="9"/>
        <v>0</v>
      </c>
      <c r="D20" s="94">
        <f t="shared" si="9"/>
        <v>3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8"/>
        <v>3</v>
      </c>
    </row>
    <row r="21" spans="1:13" ht="15.75" thickBot="1" x14ac:dyDescent="0.3">
      <c r="A21" s="54" t="s">
        <v>28</v>
      </c>
      <c r="B21" s="98">
        <f>SUM(B20,B17)</f>
        <v>1402</v>
      </c>
      <c r="C21" s="98">
        <f t="shared" ref="C21:K21" si="11">SUM(C20,C17)</f>
        <v>72</v>
      </c>
      <c r="D21" s="98">
        <f t="shared" si="11"/>
        <v>4257</v>
      </c>
      <c r="E21" s="98">
        <f t="shared" si="11"/>
        <v>0</v>
      </c>
      <c r="F21" s="98">
        <f t="shared" ref="F21:G21" si="12">SUM(F20,F17)</f>
        <v>0</v>
      </c>
      <c r="G21" s="98">
        <f t="shared" si="12"/>
        <v>0</v>
      </c>
      <c r="H21" s="98">
        <f t="shared" si="11"/>
        <v>150</v>
      </c>
      <c r="I21" s="98">
        <f t="shared" si="11"/>
        <v>22</v>
      </c>
      <c r="J21" s="98">
        <f t="shared" si="11"/>
        <v>0</v>
      </c>
      <c r="K21" s="98">
        <f t="shared" si="11"/>
        <v>164</v>
      </c>
      <c r="L21" s="98">
        <f>SUM(L20,L17)</f>
        <v>291</v>
      </c>
      <c r="M21" s="99">
        <f t="shared" si="8"/>
        <v>6358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[3]Pinnacle!$IC$47</f>
        <v>0</v>
      </c>
      <c r="C25" s="88">
        <f>[3]MESA_UA!$IC$47</f>
        <v>0</v>
      </c>
      <c r="D25" s="96">
        <f>'[3]Sky West'!$IC$47</f>
        <v>0</v>
      </c>
      <c r="E25" s="96">
        <f>'[3]Sky West_UA'!$IC$47</f>
        <v>0</v>
      </c>
      <c r="F25" s="96">
        <f>'[3]Sky West_AS'!$IC$47</f>
        <v>0</v>
      </c>
      <c r="G25" s="96">
        <f>'[3]Sky West_AA'!$IC$47</f>
        <v>0</v>
      </c>
      <c r="H25" s="96">
        <f>[3]Republic!$IC$47</f>
        <v>2730</v>
      </c>
      <c r="I25" s="96">
        <f>[3]Republic_UA!$IC$47</f>
        <v>0</v>
      </c>
      <c r="J25" s="96">
        <f>'[3]Sky Regional'!$IC$47</f>
        <v>0</v>
      </c>
      <c r="K25" s="96">
        <f>'[3]American Eagle'!$IC$47</f>
        <v>121</v>
      </c>
      <c r="L25" s="96">
        <f>'Other Regional'!L25</f>
        <v>206</v>
      </c>
      <c r="M25" s="89">
        <f>SUM(B25:L25)</f>
        <v>3057</v>
      </c>
    </row>
    <row r="26" spans="1:13" x14ac:dyDescent="0.2">
      <c r="A26" s="46" t="s">
        <v>38</v>
      </c>
      <c r="B26" s="96">
        <f>[3]Pinnacle!$IC$48</f>
        <v>0</v>
      </c>
      <c r="C26" s="88">
        <f>[3]MESA_UA!$IC$48</f>
        <v>0</v>
      </c>
      <c r="D26" s="96">
        <f>'[3]Sky West'!$IC$48</f>
        <v>0</v>
      </c>
      <c r="E26" s="96">
        <f>'[3]Sky West_UA'!$IC$48</f>
        <v>0</v>
      </c>
      <c r="F26" s="96">
        <f>'[3]Sky West_AS'!$IC$48</f>
        <v>0</v>
      </c>
      <c r="G26" s="96">
        <f>'[3]Sky West_AA'!$IC$48</f>
        <v>0</v>
      </c>
      <c r="H26" s="96">
        <f>[3]Republic!$IC$48</f>
        <v>0</v>
      </c>
      <c r="I26" s="96">
        <f>[3]Republic_UA!$IC$48</f>
        <v>0</v>
      </c>
      <c r="J26" s="96">
        <f>'[3]Sky Regional'!$IC$48</f>
        <v>0</v>
      </c>
      <c r="K26" s="96">
        <f>'[3]American Eagle'!$IC$48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0</v>
      </c>
      <c r="H27" s="106">
        <f t="shared" si="13"/>
        <v>2730</v>
      </c>
      <c r="I27" s="106">
        <f t="shared" si="13"/>
        <v>0</v>
      </c>
      <c r="J27" s="106">
        <f t="shared" si="13"/>
        <v>0</v>
      </c>
      <c r="K27" s="106">
        <f t="shared" si="13"/>
        <v>121</v>
      </c>
      <c r="L27" s="106">
        <f t="shared" si="13"/>
        <v>206</v>
      </c>
      <c r="M27" s="107">
        <f>SUM(B27:L27)</f>
        <v>3057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[3]Pinnacle!$IC$52</f>
        <v>0</v>
      </c>
      <c r="C30" s="88">
        <f>[3]MESA_UA!$IC$52</f>
        <v>0</v>
      </c>
      <c r="D30" s="96">
        <f>'[3]Sky West'!$IC$52</f>
        <v>0</v>
      </c>
      <c r="E30" s="96">
        <f>'[3]Sky West_UA'!$IC$52</f>
        <v>0</v>
      </c>
      <c r="F30" s="96">
        <f>'[3]Sky West_AS'!$IC$52</f>
        <v>0</v>
      </c>
      <c r="G30" s="96">
        <f>'[3]Sky West_AA'!$IC$52</f>
        <v>0</v>
      </c>
      <c r="H30" s="96">
        <f>[3]Republic!$IC$52</f>
        <v>0</v>
      </c>
      <c r="I30" s="96">
        <f>[3]Republic_UA!$IC$52</f>
        <v>0</v>
      </c>
      <c r="J30" s="96">
        <f>'[3]Sky Regional'!$IC$52</f>
        <v>0</v>
      </c>
      <c r="K30" s="96">
        <f>'[3]American Eagle'!$IC$52</f>
        <v>402</v>
      </c>
      <c r="L30" s="96">
        <f>'Other Regional'!L30</f>
        <v>0</v>
      </c>
      <c r="M30" s="89">
        <f t="shared" ref="M30:M37" si="15">SUM(B30:L30)</f>
        <v>402</v>
      </c>
    </row>
    <row r="31" spans="1:13" x14ac:dyDescent="0.2">
      <c r="A31" s="46" t="s">
        <v>60</v>
      </c>
      <c r="B31" s="96">
        <f>[3]Pinnacle!$IC$53</f>
        <v>0</v>
      </c>
      <c r="C31" s="88">
        <f>[3]MESA_UA!$IC$53</f>
        <v>0</v>
      </c>
      <c r="D31" s="96">
        <f>'[3]Sky West'!$IC$53</f>
        <v>0</v>
      </c>
      <c r="E31" s="96">
        <f>'[3]Sky West_UA'!$IC$53</f>
        <v>0</v>
      </c>
      <c r="F31" s="96">
        <f>'[3]Sky West_AS'!$IC$53</f>
        <v>0</v>
      </c>
      <c r="G31" s="96">
        <f>'[3]Sky West_AA'!$IC$53</f>
        <v>0</v>
      </c>
      <c r="H31" s="96">
        <f>[3]Republic!$IC$53</f>
        <v>0</v>
      </c>
      <c r="I31" s="96">
        <f>[3]Republic_UA!$IC$53</f>
        <v>0</v>
      </c>
      <c r="J31" s="96">
        <f>'[3]Sky Regional'!$IC$53</f>
        <v>0</v>
      </c>
      <c r="K31" s="96">
        <f>'[3]American Eagle'!$IC$53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402</v>
      </c>
      <c r="L32" s="106">
        <f>SUM(L30:L31)</f>
        <v>0</v>
      </c>
      <c r="M32" s="107">
        <f t="shared" si="15"/>
        <v>402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[3]Pinnacle!$IC$57</f>
        <v>0</v>
      </c>
      <c r="C35" s="88">
        <f>[3]MESA_UA!$IC$57</f>
        <v>0</v>
      </c>
      <c r="D35" s="96">
        <f>'[3]Sky West'!$IC$57</f>
        <v>0</v>
      </c>
      <c r="E35" s="96">
        <f>'[3]Sky West_UA'!$IC$57</f>
        <v>0</v>
      </c>
      <c r="F35" s="96">
        <f>'[3]Sky West_AS'!$IC$57</f>
        <v>0</v>
      </c>
      <c r="G35" s="96">
        <f>'[3]Sky West_AA'!$IC$57</f>
        <v>0</v>
      </c>
      <c r="H35" s="96">
        <f>[3]Republic!$IC$57</f>
        <v>0</v>
      </c>
      <c r="I35" s="96">
        <f>[3]Republic!$IC$57</f>
        <v>0</v>
      </c>
      <c r="J35" s="96">
        <f>[3]Republic!$IC$57</f>
        <v>0</v>
      </c>
      <c r="K35" s="96">
        <f>'[3]American Eagle'!$IC$57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[3]Pinnacle!$IC$58</f>
        <v>0</v>
      </c>
      <c r="C36" s="88">
        <f>[3]MESA_UA!$IC$58</f>
        <v>0</v>
      </c>
      <c r="D36" s="96">
        <f>'[3]Sky West'!$IC$58</f>
        <v>0</v>
      </c>
      <c r="E36" s="96">
        <f>'[3]Sky West_UA'!$IC$58</f>
        <v>0</v>
      </c>
      <c r="F36" s="96">
        <f>'[3]Sky West_AS'!$IC$58</f>
        <v>0</v>
      </c>
      <c r="G36" s="96">
        <f>'[3]Sky West_AA'!$IC$58</f>
        <v>0</v>
      </c>
      <c r="H36" s="96">
        <f>[3]Republic!$IC$58</f>
        <v>0</v>
      </c>
      <c r="I36" s="96">
        <f>[3]Republic!$IC$58</f>
        <v>0</v>
      </c>
      <c r="J36" s="96">
        <f>[3]Republic!$IC$58</f>
        <v>0</v>
      </c>
      <c r="K36" s="96">
        <f>'[3]American Eagle'!$IC$58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0</v>
      </c>
      <c r="H40" s="96">
        <f t="shared" si="20"/>
        <v>2730</v>
      </c>
      <c r="I40" s="96">
        <f t="shared" si="20"/>
        <v>0</v>
      </c>
      <c r="J40" s="96">
        <f t="shared" si="20"/>
        <v>0</v>
      </c>
      <c r="K40" s="96">
        <f>SUM(K35,K30,K25)</f>
        <v>523</v>
      </c>
      <c r="L40" s="96">
        <f>L35+L30+L25</f>
        <v>206</v>
      </c>
      <c r="M40" s="89">
        <f>SUM(B40:L40)</f>
        <v>3459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0</v>
      </c>
      <c r="H42" s="109">
        <f t="shared" si="20"/>
        <v>2730</v>
      </c>
      <c r="I42" s="109">
        <f t="shared" si="20"/>
        <v>0</v>
      </c>
      <c r="J42" s="109">
        <f t="shared" si="20"/>
        <v>0</v>
      </c>
      <c r="K42" s="109">
        <f>SUM(K37,K32,K27)</f>
        <v>523</v>
      </c>
      <c r="L42" s="109">
        <f>SUM(L37,L32,L27)</f>
        <v>206</v>
      </c>
      <c r="M42" s="110">
        <f>SUM(B42:L42)</f>
        <v>3459</v>
      </c>
    </row>
    <row r="44" spans="1:13" x14ac:dyDescent="0.2">
      <c r="A44" s="298" t="s">
        <v>121</v>
      </c>
      <c r="B44" s="255">
        <f>[3]Pinnacle!$IC$70+[3]Pinnacle!$IC$73</f>
        <v>16023</v>
      </c>
      <c r="D44" s="256">
        <f>'[3]Sky West'!$IC$70+'[3]Sky West'!$IC$73</f>
        <v>46706</v>
      </c>
      <c r="E44" s="2"/>
      <c r="F44" s="2"/>
      <c r="G44" s="2"/>
      <c r="L44" s="256">
        <f>+'Other Regional'!L46</f>
        <v>0</v>
      </c>
      <c r="M44" s="245">
        <f>SUM(B44:L44)</f>
        <v>62729</v>
      </c>
    </row>
    <row r="45" spans="1:13" x14ac:dyDescent="0.2">
      <c r="A45" s="311" t="s">
        <v>122</v>
      </c>
      <c r="B45" s="255">
        <f>[3]Pinnacle!$IC$71+[3]Pinnacle!$IC$74</f>
        <v>23227</v>
      </c>
      <c r="D45" s="256">
        <f>'[3]Sky West'!$IC$71+'[3]Sky West'!$IC$74</f>
        <v>63539</v>
      </c>
      <c r="E45" s="2"/>
      <c r="F45" s="2"/>
      <c r="G45" s="2"/>
      <c r="L45" s="256">
        <f>+'Other Regional'!L47</f>
        <v>0</v>
      </c>
      <c r="M45" s="245">
        <f>SUM(B45:L45)</f>
        <v>86766</v>
      </c>
    </row>
    <row r="46" spans="1:13" x14ac:dyDescent="0.2">
      <c r="A46" s="246" t="s">
        <v>123</v>
      </c>
      <c r="B46" s="247">
        <f>SUM(B44:B45)</f>
        <v>39250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December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07"/>
    </row>
    <row r="2" spans="1:12" ht="55.5" customHeight="1" thickBot="1" x14ac:dyDescent="0.25">
      <c r="A2" s="439">
        <v>44896</v>
      </c>
      <c r="B2" s="389" t="s">
        <v>171</v>
      </c>
      <c r="C2" s="389" t="s">
        <v>170</v>
      </c>
      <c r="D2" s="389" t="s">
        <v>197</v>
      </c>
      <c r="E2" s="389" t="s">
        <v>230</v>
      </c>
      <c r="F2" s="389" t="s">
        <v>235</v>
      </c>
      <c r="G2" s="389" t="s">
        <v>181</v>
      </c>
      <c r="H2" s="389" t="s">
        <v>175</v>
      </c>
      <c r="I2" s="389" t="s">
        <v>174</v>
      </c>
      <c r="J2" s="389" t="s">
        <v>159</v>
      </c>
      <c r="K2" s="389" t="s">
        <v>162</v>
      </c>
      <c r="L2" s="390" t="s">
        <v>21</v>
      </c>
    </row>
    <row r="3" spans="1:12" ht="15" x14ac:dyDescent="0.25">
      <c r="A3" s="217" t="s">
        <v>3</v>
      </c>
      <c r="B3" s="323"/>
      <c r="C3" s="323"/>
      <c r="D3" s="323"/>
      <c r="E3" s="323"/>
      <c r="F3" s="323"/>
      <c r="G3" s="323"/>
      <c r="H3" s="324"/>
      <c r="I3" s="324"/>
      <c r="J3" s="324"/>
      <c r="K3" s="324"/>
      <c r="L3" s="388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America'!$IC$22</f>
        <v>0</v>
      </c>
      <c r="C5" s="88">
        <f>'[3]Shuttle America_Delta'!$IC$22</f>
        <v>0</v>
      </c>
      <c r="D5" s="360">
        <f>[3]Horizon_AS!$IC$22+[3]Horizon_AS!$IC$32</f>
        <v>0</v>
      </c>
      <c r="E5" s="360">
        <f>'[3]Air Wisconsin'!$IC$22</f>
        <v>0</v>
      </c>
      <c r="F5" s="360">
        <f>[3]Jazz_AC!$IC$22+[3]Jazz_AC!$IC$32</f>
        <v>4459</v>
      </c>
      <c r="G5" s="360">
        <f>[3]PSA!$IC$22</f>
        <v>3225</v>
      </c>
      <c r="H5" s="88">
        <f>'[3]Atlantic Southeast'!$IC$22+'[3]Atlantic Southeast'!$IC$32</f>
        <v>0</v>
      </c>
      <c r="I5" s="88">
        <f>'[3]Continental Express'!$IC$22</f>
        <v>0</v>
      </c>
      <c r="J5" s="96">
        <f>'[3]Go Jet_UA'!$IC$22</f>
        <v>0</v>
      </c>
      <c r="K5" s="13">
        <f>'[3]Go Jet'!$IC$22+'[3]Go Jet'!$IC$32</f>
        <v>0</v>
      </c>
      <c r="L5" s="89">
        <f>SUM(B5:K5)</f>
        <v>7684</v>
      </c>
    </row>
    <row r="6" spans="1:12" s="6" customFormat="1" x14ac:dyDescent="0.2">
      <c r="A6" s="46" t="s">
        <v>31</v>
      </c>
      <c r="B6" s="88">
        <f>'[3]Shuttle America'!$IC$23</f>
        <v>0</v>
      </c>
      <c r="C6" s="88">
        <f>'[3]Shuttle America_Delta'!$IC$23</f>
        <v>0</v>
      </c>
      <c r="D6" s="360">
        <f>[3]Horizon_AS!$IC$23+[3]Horizon_AS!$IC$33</f>
        <v>0</v>
      </c>
      <c r="E6" s="360">
        <f>'[3]Air Wisconsin'!$IC$23</f>
        <v>0</v>
      </c>
      <c r="F6" s="360">
        <f>[3]Jazz_AC!$IC$23+[3]Jazz_AC!$IC$33</f>
        <v>4373</v>
      </c>
      <c r="G6" s="360">
        <f>[3]PSA!$IC$23</f>
        <v>2927</v>
      </c>
      <c r="H6" s="88">
        <f>'[3]Atlantic Southeast'!$IC$23+'[3]Atlantic Southeast'!$IC$33</f>
        <v>0</v>
      </c>
      <c r="I6" s="88">
        <f>'[3]Continental Express'!$IC$23</f>
        <v>0</v>
      </c>
      <c r="J6" s="96">
        <f>'[3]Go Jet_UA'!$IC$23</f>
        <v>0</v>
      </c>
      <c r="K6" s="7">
        <f>'[3]Go Jet'!$IC$23+'[3]Go Jet'!$IC$33</f>
        <v>0</v>
      </c>
      <c r="L6" s="93">
        <f>SUM(B6:K6)</f>
        <v>7300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8832</v>
      </c>
      <c r="G7" s="106">
        <f t="shared" si="0"/>
        <v>6152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14984</v>
      </c>
    </row>
    <row r="8" spans="1:12" ht="13.5" thickTop="1" x14ac:dyDescent="0.2">
      <c r="A8" s="46"/>
      <c r="B8" s="88"/>
      <c r="C8" s="88"/>
      <c r="D8" s="360"/>
      <c r="E8" s="360"/>
      <c r="F8" s="360"/>
      <c r="G8" s="360"/>
      <c r="H8" s="88"/>
      <c r="I8" s="88"/>
      <c r="J8" s="96"/>
      <c r="K8" s="271"/>
      <c r="L8" s="108"/>
    </row>
    <row r="9" spans="1:12" s="6" customFormat="1" x14ac:dyDescent="0.2">
      <c r="A9" s="46" t="s">
        <v>32</v>
      </c>
      <c r="B9" s="88"/>
      <c r="C9" s="88"/>
      <c r="D9" s="360"/>
      <c r="E9" s="360"/>
      <c r="F9" s="360"/>
      <c r="G9" s="360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America'!$IC$27</f>
        <v>0</v>
      </c>
      <c r="C10" s="88">
        <f>'[3]Shuttle America_Delta'!$IC$27</f>
        <v>0</v>
      </c>
      <c r="D10" s="360">
        <f>[3]Horizon_AS!$IC$27+[3]Horizon_AS!$IC$37</f>
        <v>0</v>
      </c>
      <c r="E10" s="360">
        <f>'[3]Air Wisconsin'!$IC$27</f>
        <v>0</v>
      </c>
      <c r="F10" s="360">
        <f>[3]Jazz_AC!$IC$27+[3]Jazz_AC!$IC$37</f>
        <v>60</v>
      </c>
      <c r="G10" s="360">
        <f>[3]PSA!$IC$27</f>
        <v>90</v>
      </c>
      <c r="H10" s="13">
        <f>'[3]Atlantic Southeast'!$IC$27+'[3]Atlantic Southeast'!$IC$37</f>
        <v>0</v>
      </c>
      <c r="I10" s="88">
        <f>'[3]Continental Express'!$IC$27</f>
        <v>0</v>
      </c>
      <c r="J10" s="96">
        <f>'[3]Go Jet_UA'!$IC$27</f>
        <v>0</v>
      </c>
      <c r="K10" s="13">
        <f>'[3]Go Jet'!$IC$27+'[3]Go Jet'!$IC$37</f>
        <v>0</v>
      </c>
      <c r="L10" s="89">
        <f>SUM(B10:K10)</f>
        <v>150</v>
      </c>
    </row>
    <row r="11" spans="1:12" x14ac:dyDescent="0.2">
      <c r="A11" s="46" t="s">
        <v>33</v>
      </c>
      <c r="B11" s="88">
        <f>'[3]Shuttle America'!$IC$28</f>
        <v>0</v>
      </c>
      <c r="C11" s="88">
        <f>'[3]Shuttle America_Delta'!$IC$28</f>
        <v>0</v>
      </c>
      <c r="D11" s="360">
        <f>[3]Horizon_AS!$IC$28+[3]Horizon_AS!$IC$38</f>
        <v>0</v>
      </c>
      <c r="E11" s="360">
        <f>'[3]Air Wisconsin'!$IC$28</f>
        <v>0</v>
      </c>
      <c r="F11" s="360">
        <f>[3]Jazz_AC!$IC$28+[3]Jazz_AC!$IC$38</f>
        <v>61</v>
      </c>
      <c r="G11" s="360">
        <f>[3]PSA!$IC$28</f>
        <v>106</v>
      </c>
      <c r="H11" s="7">
        <f>'[3]Atlantic Southeast'!$IC$28+'[3]Atlantic Southeast'!$IC$38</f>
        <v>0</v>
      </c>
      <c r="I11" s="88">
        <f>'[3]Continental Express'!$IC$28</f>
        <v>0</v>
      </c>
      <c r="J11" s="96">
        <f>'[3]Go Jet_UA'!$IC$28</f>
        <v>0</v>
      </c>
      <c r="K11" s="7">
        <f>'[3]Go Jet'!$IC$28+'[3]Go Jet'!$IC$38</f>
        <v>0</v>
      </c>
      <c r="L11" s="93">
        <f>SUM(B11:K11)</f>
        <v>167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121</v>
      </c>
      <c r="G12" s="109">
        <f t="shared" si="2"/>
        <v>196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317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America'!$IC$4</f>
        <v>0</v>
      </c>
      <c r="C15" s="86">
        <f>'[3]Shuttle America_Delta'!$IC$4</f>
        <v>0</v>
      </c>
      <c r="D15" s="361">
        <f>[3]Horizon_AS!$IC$4</f>
        <v>0</v>
      </c>
      <c r="E15" s="361">
        <f>'[3]Air Wisconsin'!$IC$4</f>
        <v>0</v>
      </c>
      <c r="F15" s="361">
        <f>[3]Jazz_AC!$IC$4+[3]Jazz_AC!$IC$15</f>
        <v>85</v>
      </c>
      <c r="G15" s="361">
        <f>[3]PSA!$IC$4</f>
        <v>58</v>
      </c>
      <c r="H15" s="87">
        <f>'[3]Atlantic Southeast'!$IC$4+'[3]Atlantic Southeast'!$IC$15</f>
        <v>0</v>
      </c>
      <c r="I15" s="87">
        <f>'[3]Continental Express'!$IC$4</f>
        <v>0</v>
      </c>
      <c r="J15" s="86">
        <f>'[3]Go Jet_UA'!$IC$4</f>
        <v>0</v>
      </c>
      <c r="K15" s="13">
        <f>'[3]Go Jet'!$IC$4+'[3]Go Jet'!$IC$15</f>
        <v>0</v>
      </c>
      <c r="L15" s="89">
        <f>SUM(B15:K15)</f>
        <v>143</v>
      </c>
    </row>
    <row r="16" spans="1:12" x14ac:dyDescent="0.2">
      <c r="A16" s="46" t="s">
        <v>54</v>
      </c>
      <c r="B16" s="90">
        <f>'[3]Shuttle America'!$IC$5</f>
        <v>0</v>
      </c>
      <c r="C16" s="90">
        <f>'[3]Shuttle America_Delta'!$IC$5</f>
        <v>0</v>
      </c>
      <c r="D16" s="362">
        <f>[3]Horizon_AS!$IC$5</f>
        <v>0</v>
      </c>
      <c r="E16" s="362">
        <f>'[3]Air Wisconsin'!$IC$5</f>
        <v>0</v>
      </c>
      <c r="F16" s="362">
        <f>[3]Jazz_AC!$IC$5+[3]Jazz_AC!$IC$16</f>
        <v>90</v>
      </c>
      <c r="G16" s="362">
        <f>[3]PSA!$IC$5</f>
        <v>58</v>
      </c>
      <c r="H16" s="91">
        <f>'[3]Atlantic Southeast'!$IC$5+'[3]Atlantic Southeast'!$IC$16</f>
        <v>0</v>
      </c>
      <c r="I16" s="91">
        <f>'[3]Continental Express'!$IC$5</f>
        <v>0</v>
      </c>
      <c r="J16" s="90">
        <f>'[3]Go Jet_UA'!$IC$5</f>
        <v>0</v>
      </c>
      <c r="K16" s="7">
        <f>'[3]Go Jet'!$IC$5+'[3]Go Jet'!$IC$16</f>
        <v>0</v>
      </c>
      <c r="L16" s="93">
        <f>SUM(B16:K16)</f>
        <v>148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175</v>
      </c>
      <c r="G17" s="94">
        <f t="shared" si="6"/>
        <v>116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0</v>
      </c>
      <c r="K17" s="224">
        <f>SUM(K15:K16)</f>
        <v>0</v>
      </c>
      <c r="L17" s="95">
        <f t="shared" ref="L17:L21" si="9">SUM(B17:K17)</f>
        <v>291</v>
      </c>
    </row>
    <row r="18" spans="1:15" x14ac:dyDescent="0.2">
      <c r="A18" s="46" t="s">
        <v>56</v>
      </c>
      <c r="B18" s="96">
        <f>'[3]Shuttle America'!$IC$8</f>
        <v>0</v>
      </c>
      <c r="C18" s="96">
        <f>'[3]Shuttle America_Delta'!$IC$8</f>
        <v>0</v>
      </c>
      <c r="D18" s="96">
        <f>[3]Horizon_AS!$IC$8</f>
        <v>0</v>
      </c>
      <c r="E18" s="96">
        <f>'[3]Air Wisconsin'!$IC$8</f>
        <v>0</v>
      </c>
      <c r="F18" s="96">
        <f>[3]Jazz_AC!$IC$8</f>
        <v>0</v>
      </c>
      <c r="G18" s="96">
        <f>[3]PSA!$IC$8</f>
        <v>0</v>
      </c>
      <c r="H18" s="88">
        <f>'[3]Atlantic Southeast'!$IC$8</f>
        <v>0</v>
      </c>
      <c r="I18" s="88">
        <f>'[3]Continental Express'!$IC$8</f>
        <v>0</v>
      </c>
      <c r="J18" s="96">
        <f>'[3]Go Jet_UA'!$IC$8</f>
        <v>0</v>
      </c>
      <c r="K18" s="13">
        <f>'[3]Go Jet'!$IC$8</f>
        <v>0</v>
      </c>
      <c r="L18" s="89">
        <f t="shared" si="9"/>
        <v>0</v>
      </c>
      <c r="O18" s="301"/>
    </row>
    <row r="19" spans="1:15" x14ac:dyDescent="0.2">
      <c r="A19" s="46" t="s">
        <v>57</v>
      </c>
      <c r="B19" s="97">
        <f>'[3]Shuttle America'!$IC$9</f>
        <v>0</v>
      </c>
      <c r="C19" s="97">
        <f>'[3]Shuttle America_Delta'!$IC$9</f>
        <v>0</v>
      </c>
      <c r="D19" s="97">
        <f>[3]Horizon_AS!$IC$9</f>
        <v>0</v>
      </c>
      <c r="E19" s="97">
        <f>'[3]Air Wisconsin'!$IC$9</f>
        <v>0</v>
      </c>
      <c r="F19" s="97">
        <f>[3]Jazz_AC!$IC$9</f>
        <v>0</v>
      </c>
      <c r="G19" s="97">
        <f>[3]PSA!$IC$9</f>
        <v>0</v>
      </c>
      <c r="H19" s="92">
        <f>'[3]Atlantic Southeast'!$IC$9</f>
        <v>0</v>
      </c>
      <c r="I19" s="92">
        <f>'[3]Continental Express'!$IC$9</f>
        <v>0</v>
      </c>
      <c r="J19" s="97">
        <f>'[3]Go Jet_UA'!$IC$9</f>
        <v>0</v>
      </c>
      <c r="K19" s="7">
        <f>'[3]Go Jet'!$IC$9</f>
        <v>0</v>
      </c>
      <c r="L19" s="93">
        <f t="shared" si="9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0</v>
      </c>
      <c r="F21" s="98">
        <f t="shared" si="14"/>
        <v>175</v>
      </c>
      <c r="G21" s="98">
        <f t="shared" si="13"/>
        <v>116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9"/>
        <v>291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America'!$IC$47</f>
        <v>0</v>
      </c>
      <c r="C25" s="96">
        <f>'[3]Shuttle America_Delta'!$IC$47</f>
        <v>0</v>
      </c>
      <c r="D25" s="96">
        <f>[3]Horizon_AS!$IC$47</f>
        <v>0</v>
      </c>
      <c r="E25" s="96">
        <f>'[3]Air Wisconsin'!$IC$47</f>
        <v>0</v>
      </c>
      <c r="F25" s="96">
        <f>[3]Jazz_AC!$IC$47</f>
        <v>0</v>
      </c>
      <c r="G25" s="96">
        <f>[3]PSA!$IC$47</f>
        <v>206</v>
      </c>
      <c r="H25" s="88">
        <f>'[3]Atlantic Southeast'!$IC$47</f>
        <v>0</v>
      </c>
      <c r="I25" s="88">
        <f>'[3]Continental Express'!$IC$47</f>
        <v>0</v>
      </c>
      <c r="J25" s="96">
        <f>'[3]Go Jet_UA'!$IC$47</f>
        <v>0</v>
      </c>
      <c r="K25" s="96">
        <f>'[3]Go Jet'!$IC$47</f>
        <v>0</v>
      </c>
      <c r="L25" s="89">
        <f>SUM(B25:K25)</f>
        <v>206</v>
      </c>
    </row>
    <row r="26" spans="1:15" x14ac:dyDescent="0.2">
      <c r="A26" s="46" t="s">
        <v>38</v>
      </c>
      <c r="B26" s="96">
        <f>'[3]Shuttle America'!$IC$48</f>
        <v>0</v>
      </c>
      <c r="C26" s="96">
        <f>'[3]Shuttle America_Delta'!$IC$48</f>
        <v>0</v>
      </c>
      <c r="D26" s="96">
        <f>[3]Horizon_AS!$IC$48</f>
        <v>0</v>
      </c>
      <c r="E26" s="96">
        <f>'[3]Air Wisconsin'!$IC$48</f>
        <v>0</v>
      </c>
      <c r="F26" s="96">
        <f>[3]Jazz_AC!$IC$48</f>
        <v>0</v>
      </c>
      <c r="G26" s="96">
        <f>[3]PSA!$IC$48</f>
        <v>0</v>
      </c>
      <c r="H26" s="88">
        <f>'[3]Atlantic Southeast'!$IC$48</f>
        <v>0</v>
      </c>
      <c r="I26" s="88">
        <f>'[3]Continental Express'!$IC$48</f>
        <v>0</v>
      </c>
      <c r="J26" s="96">
        <f>'[3]Go Jet_UA'!$IC$48</f>
        <v>0</v>
      </c>
      <c r="K26" s="96">
        <f>'[3]Go Jet'!$IC$48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0</v>
      </c>
      <c r="G27" s="106">
        <f t="shared" si="17"/>
        <v>206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206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America'!$IC$52</f>
        <v>0</v>
      </c>
      <c r="C30" s="96">
        <f>'[3]Shuttle America_Delta'!$IC$52</f>
        <v>0</v>
      </c>
      <c r="D30" s="96">
        <f>[3]Horizon_AS!$IC$52</f>
        <v>0</v>
      </c>
      <c r="E30" s="96">
        <f>'[3]Air Wisconsin'!$IC$52</f>
        <v>0</v>
      </c>
      <c r="F30" s="96">
        <f>[3]Jazz_AC!$IC$52</f>
        <v>0</v>
      </c>
      <c r="G30" s="96">
        <f>[3]PSA!$IC$52</f>
        <v>0</v>
      </c>
      <c r="H30" s="88">
        <f>'[3]Atlantic Southeast'!$IC$52</f>
        <v>0</v>
      </c>
      <c r="I30" s="88">
        <f>'[3]Continental Express'!$IC$52</f>
        <v>0</v>
      </c>
      <c r="J30" s="96">
        <f>'[3]Go Jet_UA'!$IC$52</f>
        <v>0</v>
      </c>
      <c r="K30" s="96">
        <f>'[3]Go Jet'!$IC$52</f>
        <v>0</v>
      </c>
      <c r="L30" s="89">
        <f>SUM(B30:K30)</f>
        <v>0</v>
      </c>
    </row>
    <row r="31" spans="1:15" x14ac:dyDescent="0.2">
      <c r="A31" s="46" t="s">
        <v>60</v>
      </c>
      <c r="B31" s="96">
        <f>'[3]Shuttle America'!$IC$53</f>
        <v>0</v>
      </c>
      <c r="C31" s="96">
        <f>'[3]Shuttle America_Delta'!$IC$53</f>
        <v>0</v>
      </c>
      <c r="D31" s="96">
        <f>[3]Horizon_AS!$IC$53</f>
        <v>0</v>
      </c>
      <c r="E31" s="96">
        <f>'[3]Air Wisconsin'!$IC$53</f>
        <v>0</v>
      </c>
      <c r="F31" s="96">
        <f>[3]Jazz_AC!$IC$53</f>
        <v>0</v>
      </c>
      <c r="G31" s="96">
        <f>[3]PSA!$IC$53</f>
        <v>0</v>
      </c>
      <c r="H31" s="88">
        <f>'[3]Atlantic Southeast'!$IC$53</f>
        <v>0</v>
      </c>
      <c r="I31" s="88">
        <f>'[3]Continental Express'!$IC$53</f>
        <v>0</v>
      </c>
      <c r="J31" s="96">
        <f>'[3]Go Jet_UA'!$IC$53</f>
        <v>0</v>
      </c>
      <c r="K31" s="96">
        <f>'[3]Go Jet'!$IC$53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0</v>
      </c>
      <c r="G32" s="106">
        <f t="shared" si="20"/>
        <v>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0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America'!$IC$57</f>
        <v>0</v>
      </c>
      <c r="C35" s="96">
        <f>'[3]Shuttle America_Delta'!$IC$57</f>
        <v>0</v>
      </c>
      <c r="D35" s="96">
        <f>[3]Horizon_AS!$IC$57</f>
        <v>0</v>
      </c>
      <c r="E35" s="96">
        <f>'[3]Air Wisconsin'!$IC$57</f>
        <v>0</v>
      </c>
      <c r="F35" s="96">
        <f>[3]Jazz_AC!$IC$57</f>
        <v>0</v>
      </c>
      <c r="G35" s="96">
        <f>[3]PSA!$IC$57</f>
        <v>0</v>
      </c>
      <c r="H35" s="88">
        <f>'[3]Atlantic Southeast'!$IC$57</f>
        <v>0</v>
      </c>
      <c r="I35" s="88">
        <f>'[3]Continental Express'!$IC$57</f>
        <v>0</v>
      </c>
      <c r="J35" s="96">
        <f>'[3]Go Jet_UA'!$AJ$57</f>
        <v>0</v>
      </c>
      <c r="K35" s="96">
        <f>'[3]Go Jet'!$IC$57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0</v>
      </c>
      <c r="G40" s="96">
        <f t="shared" si="27"/>
        <v>206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206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0</v>
      </c>
      <c r="G42" s="109">
        <f t="shared" si="33"/>
        <v>206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206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298" t="s">
        <v>121</v>
      </c>
      <c r="C46" s="256">
        <f>'[3]Shuttle America_Delta'!$IC$70+'[3]Shuttle America_Delta'!$IC$73</f>
        <v>0</v>
      </c>
      <c r="D46" s="2"/>
      <c r="E46" s="2"/>
      <c r="H46" s="256">
        <f>'[3]Atlantic Southeast'!$IC$70+'[3]Atlantic Southeast'!$IC$73</f>
        <v>0</v>
      </c>
      <c r="K46" s="256">
        <f>'[3]Go Jet'!$IC$70+'[3]Go Jet'!$IC$73</f>
        <v>0</v>
      </c>
      <c r="L46" s="310">
        <f>SUM(B46:K46)</f>
        <v>0</v>
      </c>
    </row>
    <row r="47" spans="1:12" x14ac:dyDescent="0.2">
      <c r="A47" s="311" t="s">
        <v>122</v>
      </c>
      <c r="C47" s="256">
        <f>'[3]Shuttle America_Delta'!$IC$71+'[3]Shuttle America_Delta'!$IC$74</f>
        <v>0</v>
      </c>
      <c r="D47" s="2"/>
      <c r="E47" s="2"/>
      <c r="H47" s="256">
        <f>'[3]Atlantic Southeast'!$IC$71+'[3]Atlantic Southeast'!$IC$74</f>
        <v>0</v>
      </c>
      <c r="K47" s="256">
        <f>'[3]Go Jet'!$IC$71+'[3]Go Jet'!$IC$74</f>
        <v>0</v>
      </c>
      <c r="L47" s="31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December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1" zoomScaleNormal="100" workbookViewId="0">
      <selection activeCell="N35" sqref="N3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39">
        <v>44896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5"/>
      <c r="C4" s="152"/>
      <c r="D4" s="152"/>
      <c r="E4" s="152"/>
      <c r="F4" s="152"/>
      <c r="G4" s="194"/>
    </row>
    <row r="5" spans="1:17" x14ac:dyDescent="0.2">
      <c r="A5" s="46" t="s">
        <v>30</v>
      </c>
      <c r="B5" s="335">
        <f>'[3]Charter Misc'!$IC$22</f>
        <v>0</v>
      </c>
      <c r="C5" s="152">
        <f>[3]Ryan!$IC$22</f>
        <v>0</v>
      </c>
      <c r="D5" s="152">
        <f>'[3]Charter Misc'!$IC$32</f>
        <v>0</v>
      </c>
      <c r="E5" s="152">
        <f>[3]Omni!$IC$32+[3]Omni!$IC$22</f>
        <v>0</v>
      </c>
      <c r="F5" s="152">
        <f>[3]Xtra!$IC$32+[3]Xtra!$IC$22</f>
        <v>0</v>
      </c>
      <c r="G5" s="270">
        <f>SUM(B5:F5)</f>
        <v>0</v>
      </c>
    </row>
    <row r="6" spans="1:17" x14ac:dyDescent="0.2">
      <c r="A6" s="46" t="s">
        <v>31</v>
      </c>
      <c r="B6" s="336">
        <f>'[3]Charter Misc'!$IC$23</f>
        <v>0</v>
      </c>
      <c r="C6" s="155">
        <f>[3]Ryan!$IC$23</f>
        <v>0</v>
      </c>
      <c r="D6" s="155">
        <f>'[3]Charter Misc'!$IC$33</f>
        <v>0</v>
      </c>
      <c r="E6" s="155">
        <f>[3]Omni!$IC$33+[3]Omni!$IC$23</f>
        <v>0</v>
      </c>
      <c r="F6" s="155">
        <f>[3]Xtra!$IC$33+[3]Xtra!$IC$23</f>
        <v>0</v>
      </c>
      <c r="G6" s="269">
        <f>SUM(B6:F6)</f>
        <v>0</v>
      </c>
    </row>
    <row r="7" spans="1:17" ht="15.75" thickBot="1" x14ac:dyDescent="0.3">
      <c r="A7" s="151" t="s">
        <v>7</v>
      </c>
      <c r="B7" s="337">
        <f>SUM(B5:B6)</f>
        <v>0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0</v>
      </c>
    </row>
    <row r="8" spans="1:17" ht="13.5" thickBot="1" x14ac:dyDescent="0.25"/>
    <row r="9" spans="1:17" x14ac:dyDescent="0.2">
      <c r="A9" s="149" t="s">
        <v>9</v>
      </c>
      <c r="B9" s="338"/>
      <c r="C9" s="30"/>
      <c r="D9" s="30"/>
      <c r="E9" s="30"/>
      <c r="F9" s="30"/>
      <c r="G9" s="41"/>
    </row>
    <row r="10" spans="1:17" x14ac:dyDescent="0.2">
      <c r="A10" s="150" t="s">
        <v>79</v>
      </c>
      <c r="B10" s="335">
        <f>'[3]Charter Misc'!$IC$4</f>
        <v>0</v>
      </c>
      <c r="C10" s="152">
        <f>[3]Ryan!$IC$4</f>
        <v>0</v>
      </c>
      <c r="D10" s="152">
        <f>'[3]Charter Misc'!$IC$15</f>
        <v>0</v>
      </c>
      <c r="E10" s="152">
        <f>[3]Omni!$IC$15</f>
        <v>0</v>
      </c>
      <c r="F10" s="152">
        <f>[3]Xtra!$IC$15+[3]Xtra!$IC$4</f>
        <v>0</v>
      </c>
      <c r="G10" s="269">
        <f>SUM(B10:F10)</f>
        <v>0</v>
      </c>
    </row>
    <row r="11" spans="1:17" x14ac:dyDescent="0.2">
      <c r="A11" s="150" t="s">
        <v>80</v>
      </c>
      <c r="B11" s="335">
        <f>'[3]Charter Misc'!$IC$5</f>
        <v>0</v>
      </c>
      <c r="C11" s="152">
        <f>[3]Ryan!$IC$5</f>
        <v>0</v>
      </c>
      <c r="D11" s="152">
        <f>'[3]Charter Misc'!$IC$16</f>
        <v>0</v>
      </c>
      <c r="E11" s="152">
        <f>[3]Omni!$IC$16+[3]Omni!$IC$5</f>
        <v>0</v>
      </c>
      <c r="F11" s="152">
        <f>[3]Xtra!$IC$16+[3]Xtra!$IC$5</f>
        <v>0</v>
      </c>
      <c r="G11" s="269">
        <f>SUM(B11:F11)</f>
        <v>0</v>
      </c>
    </row>
    <row r="12" spans="1:17" ht="15.75" thickBot="1" x14ac:dyDescent="0.3">
      <c r="A12" s="215" t="s">
        <v>28</v>
      </c>
      <c r="B12" s="339">
        <f>SUM(B10:B11)</f>
        <v>0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0</v>
      </c>
      <c r="Q12" s="96"/>
    </row>
    <row r="17" spans="1:16" x14ac:dyDescent="0.2">
      <c r="B17" s="459" t="s">
        <v>150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1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5"/>
      <c r="B19" s="462" t="s">
        <v>118</v>
      </c>
      <c r="C19" s="463"/>
      <c r="D19" s="463"/>
      <c r="E19" s="464"/>
      <c r="G19" s="462" t="s">
        <v>119</v>
      </c>
      <c r="H19" s="465"/>
      <c r="I19" s="465"/>
      <c r="J19" s="466"/>
      <c r="L19" s="467" t="s">
        <v>120</v>
      </c>
      <c r="M19" s="468"/>
      <c r="N19" s="468"/>
      <c r="O19" s="469"/>
    </row>
    <row r="20" spans="1:16" ht="13.5" thickBot="1" x14ac:dyDescent="0.25">
      <c r="A20" s="177" t="s">
        <v>99</v>
      </c>
      <c r="B20" s="182" t="s">
        <v>100</v>
      </c>
      <c r="C20" s="436" t="s">
        <v>101</v>
      </c>
      <c r="D20" s="436" t="s">
        <v>241</v>
      </c>
      <c r="E20" s="433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5">
        <f>+[4]Charter!B21</f>
        <v>79230</v>
      </c>
      <c r="C21" s="434">
        <f>+[4]Charter!C21</f>
        <v>75084</v>
      </c>
      <c r="D21" s="434">
        <f>SUM(B21:C21)</f>
        <v>154314</v>
      </c>
      <c r="E21" s="266">
        <f>[5]Charter!$D$21</f>
        <v>56397</v>
      </c>
      <c r="F21" s="268">
        <f t="shared" ref="F21:F32" si="0">(D21-E21)/E21</f>
        <v>1.7362093728389807</v>
      </c>
      <c r="G21" s="263">
        <f>+[4]Charter!G21</f>
        <v>914675</v>
      </c>
      <c r="H21" s="264">
        <f>+[4]Charter!H21</f>
        <v>927833</v>
      </c>
      <c r="I21" s="446">
        <f t="shared" ref="I21" si="1">SUM(G21:H21)</f>
        <v>1842508</v>
      </c>
      <c r="J21" s="265">
        <f>[5]Charter!$I$21</f>
        <v>1054440</v>
      </c>
      <c r="K21" s="187">
        <f t="shared" ref="K21:K32" si="2">(I21-J21)/J21</f>
        <v>0.74738060012897845</v>
      </c>
      <c r="L21" s="263">
        <f>+[4]Charter!L21</f>
        <v>993905</v>
      </c>
      <c r="M21" s="264">
        <f>+[4]Charter!M21</f>
        <v>1002917</v>
      </c>
      <c r="N21" s="446">
        <f t="shared" ref="N21:N26" si="3">SUM(L21:M21)</f>
        <v>1996822</v>
      </c>
      <c r="O21" s="447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5">
        <f>+[6]Charter!B22</f>
        <v>81540</v>
      </c>
      <c r="C22" s="434">
        <f>+[6]Charter!C22</f>
        <v>88358</v>
      </c>
      <c r="D22" s="434">
        <f t="shared" ref="D22" si="4">SUM(B22:C22)</f>
        <v>169898</v>
      </c>
      <c r="E22" s="267">
        <f>[7]Charter!D22</f>
        <v>46280</v>
      </c>
      <c r="F22" s="262">
        <f t="shared" si="0"/>
        <v>2.6710890233362146</v>
      </c>
      <c r="G22" s="435">
        <f t="shared" ref="G22" si="5">L22-B22</f>
        <v>947971</v>
      </c>
      <c r="H22" s="434">
        <f t="shared" ref="H22" si="6">M22-C22</f>
        <v>977482</v>
      </c>
      <c r="I22" s="434">
        <f t="shared" ref="I22" si="7">SUM(G22:H22)</f>
        <v>1925453</v>
      </c>
      <c r="J22" s="267">
        <f>[7]Charter!I22</f>
        <v>1076686</v>
      </c>
      <c r="K22" s="190">
        <f t="shared" si="2"/>
        <v>0.78831432748266439</v>
      </c>
      <c r="L22" s="435">
        <f>+[6]Charter!L22</f>
        <v>1029511</v>
      </c>
      <c r="M22" s="434">
        <f>+[6]Charter!M22</f>
        <v>1065840</v>
      </c>
      <c r="N22" s="434">
        <f t="shared" si="3"/>
        <v>2095351</v>
      </c>
      <c r="O22" s="267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5">
        <f>+[8]Charter!B23</f>
        <v>123497</v>
      </c>
      <c r="C23" s="434">
        <f>+[8]Charter!C23</f>
        <v>125169</v>
      </c>
      <c r="D23" s="434">
        <f t="shared" ref="D23" si="9">SUM(B23:C23)</f>
        <v>248666</v>
      </c>
      <c r="E23" s="267">
        <f>[9]Charter!D23</f>
        <v>78196</v>
      </c>
      <c r="F23" s="189">
        <f t="shared" si="0"/>
        <v>2.1800347843879484</v>
      </c>
      <c r="G23" s="435">
        <f t="shared" ref="G23" si="10">L23-B23</f>
        <v>1278578</v>
      </c>
      <c r="H23" s="434">
        <f t="shared" ref="H23" si="11">M23-C23</f>
        <v>1301724</v>
      </c>
      <c r="I23" s="434">
        <f t="shared" ref="I23" si="12">SUM(G23:H23)</f>
        <v>2580302</v>
      </c>
      <c r="J23" s="267">
        <f>[9]Charter!I23</f>
        <v>1642699</v>
      </c>
      <c r="K23" s="190">
        <f t="shared" si="2"/>
        <v>0.57076981236367708</v>
      </c>
      <c r="L23" s="435">
        <f>+[8]Charter!L23</f>
        <v>1402075</v>
      </c>
      <c r="M23" s="434">
        <f>+[8]Charter!M23</f>
        <v>1426893</v>
      </c>
      <c r="N23" s="434">
        <f t="shared" si="3"/>
        <v>2828968</v>
      </c>
      <c r="O23" s="267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5">
        <f>+[10]Charter!B24</f>
        <v>82562</v>
      </c>
      <c r="C24" s="434">
        <f>+[10]Charter!C24</f>
        <v>71256</v>
      </c>
      <c r="D24" s="434">
        <f t="shared" ref="D24" si="13">SUM(B24:C24)</f>
        <v>153818</v>
      </c>
      <c r="E24" s="267">
        <f>[11]Charter!D24</f>
        <v>49936</v>
      </c>
      <c r="F24" s="189">
        <f t="shared" si="0"/>
        <v>2.0803027875680873</v>
      </c>
      <c r="G24" s="435">
        <f t="shared" ref="G24" si="14">L24-B24</f>
        <v>1258721</v>
      </c>
      <c r="H24" s="434">
        <f t="shared" ref="H24" si="15">M24-C24</f>
        <v>1186481</v>
      </c>
      <c r="I24" s="434">
        <f t="shared" ref="I24" si="16">SUM(G24:H24)</f>
        <v>2445202</v>
      </c>
      <c r="J24" s="267">
        <f>[11]Charter!I24</f>
        <v>1634797</v>
      </c>
      <c r="K24" s="190">
        <f t="shared" si="2"/>
        <v>0.49572209882939594</v>
      </c>
      <c r="L24" s="435">
        <f>+[10]Charter!L24</f>
        <v>1341283</v>
      </c>
      <c r="M24" s="434">
        <f>+[10]Charter!M24</f>
        <v>1257737</v>
      </c>
      <c r="N24" s="434">
        <f t="shared" si="3"/>
        <v>2599020</v>
      </c>
      <c r="O24" s="267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5">
        <f>+[12]Charter!B25</f>
        <v>57347</v>
      </c>
      <c r="C25" s="434">
        <f>+[12]Charter!C25</f>
        <v>73929</v>
      </c>
      <c r="D25" s="434">
        <f t="shared" ref="D25" si="17">SUM(B25:C25)</f>
        <v>131276</v>
      </c>
      <c r="E25" s="267">
        <f>[13]Charter!D25</f>
        <v>31864</v>
      </c>
      <c r="F25" s="178">
        <f t="shared" si="0"/>
        <v>3.1198845091639469</v>
      </c>
      <c r="G25" s="435">
        <f t="shared" ref="G25" si="18">L25-B25</f>
        <v>1304355</v>
      </c>
      <c r="H25" s="434">
        <f t="shared" ref="H25" si="19">M25-C25</f>
        <v>1261482</v>
      </c>
      <c r="I25" s="434">
        <f t="shared" ref="I25" si="20">SUM(G25:H25)</f>
        <v>2565837</v>
      </c>
      <c r="J25" s="267">
        <f>[13]Charter!I25</f>
        <v>2056407</v>
      </c>
      <c r="K25" s="184">
        <f t="shared" si="2"/>
        <v>0.24772819777407876</v>
      </c>
      <c r="L25" s="435">
        <f>+[12]Charter!L25</f>
        <v>1361702</v>
      </c>
      <c r="M25" s="434">
        <f>+[12]Charter!M25</f>
        <v>1335411</v>
      </c>
      <c r="N25" s="434">
        <f t="shared" si="3"/>
        <v>2697113</v>
      </c>
      <c r="O25" s="267">
        <f>[13]Charter!N25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5">
        <f>+[14]Charter!B26</f>
        <v>85825</v>
      </c>
      <c r="C26" s="434">
        <f>+[14]Charter!C26</f>
        <v>94178</v>
      </c>
      <c r="D26" s="434">
        <f t="shared" ref="D26" si="21">SUM(B26:C26)</f>
        <v>180003</v>
      </c>
      <c r="E26" s="267">
        <f>[15]Charter!D26</f>
        <v>42467</v>
      </c>
      <c r="F26" s="189">
        <f t="shared" si="0"/>
        <v>3.2386558975204278</v>
      </c>
      <c r="G26" s="435">
        <f t="shared" ref="G26" si="22">L26-B26</f>
        <v>1343898</v>
      </c>
      <c r="H26" s="434">
        <f t="shared" ref="H26" si="23">M26-C26</f>
        <v>1322980</v>
      </c>
      <c r="I26" s="434">
        <f t="shared" ref="I26" si="24">SUM(G26:H26)</f>
        <v>2666878</v>
      </c>
      <c r="J26" s="267">
        <f>[15]Charter!I26</f>
        <v>2395931</v>
      </c>
      <c r="K26" s="190">
        <f t="shared" si="2"/>
        <v>0.11308631175104793</v>
      </c>
      <c r="L26" s="435">
        <f>+[14]Charter!L26</f>
        <v>1429723</v>
      </c>
      <c r="M26" s="434">
        <f>+[14]Charter!M26</f>
        <v>1417158</v>
      </c>
      <c r="N26" s="434">
        <f t="shared" si="3"/>
        <v>2846881</v>
      </c>
      <c r="O26" s="267">
        <f>[15]Charter!N26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435">
        <f>+[16]Charter!B27</f>
        <v>94721</v>
      </c>
      <c r="C27" s="434">
        <f>+[16]Charter!C27</f>
        <v>85909</v>
      </c>
      <c r="D27" s="434">
        <f t="shared" ref="D27" si="25">SUM(B27:C27)</f>
        <v>180630</v>
      </c>
      <c r="E27" s="267">
        <f>[17]Charter!D27</f>
        <v>63577</v>
      </c>
      <c r="F27" s="178">
        <f t="shared" si="0"/>
        <v>1.8411217893263288</v>
      </c>
      <c r="G27" s="435">
        <f t="shared" ref="G27" si="26">L27-B27</f>
        <v>1385146</v>
      </c>
      <c r="H27" s="434">
        <f t="shared" ref="H27" si="27">M27-C27</f>
        <v>1393042</v>
      </c>
      <c r="I27" s="434">
        <f t="shared" ref="I27" si="28">SUM(G27:H27)</f>
        <v>2778188</v>
      </c>
      <c r="J27" s="267">
        <f>[17]Charter!I27</f>
        <v>2795105</v>
      </c>
      <c r="K27" s="184">
        <f t="shared" si="2"/>
        <v>-6.0523665479472145E-3</v>
      </c>
      <c r="L27" s="435">
        <f>+[16]Charter!L27</f>
        <v>1479867</v>
      </c>
      <c r="M27" s="434">
        <f>+[16]Charter!M27</f>
        <v>1478951</v>
      </c>
      <c r="N27" s="434">
        <f t="shared" ref="N27" si="29">SUM(L27:M27)</f>
        <v>2958818</v>
      </c>
      <c r="O27" s="267">
        <f>[17]Charter!N27</f>
        <v>2858682</v>
      </c>
      <c r="P27" s="178">
        <f t="shared" si="8"/>
        <v>3.5028730023136535E-2</v>
      </c>
    </row>
    <row r="28" spans="1:16" ht="14.1" customHeight="1" x14ac:dyDescent="0.2">
      <c r="A28" s="188" t="s">
        <v>108</v>
      </c>
      <c r="B28" s="435">
        <f>+[18]Charter!B28</f>
        <v>94137</v>
      </c>
      <c r="C28" s="434">
        <f>+[18]Charter!C28</f>
        <v>87466</v>
      </c>
      <c r="D28" s="434">
        <f t="shared" ref="D28" si="30">SUM(B28:C28)</f>
        <v>181603</v>
      </c>
      <c r="E28" s="267">
        <f>[19]Charter!D28</f>
        <v>67922</v>
      </c>
      <c r="F28" s="189">
        <f t="shared" si="0"/>
        <v>1.6736992432496098</v>
      </c>
      <c r="G28" s="435">
        <f t="shared" ref="G28" si="31">L28-B28</f>
        <v>1367706</v>
      </c>
      <c r="H28" s="434">
        <f t="shared" ref="H28" si="32">M28-C28</f>
        <v>1363902</v>
      </c>
      <c r="I28" s="434">
        <f t="shared" ref="I28" si="33">SUM(G28:H28)</f>
        <v>2731608</v>
      </c>
      <c r="J28" s="267">
        <f>[19]Charter!I28</f>
        <v>2595445</v>
      </c>
      <c r="K28" s="190">
        <f t="shared" si="2"/>
        <v>5.2462294519822227E-2</v>
      </c>
      <c r="L28" s="435">
        <f>+[18]Charter!L28</f>
        <v>1461843</v>
      </c>
      <c r="M28" s="434">
        <f>+[18]Charter!M28</f>
        <v>1451368</v>
      </c>
      <c r="N28" s="434">
        <f t="shared" ref="N28" si="34">SUM(L28:M28)</f>
        <v>2913211</v>
      </c>
      <c r="O28" s="267">
        <f>[19]Charter!N28</f>
        <v>2663367</v>
      </c>
      <c r="P28" s="189">
        <f t="shared" si="8"/>
        <v>9.3807575148299127E-2</v>
      </c>
    </row>
    <row r="29" spans="1:16" ht="14.1" customHeight="1" x14ac:dyDescent="0.2">
      <c r="A29" s="175" t="s">
        <v>109</v>
      </c>
      <c r="B29" s="435">
        <f>+[20]Charter!B29</f>
        <v>72885</v>
      </c>
      <c r="C29" s="434">
        <f>+[20]Charter!C29</f>
        <v>73450</v>
      </c>
      <c r="D29" s="434">
        <f t="shared" ref="D29" si="35">SUM(B29:C29)</f>
        <v>146335</v>
      </c>
      <c r="E29" s="267">
        <f>[21]Charter!D29</f>
        <v>60381</v>
      </c>
      <c r="F29" s="178">
        <f t="shared" si="0"/>
        <v>1.4235272685116178</v>
      </c>
      <c r="G29" s="435">
        <f t="shared" ref="G29" si="36">L29-B29</f>
        <v>1224486</v>
      </c>
      <c r="H29" s="434">
        <f t="shared" ref="H29" si="37">M29-C29</f>
        <v>1226782</v>
      </c>
      <c r="I29" s="434">
        <f t="shared" ref="I29" si="38">SUM(G29:H29)</f>
        <v>2451268</v>
      </c>
      <c r="J29" s="267">
        <f>[21]Charter!I29</f>
        <v>2267332</v>
      </c>
      <c r="K29" s="184">
        <f t="shared" si="2"/>
        <v>8.1124422889987002E-2</v>
      </c>
      <c r="L29" s="435">
        <f>+[20]Charter!L29</f>
        <v>1297371</v>
      </c>
      <c r="M29" s="434">
        <f>+[20]Charter!M29</f>
        <v>1300232</v>
      </c>
      <c r="N29" s="434">
        <f t="shared" ref="N29" si="39">SUM(L29:M29)</f>
        <v>2597603</v>
      </c>
      <c r="O29" s="267">
        <f>[21]Charter!N29</f>
        <v>2327713</v>
      </c>
      <c r="P29" s="178">
        <f t="shared" si="8"/>
        <v>0.11594642466661483</v>
      </c>
    </row>
    <row r="30" spans="1:16" ht="14.1" customHeight="1" x14ac:dyDescent="0.2">
      <c r="A30" s="188" t="s">
        <v>110</v>
      </c>
      <c r="B30" s="435">
        <f>+[22]Charter!B30</f>
        <v>70829</v>
      </c>
      <c r="C30" s="434">
        <f>+[22]Charter!C30</f>
        <v>67477</v>
      </c>
      <c r="D30" s="434">
        <f t="shared" ref="D30" si="40">SUM(B30:C30)</f>
        <v>138306</v>
      </c>
      <c r="E30" s="267">
        <f>[23]Charter!D30</f>
        <v>57177</v>
      </c>
      <c r="F30" s="189">
        <f t="shared" si="0"/>
        <v>1.4189097014533816</v>
      </c>
      <c r="G30" s="435">
        <f t="shared" ref="G30" si="41">L30-B30</f>
        <v>1267295</v>
      </c>
      <c r="H30" s="434">
        <f t="shared" ref="H30" si="42">M30-C30</f>
        <v>1284252</v>
      </c>
      <c r="I30" s="434">
        <f t="shared" ref="I30" si="43">SUM(G30:H30)</f>
        <v>2551547</v>
      </c>
      <c r="J30" s="267">
        <f>[23]Charter!I30</f>
        <v>2429943</v>
      </c>
      <c r="K30" s="190">
        <f t="shared" si="2"/>
        <v>5.0043972224862884E-2</v>
      </c>
      <c r="L30" s="435">
        <f>+[22]Charter!L30</f>
        <v>1338124</v>
      </c>
      <c r="M30" s="434">
        <f>+[22]Charter!M30</f>
        <v>1351729</v>
      </c>
      <c r="N30" s="434">
        <f t="shared" ref="N30" si="44">SUM(L30:M30)</f>
        <v>2689853</v>
      </c>
      <c r="O30" s="267">
        <f>[23]Charter!N30</f>
        <v>2487120</v>
      </c>
      <c r="P30" s="189">
        <f t="shared" si="8"/>
        <v>8.1513155778571197E-2</v>
      </c>
    </row>
    <row r="31" spans="1:16" ht="14.1" customHeight="1" x14ac:dyDescent="0.2">
      <c r="A31" s="175" t="s">
        <v>111</v>
      </c>
      <c r="B31" s="435">
        <f>+[2]Charter!B31</f>
        <v>72361</v>
      </c>
      <c r="C31" s="434">
        <f>+[2]Charter!C31</f>
        <v>76166</v>
      </c>
      <c r="D31" s="434">
        <f t="shared" ref="D31" si="45">SUM(B31:C31)</f>
        <v>148527</v>
      </c>
      <c r="E31" s="267">
        <f>[24]Charter!D31</f>
        <v>65728</v>
      </c>
      <c r="F31" s="178">
        <f t="shared" si="0"/>
        <v>1.2597218841285296</v>
      </c>
      <c r="G31" s="435">
        <f t="shared" ref="G31" si="46">L31-B31</f>
        <v>1186457</v>
      </c>
      <c r="H31" s="434">
        <f t="shared" ref="H31" si="47">M31-C31</f>
        <v>1190743</v>
      </c>
      <c r="I31" s="434">
        <f t="shared" ref="I31" si="48">SUM(G31:H31)</f>
        <v>2377200</v>
      </c>
      <c r="J31" s="267">
        <f>[24]Charter!I31</f>
        <v>2323828</v>
      </c>
      <c r="K31" s="184">
        <f t="shared" si="2"/>
        <v>2.2967276407720366E-2</v>
      </c>
      <c r="L31" s="435">
        <f>+[2]Charter!L31</f>
        <v>1258818</v>
      </c>
      <c r="M31" s="434">
        <f>+[2]Charter!M31</f>
        <v>1266909</v>
      </c>
      <c r="N31" s="434">
        <f t="shared" ref="N31" si="49">SUM(L31:M31)</f>
        <v>2525727</v>
      </c>
      <c r="O31" s="267">
        <f>[24]Charter!N31</f>
        <v>2389556</v>
      </c>
      <c r="P31" s="178">
        <f t="shared" si="8"/>
        <v>5.6985900309513567E-2</v>
      </c>
    </row>
    <row r="32" spans="1:16" ht="14.1" customHeight="1" x14ac:dyDescent="0.2">
      <c r="A32" s="191" t="s">
        <v>112</v>
      </c>
      <c r="B32" s="435">
        <f>+'Intl Detail'!$Q$4+'Intl Detail'!$Q$9</f>
        <v>87802</v>
      </c>
      <c r="C32" s="434">
        <f>+'Intl Detail'!$Q$5+'Intl Detail'!$Q$10</f>
        <v>118631</v>
      </c>
      <c r="D32" s="434">
        <f t="shared" ref="D32" si="50">SUM(B32:C32)</f>
        <v>206433</v>
      </c>
      <c r="E32" s="267">
        <f>[1]Charter!D32</f>
        <v>120954</v>
      </c>
      <c r="F32" s="192">
        <f t="shared" si="0"/>
        <v>0.70670668187906149</v>
      </c>
      <c r="G32" s="435">
        <f t="shared" ref="G32" si="51">L32-B32</f>
        <v>1145714</v>
      </c>
      <c r="H32" s="434">
        <f t="shared" ref="H32" si="52">M32-C32</f>
        <v>1140308</v>
      </c>
      <c r="I32" s="434">
        <f t="shared" ref="I32" si="53">SUM(G32:H32)</f>
        <v>2286022</v>
      </c>
      <c r="J32" s="267">
        <f>[1]Charter!I32</f>
        <v>2188628</v>
      </c>
      <c r="K32" s="192">
        <f t="shared" si="2"/>
        <v>4.4500024672991481E-2</v>
      </c>
      <c r="L32" s="435">
        <f>+'Monthly Summary'!$B$11</f>
        <v>1233516</v>
      </c>
      <c r="M32" s="434">
        <f>+'Monthly Summary'!$C$11</f>
        <v>1258939</v>
      </c>
      <c r="N32" s="434">
        <f t="shared" ref="N32" si="54">SUM(L32:M32)</f>
        <v>2492455</v>
      </c>
      <c r="O32" s="267">
        <f>[1]Charter!N32</f>
        <v>2309582</v>
      </c>
      <c r="P32" s="192">
        <f t="shared" si="8"/>
        <v>7.9180128698612989E-2</v>
      </c>
    </row>
    <row r="33" spans="1:16" ht="13.5" thickBot="1" x14ac:dyDescent="0.25">
      <c r="A33" s="185" t="s">
        <v>76</v>
      </c>
      <c r="B33" s="195">
        <f>SUM(B21:B32)</f>
        <v>1002736</v>
      </c>
      <c r="C33" s="196">
        <f>SUM(C21:C32)</f>
        <v>1037073</v>
      </c>
      <c r="D33" s="196">
        <f>SUM(D21:D32)</f>
        <v>2039809</v>
      </c>
      <c r="E33" s="197">
        <f>SUM(E21:E32)</f>
        <v>740879</v>
      </c>
      <c r="F33" s="180">
        <f>(D33-E33)/E33</f>
        <v>1.7532282599452813</v>
      </c>
      <c r="G33" s="198">
        <f>SUM(G21:G32)</f>
        <v>14625002</v>
      </c>
      <c r="H33" s="196">
        <f>SUM(H21:H32)</f>
        <v>14577011</v>
      </c>
      <c r="I33" s="196">
        <f>SUM(I21:I32)</f>
        <v>29202013</v>
      </c>
      <c r="J33" s="199">
        <f>SUM(J21:J32)</f>
        <v>24461241</v>
      </c>
      <c r="K33" s="181">
        <f>(I33-J33)/J33</f>
        <v>0.19380750142644029</v>
      </c>
      <c r="L33" s="198">
        <f>SUM(L21:L32)</f>
        <v>15627738</v>
      </c>
      <c r="M33" s="196">
        <f>SUM(M21:M32)</f>
        <v>15614084</v>
      </c>
      <c r="N33" s="196">
        <f>SUM(N21:N32)</f>
        <v>31241822</v>
      </c>
      <c r="O33" s="197">
        <f>SUM(O21:O32)</f>
        <v>25202120</v>
      </c>
      <c r="P33" s="179">
        <f>(N33-O33)/O33</f>
        <v>0.23965055320742859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December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P39" sqref="P38:P3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0" t="s">
        <v>204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2"/>
    </row>
    <row r="2" spans="1:23" s="28" customFormat="1" ht="43.5" customHeight="1" thickBot="1" x14ac:dyDescent="0.25">
      <c r="A2" s="439">
        <v>44896</v>
      </c>
      <c r="B2" s="348" t="s">
        <v>200</v>
      </c>
      <c r="C2" s="348" t="s">
        <v>176</v>
      </c>
      <c r="D2" s="348" t="s">
        <v>232</v>
      </c>
      <c r="E2" s="391" t="s">
        <v>234</v>
      </c>
      <c r="F2" s="391" t="s">
        <v>233</v>
      </c>
      <c r="G2" s="348" t="s">
        <v>205</v>
      </c>
      <c r="H2" s="348" t="s">
        <v>248</v>
      </c>
      <c r="I2" s="391" t="s">
        <v>202</v>
      </c>
      <c r="J2" s="349" t="s">
        <v>81</v>
      </c>
      <c r="K2" s="391" t="s">
        <v>177</v>
      </c>
      <c r="L2" s="348" t="s">
        <v>206</v>
      </c>
      <c r="M2" s="391" t="s">
        <v>85</v>
      </c>
      <c r="N2" s="348" t="s">
        <v>207</v>
      </c>
      <c r="O2" s="348" t="s">
        <v>208</v>
      </c>
      <c r="P2" s="348" t="s">
        <v>209</v>
      </c>
      <c r="Q2" s="349" t="s">
        <v>82</v>
      </c>
      <c r="R2" s="391" t="s">
        <v>127</v>
      </c>
      <c r="S2" s="391" t="s">
        <v>21</v>
      </c>
    </row>
    <row r="3" spans="1:23" ht="15" x14ac:dyDescent="0.25">
      <c r="A3" s="158" t="s">
        <v>9</v>
      </c>
      <c r="B3" s="398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399"/>
      <c r="U3" s="367"/>
      <c r="V3" s="367"/>
      <c r="W3" s="367"/>
    </row>
    <row r="4" spans="1:23" x14ac:dyDescent="0.2">
      <c r="A4" s="38" t="s">
        <v>53</v>
      </c>
      <c r="B4" s="193">
        <f>'[3]Atlas Air'!$IC$4</f>
        <v>31</v>
      </c>
      <c r="C4" s="133">
        <f>[3]DHL!$IC$4+[3]DHL_Atlas!$IC$4+[3]DHL_Atlas!$IC$8+[3]DHL_Atlas!$IC$15</f>
        <v>1</v>
      </c>
      <c r="D4" s="133">
        <f>[3]Airborne!$IC$4+[3]Airborne!$IC$15</f>
        <v>0</v>
      </c>
      <c r="E4" s="96">
        <f>[3]DHL_Bemidji!$IC$4</f>
        <v>27</v>
      </c>
      <c r="F4" s="96">
        <f>[3]Bemidji!$IC$4</f>
        <v>250</v>
      </c>
      <c r="G4" s="133">
        <f>[3]DHL_Encore!$IC$4+[3]DHL_Encore!$IC$15</f>
        <v>0</v>
      </c>
      <c r="H4" s="133">
        <f>[3]DHL_Mesa!$IC$4+[3]DHL_Mesa!$IC$15</f>
        <v>40</v>
      </c>
      <c r="I4" s="133">
        <f>[3]Encore!$IC$4+[3]Encore!$IC$15</f>
        <v>0</v>
      </c>
      <c r="J4" s="133">
        <f>[3]FedEx!$IC$4+[3]FedEx!$IC$15</f>
        <v>136</v>
      </c>
      <c r="K4" s="133">
        <f>[3]IFL!$IC$4+[3]IFL!$IC$15</f>
        <v>14</v>
      </c>
      <c r="L4" s="133">
        <f>[3]DHL_Kalitta!$IC$4+[3]DHL_Kalitta!$IC$15</f>
        <v>0</v>
      </c>
      <c r="M4" s="96">
        <f>'[3]Mountain Cargo'!$IC$4</f>
        <v>16</v>
      </c>
      <c r="N4" s="133">
        <f>[3]DHL_Southair!$IC$4+[3]DHL_Southair!$IC$15</f>
        <v>0</v>
      </c>
      <c r="O4" s="133">
        <f>[3]DHL_Swift!$IC$4+[3]DHL_Swift!$IC$15</f>
        <v>7</v>
      </c>
      <c r="P4" s="133">
        <f>+'[3]Sun Country Cargo'!$IC$4+'[3]Sun Country Cargo'!$IC$8+'[3]Sun Country Cargo'!$IC$15</f>
        <v>59</v>
      </c>
      <c r="Q4" s="133">
        <f>[3]UPS!$IC$4+[3]UPS!$IC$15</f>
        <v>185</v>
      </c>
      <c r="R4" s="96">
        <f>'[3]Misc Cargo'!$IC$4</f>
        <v>0</v>
      </c>
      <c r="S4" s="400">
        <f>SUM(B4:R4)</f>
        <v>766</v>
      </c>
      <c r="U4" s="367"/>
      <c r="V4" s="360"/>
      <c r="W4" s="231"/>
    </row>
    <row r="5" spans="1:23" x14ac:dyDescent="0.2">
      <c r="A5" s="38" t="s">
        <v>54</v>
      </c>
      <c r="B5" s="401">
        <f>'[3]Atlas Air'!$IC$5</f>
        <v>31</v>
      </c>
      <c r="C5" s="157">
        <f>[3]DHL!$IC$5+[3]DHL_Atlas!$IC$5+[3]DHL_Atlas!$IC$9+[3]DHL_Atlas!$IC$16</f>
        <v>1</v>
      </c>
      <c r="D5" s="157">
        <f>[3]Airborne!$IC$5</f>
        <v>0</v>
      </c>
      <c r="E5" s="97">
        <f>[3]DHL_Bemidji!$IC$5</f>
        <v>27</v>
      </c>
      <c r="F5" s="97">
        <f>[3]Bemidji!$IC$5</f>
        <v>250</v>
      </c>
      <c r="G5" s="157">
        <f>[3]DHL_Encore!$IC$5</f>
        <v>0</v>
      </c>
      <c r="H5" s="157">
        <f>[3]DHL_Mesa!$IC$5</f>
        <v>40</v>
      </c>
      <c r="I5" s="157">
        <f>[3]Encore!$IC$5</f>
        <v>0</v>
      </c>
      <c r="J5" s="157">
        <f>[3]FedEx!$IC$5</f>
        <v>136</v>
      </c>
      <c r="K5" s="157">
        <f>[3]IFL!$IC$5</f>
        <v>14</v>
      </c>
      <c r="L5" s="157">
        <f>[3]DHL_Kalitta!$IC$5</f>
        <v>0</v>
      </c>
      <c r="M5" s="97">
        <f>'[3]Mountain Cargo'!$IC$5</f>
        <v>16</v>
      </c>
      <c r="N5" s="157">
        <f>[3]DHL_Southair!$IC$5</f>
        <v>0</v>
      </c>
      <c r="O5" s="157">
        <f>[3]DHL_Swift!$IC$5</f>
        <v>7</v>
      </c>
      <c r="P5" s="157">
        <f>+'[3]Sun Country Cargo'!$IC$5+'[3]Sun Country Cargo'!$IC$9+'[3]Sun Country Cargo'!$IC$16</f>
        <v>58</v>
      </c>
      <c r="Q5" s="157">
        <f>[3]UPS!$IC$5+[3]UPS!$IC$16</f>
        <v>185</v>
      </c>
      <c r="R5" s="97">
        <f>'[3]Misc Cargo'!$IC$5</f>
        <v>0</v>
      </c>
      <c r="S5" s="400">
        <f>SUM(B5:R5)</f>
        <v>765</v>
      </c>
      <c r="U5" s="367"/>
      <c r="V5" s="360"/>
      <c r="W5" s="231"/>
    </row>
    <row r="6" spans="1:23" s="156" customFormat="1" x14ac:dyDescent="0.2">
      <c r="A6" s="160" t="s">
        <v>55</v>
      </c>
      <c r="B6" s="402">
        <f t="shared" ref="B6:R6" si="0">SUM(B4:B5)</f>
        <v>62</v>
      </c>
      <c r="C6" s="403">
        <f t="shared" si="0"/>
        <v>2</v>
      </c>
      <c r="D6" s="403">
        <f t="shared" ref="D6:E6" si="1">SUM(D4:D5)</f>
        <v>0</v>
      </c>
      <c r="E6" s="94">
        <f t="shared" si="1"/>
        <v>54</v>
      </c>
      <c r="F6" s="94">
        <f t="shared" si="0"/>
        <v>500</v>
      </c>
      <c r="G6" s="403">
        <f t="shared" si="0"/>
        <v>0</v>
      </c>
      <c r="H6" s="403">
        <f t="shared" ref="H6" si="2">SUM(H4:H5)</f>
        <v>80</v>
      </c>
      <c r="I6" s="403">
        <f t="shared" si="0"/>
        <v>0</v>
      </c>
      <c r="J6" s="403">
        <f t="shared" si="0"/>
        <v>272</v>
      </c>
      <c r="K6" s="403">
        <f t="shared" si="0"/>
        <v>28</v>
      </c>
      <c r="L6" s="403">
        <f t="shared" si="0"/>
        <v>0</v>
      </c>
      <c r="M6" s="94">
        <f t="shared" si="0"/>
        <v>32</v>
      </c>
      <c r="N6" s="403">
        <f t="shared" si="0"/>
        <v>0</v>
      </c>
      <c r="O6" s="403">
        <f t="shared" si="0"/>
        <v>14</v>
      </c>
      <c r="P6" s="403">
        <f t="shared" si="0"/>
        <v>117</v>
      </c>
      <c r="Q6" s="403">
        <f t="shared" si="0"/>
        <v>370</v>
      </c>
      <c r="R6" s="94">
        <f t="shared" si="0"/>
        <v>0</v>
      </c>
      <c r="S6" s="400">
        <f t="shared" ref="S6:S10" si="3">SUM(B6:R6)</f>
        <v>1531</v>
      </c>
      <c r="W6" s="309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0"/>
      <c r="U7" s="345"/>
      <c r="V7" s="367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Cargo'!$IC$8</f>
        <v>0</v>
      </c>
      <c r="S8" s="400">
        <f t="shared" si="3"/>
        <v>0</v>
      </c>
      <c r="U8" s="367"/>
      <c r="V8" s="367"/>
      <c r="W8" s="231"/>
    </row>
    <row r="9" spans="1:23" ht="15" x14ac:dyDescent="0.25">
      <c r="A9" s="38" t="s">
        <v>57</v>
      </c>
      <c r="B9" s="401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Cargo'!$IC$9</f>
        <v>0</v>
      </c>
      <c r="S9" s="400">
        <f t="shared" si="3"/>
        <v>0</v>
      </c>
      <c r="U9" s="367"/>
      <c r="V9" s="8"/>
      <c r="W9" s="231"/>
    </row>
    <row r="10" spans="1:23" s="156" customFormat="1" x14ac:dyDescent="0.2">
      <c r="A10" s="160" t="s">
        <v>58</v>
      </c>
      <c r="B10" s="402">
        <f t="shared" ref="B10:R10" si="4">SUM(B8:B9)</f>
        <v>0</v>
      </c>
      <c r="C10" s="403">
        <f t="shared" si="4"/>
        <v>0</v>
      </c>
      <c r="D10" s="403">
        <f t="shared" ref="D10:E10" si="5">SUM(D8:D9)</f>
        <v>0</v>
      </c>
      <c r="E10" s="94">
        <f t="shared" si="5"/>
        <v>0</v>
      </c>
      <c r="F10" s="94">
        <f t="shared" si="4"/>
        <v>0</v>
      </c>
      <c r="G10" s="403">
        <f t="shared" si="4"/>
        <v>0</v>
      </c>
      <c r="H10" s="403">
        <f t="shared" ref="H10" si="6">SUM(H8:H9)</f>
        <v>0</v>
      </c>
      <c r="I10" s="403">
        <f t="shared" si="4"/>
        <v>0</v>
      </c>
      <c r="J10" s="403">
        <f t="shared" si="4"/>
        <v>0</v>
      </c>
      <c r="K10" s="403">
        <f t="shared" si="4"/>
        <v>0</v>
      </c>
      <c r="L10" s="403">
        <f t="shared" si="4"/>
        <v>0</v>
      </c>
      <c r="M10" s="94">
        <f t="shared" si="4"/>
        <v>0</v>
      </c>
      <c r="N10" s="403">
        <f t="shared" si="4"/>
        <v>0</v>
      </c>
      <c r="O10" s="403">
        <f t="shared" si="4"/>
        <v>0</v>
      </c>
      <c r="P10" s="403">
        <f t="shared" si="4"/>
        <v>0</v>
      </c>
      <c r="Q10" s="403">
        <f t="shared" si="4"/>
        <v>0</v>
      </c>
      <c r="R10" s="94">
        <f t="shared" si="4"/>
        <v>0</v>
      </c>
      <c r="S10" s="400">
        <f t="shared" si="3"/>
        <v>0</v>
      </c>
      <c r="W10" s="309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4"/>
      <c r="U11" s="367"/>
      <c r="V11" s="367"/>
      <c r="W11" s="231"/>
    </row>
    <row r="12" spans="1:23" ht="18" customHeight="1" thickBot="1" x14ac:dyDescent="0.25">
      <c r="A12" s="161" t="s">
        <v>28</v>
      </c>
      <c r="B12" s="405">
        <f t="shared" ref="B12:R12" si="7">B6+B10</f>
        <v>62</v>
      </c>
      <c r="C12" s="162">
        <f t="shared" si="7"/>
        <v>2</v>
      </c>
      <c r="D12" s="162">
        <f t="shared" ref="D12:E12" si="8">D6+D10</f>
        <v>0</v>
      </c>
      <c r="E12" s="163">
        <f t="shared" si="8"/>
        <v>54</v>
      </c>
      <c r="F12" s="163">
        <f t="shared" si="7"/>
        <v>500</v>
      </c>
      <c r="G12" s="162">
        <f t="shared" si="7"/>
        <v>0</v>
      </c>
      <c r="H12" s="162">
        <f t="shared" ref="H12" si="9">H6+H10</f>
        <v>80</v>
      </c>
      <c r="I12" s="162">
        <f t="shared" si="7"/>
        <v>0</v>
      </c>
      <c r="J12" s="162">
        <f t="shared" si="7"/>
        <v>272</v>
      </c>
      <c r="K12" s="162">
        <f t="shared" si="7"/>
        <v>28</v>
      </c>
      <c r="L12" s="162">
        <f t="shared" si="7"/>
        <v>0</v>
      </c>
      <c r="M12" s="163">
        <f t="shared" si="7"/>
        <v>32</v>
      </c>
      <c r="N12" s="162">
        <f t="shared" si="7"/>
        <v>0</v>
      </c>
      <c r="O12" s="162">
        <f t="shared" si="7"/>
        <v>14</v>
      </c>
      <c r="P12" s="162">
        <f t="shared" si="7"/>
        <v>117</v>
      </c>
      <c r="Q12" s="162">
        <f t="shared" si="7"/>
        <v>370</v>
      </c>
      <c r="R12" s="163">
        <f t="shared" si="7"/>
        <v>0</v>
      </c>
      <c r="S12" s="406">
        <f>SUM(B12:R12)</f>
        <v>1531</v>
      </c>
      <c r="U12" s="367"/>
      <c r="V12" s="367"/>
      <c r="W12" s="231"/>
    </row>
    <row r="13" spans="1:23" ht="18" customHeight="1" thickBot="1" x14ac:dyDescent="0.25">
      <c r="A13" s="147"/>
      <c r="B13" s="407"/>
      <c r="C13" s="408"/>
      <c r="D13" s="408"/>
      <c r="E13" s="283"/>
      <c r="F13" s="283"/>
      <c r="G13" s="408"/>
      <c r="H13" s="408"/>
      <c r="I13" s="408"/>
      <c r="J13" s="408"/>
      <c r="K13" s="408"/>
      <c r="L13" s="408"/>
      <c r="M13" s="283"/>
      <c r="N13" s="408"/>
      <c r="O13" s="408"/>
      <c r="P13" s="408"/>
      <c r="Q13" s="408"/>
      <c r="R13" s="283"/>
      <c r="S13" s="2"/>
      <c r="U13" s="367"/>
      <c r="V13" s="367"/>
      <c r="W13" s="231"/>
    </row>
    <row r="14" spans="1:23" ht="15" x14ac:dyDescent="0.25">
      <c r="A14" s="164" t="s">
        <v>92</v>
      </c>
      <c r="B14" s="409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0"/>
      <c r="U14" s="367"/>
      <c r="V14" s="367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67"/>
      <c r="V15" s="367"/>
      <c r="W15" s="231"/>
    </row>
    <row r="16" spans="1:23" ht="12.75" customHeight="1" x14ac:dyDescent="0.2">
      <c r="A16" s="38" t="s">
        <v>37</v>
      </c>
      <c r="B16" s="193">
        <f>'[3]Atlas Air'!$IC$47</f>
        <v>2232206</v>
      </c>
      <c r="C16" s="133">
        <f>[3]DHL!$IC$47+[3]DHL_Atlas!$IC$47</f>
        <v>13386</v>
      </c>
      <c r="D16" s="133">
        <f>[3]Airborne!$IC$47</f>
        <v>0</v>
      </c>
      <c r="E16" s="133">
        <f>[3]DHL_Bemidji!$IC$47</f>
        <v>32021</v>
      </c>
      <c r="F16" s="473" t="s">
        <v>86</v>
      </c>
      <c r="G16" s="133">
        <f>[3]DHL_Encore!$IC$47</f>
        <v>0</v>
      </c>
      <c r="H16" s="133">
        <f>[3]DHL_Mesa!$IC$47</f>
        <v>814143</v>
      </c>
      <c r="I16" s="133">
        <f>[3]Encore!$IC$47</f>
        <v>0</v>
      </c>
      <c r="J16" s="133">
        <f>[3]FedEx!$IC$47</f>
        <v>8659947</v>
      </c>
      <c r="K16" s="133">
        <f>[3]IFL!$IC$47</f>
        <v>71818</v>
      </c>
      <c r="L16" s="133">
        <f>[3]DHL_Kalitta!$IC$47</f>
        <v>0</v>
      </c>
      <c r="M16" s="96">
        <f>'[3]Mountain Cargo'!$IC$47</f>
        <v>0</v>
      </c>
      <c r="N16" s="133">
        <f>[3]DHL_Southair!$IC$47</f>
        <v>0</v>
      </c>
      <c r="O16" s="133">
        <f>[3]DHL_Swift!$IC$47</f>
        <v>159523</v>
      </c>
      <c r="P16" s="133">
        <f>+'[3]Sun Country Cargo'!$IC$47</f>
        <v>1265852</v>
      </c>
      <c r="Q16" s="133">
        <f>[3]UPS!$IC$47</f>
        <v>8068939</v>
      </c>
      <c r="R16" s="96">
        <f>'[3]Misc Cargo'!$IC$47</f>
        <v>0</v>
      </c>
      <c r="S16" s="400">
        <f>SUM(B16:E16)+SUM(G16:R16)</f>
        <v>21317835</v>
      </c>
      <c r="U16" s="367"/>
      <c r="V16" s="367"/>
      <c r="W16" s="231"/>
    </row>
    <row r="17" spans="1:23" x14ac:dyDescent="0.2">
      <c r="A17" s="38" t="s">
        <v>38</v>
      </c>
      <c r="B17" s="193">
        <f>'[3]Atlas Air'!$IC$48</f>
        <v>0</v>
      </c>
      <c r="C17" s="133">
        <f>[3]DHL!$IC$48</f>
        <v>0</v>
      </c>
      <c r="D17" s="133">
        <f>[3]Airborne!$IC$48</f>
        <v>0</v>
      </c>
      <c r="E17" s="133">
        <f>[3]DHL_Bemidji!$IC$48</f>
        <v>0</v>
      </c>
      <c r="F17" s="474"/>
      <c r="G17" s="133">
        <f>[3]DHL_Encore!$IC$48</f>
        <v>0</v>
      </c>
      <c r="H17" s="133">
        <f>[3]DHL_Mesa!$IC$48</f>
        <v>0</v>
      </c>
      <c r="I17" s="133">
        <f>[3]Encore!$IC$48</f>
        <v>0</v>
      </c>
      <c r="J17" s="133">
        <f>[3]FedEx!$IC$48</f>
        <v>0</v>
      </c>
      <c r="K17" s="133">
        <f>[3]IFL!$IC$48</f>
        <v>0</v>
      </c>
      <c r="L17" s="133">
        <f>[3]DHL_Kalitta!$IC$48</f>
        <v>0</v>
      </c>
      <c r="M17" s="96">
        <f>'[3]Mountain Cargo'!$IC$48</f>
        <v>34272</v>
      </c>
      <c r="N17" s="133">
        <f>[3]DHL_Southair!$IC$48</f>
        <v>0</v>
      </c>
      <c r="O17" s="133">
        <f>[3]DHL_Swift!$IC$48</f>
        <v>0</v>
      </c>
      <c r="P17" s="133">
        <f>+'[3]Sun Country Cargo'!$IC$48</f>
        <v>0</v>
      </c>
      <c r="Q17" s="133">
        <f>[3]UPS!$IC$48</f>
        <v>109417</v>
      </c>
      <c r="R17" s="96">
        <f>'[3]Misc Cargo'!$IC$48</f>
        <v>0</v>
      </c>
      <c r="S17" s="400">
        <f>SUM(B17:E17)+SUM(G17:R17)</f>
        <v>143689</v>
      </c>
      <c r="U17" s="367"/>
      <c r="V17" s="367"/>
      <c r="W17" s="231"/>
    </row>
    <row r="18" spans="1:23" ht="18" customHeight="1" x14ac:dyDescent="0.2">
      <c r="A18" s="167" t="s">
        <v>39</v>
      </c>
      <c r="B18" s="411">
        <f>SUM(B16:B17)</f>
        <v>2232206</v>
      </c>
      <c r="C18" s="237">
        <f>SUM(C16:C17)</f>
        <v>13386</v>
      </c>
      <c r="D18" s="237">
        <f>SUM(D16:D17)</f>
        <v>0</v>
      </c>
      <c r="E18" s="237">
        <f>SUM(E16:E17)</f>
        <v>32021</v>
      </c>
      <c r="F18" s="474"/>
      <c r="G18" s="237">
        <f>SUM(G16:G17)</f>
        <v>0</v>
      </c>
      <c r="H18" s="237">
        <f>SUM(H16:H17)</f>
        <v>814143</v>
      </c>
      <c r="I18" s="237">
        <f>SUM(I16:I17)</f>
        <v>0</v>
      </c>
      <c r="J18" s="237">
        <f>SUM(J16:J17)</f>
        <v>8659947</v>
      </c>
      <c r="K18" s="237">
        <f>SUM(K16:K17)</f>
        <v>71818</v>
      </c>
      <c r="L18" s="237">
        <f t="shared" ref="L18:R18" si="10">SUM(L16:L17)</f>
        <v>0</v>
      </c>
      <c r="M18" s="238">
        <f t="shared" si="10"/>
        <v>34272</v>
      </c>
      <c r="N18" s="237">
        <f t="shared" si="10"/>
        <v>0</v>
      </c>
      <c r="O18" s="237">
        <f t="shared" si="10"/>
        <v>159523</v>
      </c>
      <c r="P18" s="237">
        <f t="shared" si="10"/>
        <v>1265852</v>
      </c>
      <c r="Q18" s="237">
        <f t="shared" si="10"/>
        <v>8178356</v>
      </c>
      <c r="R18" s="238">
        <f t="shared" si="10"/>
        <v>0</v>
      </c>
      <c r="S18" s="412">
        <f>SUM(B18:E18)+SUM(G18:R18)</f>
        <v>21461524</v>
      </c>
      <c r="U18" s="367"/>
      <c r="V18" s="367"/>
      <c r="W18" s="231"/>
    </row>
    <row r="19" spans="1:23" x14ac:dyDescent="0.2">
      <c r="A19" s="38"/>
      <c r="B19" s="193"/>
      <c r="C19" s="133"/>
      <c r="D19" s="133"/>
      <c r="E19" s="133"/>
      <c r="F19" s="474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0"/>
      <c r="U19" s="345"/>
      <c r="V19" s="367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4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0"/>
      <c r="U20" s="345"/>
      <c r="V20" s="367"/>
      <c r="W20" s="231"/>
    </row>
    <row r="21" spans="1:23" x14ac:dyDescent="0.2">
      <c r="A21" s="38" t="s">
        <v>59</v>
      </c>
      <c r="B21" s="193">
        <f>'[3]Atlas Air'!$IC$52</f>
        <v>1847072</v>
      </c>
      <c r="C21" s="133">
        <f>[3]DHL!$IC$52+[3]DHL_Atlas!$IC$52</f>
        <v>22562</v>
      </c>
      <c r="D21" s="133">
        <f>[3]Airborne!$IC$52</f>
        <v>0</v>
      </c>
      <c r="E21" s="133">
        <f>[3]DHL_Bemidji!$IC$52</f>
        <v>35406</v>
      </c>
      <c r="F21" s="474"/>
      <c r="G21" s="133">
        <f>[3]DHL_Encore!$IC$52</f>
        <v>0</v>
      </c>
      <c r="H21" s="133">
        <f>[3]DHL_Mesa!$IC$52</f>
        <v>413638</v>
      </c>
      <c r="I21" s="133">
        <f>[3]Encore!$IC$52</f>
        <v>0</v>
      </c>
      <c r="J21" s="133">
        <f>[3]FedEx!$IC$52</f>
        <v>7388116</v>
      </c>
      <c r="K21" s="133">
        <f>[3]IFL!$IC$52</f>
        <v>1371</v>
      </c>
      <c r="L21" s="133">
        <f>[3]DHL_Kalitta!$IC$52</f>
        <v>0</v>
      </c>
      <c r="M21" s="96">
        <f>'[3]Mountain Cargo'!$IC$52</f>
        <v>0</v>
      </c>
      <c r="N21" s="133">
        <f>[3]DHL_Southair!$IC$52</f>
        <v>0</v>
      </c>
      <c r="O21" s="133">
        <f>[3]DHL_Swift!$IC$52</f>
        <v>5728</v>
      </c>
      <c r="P21" s="133">
        <f>+'[3]Sun Country Cargo'!$IC$52</f>
        <v>1375372</v>
      </c>
      <c r="Q21" s="133">
        <f>[3]UPS!$IC$52</f>
        <v>6436297</v>
      </c>
      <c r="R21" s="96">
        <f>'[3]Misc Cargo'!$IC$52</f>
        <v>0</v>
      </c>
      <c r="S21" s="400">
        <f>SUM(B21:E21)+SUM(G21:R21)</f>
        <v>17525562</v>
      </c>
      <c r="U21" s="367"/>
      <c r="V21" s="367"/>
      <c r="W21" s="231"/>
    </row>
    <row r="22" spans="1:23" x14ac:dyDescent="0.2">
      <c r="A22" s="38" t="s">
        <v>60</v>
      </c>
      <c r="B22" s="193">
        <f>'[3]Atlas Air'!$IC$53</f>
        <v>0</v>
      </c>
      <c r="C22" s="133">
        <f>[3]DHL!$IC$53</f>
        <v>0</v>
      </c>
      <c r="D22" s="133">
        <f>[3]Airborne!$IC$53</f>
        <v>0</v>
      </c>
      <c r="E22" s="133">
        <f>[3]DHL_Bemidji!$IC$53</f>
        <v>0</v>
      </c>
      <c r="F22" s="474"/>
      <c r="G22" s="133">
        <f>[3]DHL_Encore!$IC$53</f>
        <v>0</v>
      </c>
      <c r="H22" s="133">
        <f>[3]DHL_Mesa!$IC$53</f>
        <v>0</v>
      </c>
      <c r="I22" s="133">
        <f>[3]Encore!$IC$53</f>
        <v>0</v>
      </c>
      <c r="J22" s="133">
        <f>[3]FedEx!$IC$53</f>
        <v>0</v>
      </c>
      <c r="K22" s="133">
        <f>[3]IFL!$IC$53</f>
        <v>0</v>
      </c>
      <c r="L22" s="133">
        <f>[3]DHL_Kalitta!$IC$53</f>
        <v>0</v>
      </c>
      <c r="M22" s="96">
        <f>'[3]Mountain Cargo'!$IC$53</f>
        <v>89578</v>
      </c>
      <c r="N22" s="133">
        <f>[3]DHL_Southair!$IC$53</f>
        <v>0</v>
      </c>
      <c r="O22" s="133">
        <f>[3]DHL_Swift!$IC$53</f>
        <v>0</v>
      </c>
      <c r="P22" s="133">
        <f>+'[3]Sun Country Cargo'!$IC$53</f>
        <v>0</v>
      </c>
      <c r="Q22" s="133">
        <f>[3]UPS!$IC$53</f>
        <v>378320</v>
      </c>
      <c r="R22" s="96">
        <f>'[3]Misc Cargo'!$IC$53</f>
        <v>0</v>
      </c>
      <c r="S22" s="400">
        <f>SUM(B22:E22)+SUM(G22:R22)</f>
        <v>467898</v>
      </c>
      <c r="U22" s="367"/>
      <c r="V22" s="367"/>
      <c r="W22" s="231"/>
    </row>
    <row r="23" spans="1:23" ht="18" customHeight="1" x14ac:dyDescent="0.2">
      <c r="A23" s="167" t="s">
        <v>41</v>
      </c>
      <c r="B23" s="411">
        <f>SUM(B21:B22)</f>
        <v>1847072</v>
      </c>
      <c r="C23" s="237">
        <f>SUM(C21:C22)</f>
        <v>22562</v>
      </c>
      <c r="D23" s="237">
        <f t="shared" ref="D23:E23" si="11">SUM(D21:D22)</f>
        <v>0</v>
      </c>
      <c r="E23" s="237">
        <f t="shared" si="11"/>
        <v>35406</v>
      </c>
      <c r="F23" s="474"/>
      <c r="G23" s="237">
        <f t="shared" ref="G23:R23" si="12">SUM(G21:G22)</f>
        <v>0</v>
      </c>
      <c r="H23" s="237">
        <f t="shared" ref="H23" si="13">SUM(H21:H22)</f>
        <v>413638</v>
      </c>
      <c r="I23" s="237">
        <f t="shared" si="12"/>
        <v>0</v>
      </c>
      <c r="J23" s="237">
        <f t="shared" si="12"/>
        <v>7388116</v>
      </c>
      <c r="K23" s="237">
        <f t="shared" si="12"/>
        <v>1371</v>
      </c>
      <c r="L23" s="237">
        <f t="shared" si="12"/>
        <v>0</v>
      </c>
      <c r="M23" s="238">
        <f t="shared" si="12"/>
        <v>89578</v>
      </c>
      <c r="N23" s="237">
        <f t="shared" si="12"/>
        <v>0</v>
      </c>
      <c r="O23" s="237">
        <f t="shared" si="12"/>
        <v>5728</v>
      </c>
      <c r="P23" s="237">
        <f t="shared" si="12"/>
        <v>1375372</v>
      </c>
      <c r="Q23" s="237">
        <f t="shared" si="12"/>
        <v>6814617</v>
      </c>
      <c r="R23" s="238">
        <f t="shared" si="12"/>
        <v>0</v>
      </c>
      <c r="S23" s="412">
        <f>SUM(B23:E23)+SUM(G23:R23)</f>
        <v>17993460</v>
      </c>
      <c r="U23" s="367"/>
      <c r="V23" s="367"/>
      <c r="W23" s="231"/>
    </row>
    <row r="24" spans="1:23" x14ac:dyDescent="0.2">
      <c r="A24" s="38"/>
      <c r="B24" s="193"/>
      <c r="C24" s="133"/>
      <c r="D24" s="133"/>
      <c r="E24" s="133"/>
      <c r="F24" s="474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0"/>
      <c r="U24" s="367"/>
      <c r="V24" s="367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4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0"/>
      <c r="U25" s="367"/>
      <c r="V25" s="367"/>
      <c r="W25" s="231"/>
    </row>
    <row r="26" spans="1:23" x14ac:dyDescent="0.2">
      <c r="A26" s="38" t="s">
        <v>59</v>
      </c>
      <c r="B26" s="193">
        <f>'[3]Atlas Air'!$IC$57</f>
        <v>0</v>
      </c>
      <c r="C26" s="133">
        <f>[3]DHL!$IC$57</f>
        <v>0</v>
      </c>
      <c r="D26" s="133">
        <f>[3]Airborne!$IC$57</f>
        <v>0</v>
      </c>
      <c r="E26" s="133">
        <f>[3]DHL_Bemidji!$IC$57</f>
        <v>0</v>
      </c>
      <c r="F26" s="474"/>
      <c r="G26" s="133">
        <f>[3]DHL_Encore!$IC$57</f>
        <v>0</v>
      </c>
      <c r="H26" s="133">
        <f>[3]DHL_Mesa!$IC$57</f>
        <v>0</v>
      </c>
      <c r="I26" s="133">
        <f>[3]Encore!$IC$57</f>
        <v>0</v>
      </c>
      <c r="J26" s="133">
        <f>[3]FedEx!$IC$57</f>
        <v>0</v>
      </c>
      <c r="K26" s="133">
        <f>[3]IFL!$IC$57</f>
        <v>0</v>
      </c>
      <c r="L26" s="133">
        <f>[3]DHL_Kalitta!$IC$57</f>
        <v>0</v>
      </c>
      <c r="M26" s="96">
        <f>'[3]Mountain Cargo'!$IC$57</f>
        <v>0</v>
      </c>
      <c r="N26" s="133">
        <f>[3]DHL_Southair!$IC$57</f>
        <v>0</v>
      </c>
      <c r="O26" s="133">
        <f>[3]DHL_Swift!$IC$57</f>
        <v>0</v>
      </c>
      <c r="P26" s="133">
        <f>+'[3]Sun Country Cargo'!$IC$57</f>
        <v>0</v>
      </c>
      <c r="Q26" s="133">
        <f>[3]UPS!$IC$57</f>
        <v>0</v>
      </c>
      <c r="R26" s="96">
        <f>'[3]Misc Cargo'!$IC$57</f>
        <v>0</v>
      </c>
      <c r="S26" s="400">
        <f>SUM(B26:E26)+SUM(G26:R26)</f>
        <v>0</v>
      </c>
      <c r="U26" s="367"/>
      <c r="V26" s="367"/>
      <c r="W26" s="367"/>
    </row>
    <row r="27" spans="1:23" x14ac:dyDescent="0.2">
      <c r="A27" s="38" t="s">
        <v>60</v>
      </c>
      <c r="B27" s="193">
        <f>'[3]Atlas Air'!$IC$58</f>
        <v>0</v>
      </c>
      <c r="C27" s="133">
        <f>[3]DHL!$IC$58</f>
        <v>0</v>
      </c>
      <c r="D27" s="133">
        <f>[3]Airborne!$IC$58</f>
        <v>0</v>
      </c>
      <c r="E27" s="133">
        <f>[3]DHL_Bemidji!$IC$58</f>
        <v>0</v>
      </c>
      <c r="F27" s="474"/>
      <c r="G27" s="133">
        <f>[3]DHL_Encore!$IC$58</f>
        <v>0</v>
      </c>
      <c r="H27" s="133">
        <f>[3]DHL_Mesa!$IC$58</f>
        <v>0</v>
      </c>
      <c r="I27" s="133">
        <f>[3]Encore!$IC$58</f>
        <v>0</v>
      </c>
      <c r="J27" s="133">
        <f>[3]FedEx!$IC$58</f>
        <v>0</v>
      </c>
      <c r="K27" s="133">
        <f>[3]IFL!$IC$58</f>
        <v>0</v>
      </c>
      <c r="L27" s="133">
        <f>[3]DHL_Kalitta!$IC$58</f>
        <v>0</v>
      </c>
      <c r="M27" s="96">
        <f>'[3]Mountain Cargo'!$IC$58</f>
        <v>0</v>
      </c>
      <c r="N27" s="133">
        <f>[3]DHL_Southair!$IC$58</f>
        <v>0</v>
      </c>
      <c r="O27" s="133">
        <f>[3]DHL_Swift!$IC$58</f>
        <v>0</v>
      </c>
      <c r="P27" s="133">
        <f>+'[3]Sun Country Cargo'!$IC$58</f>
        <v>0</v>
      </c>
      <c r="Q27" s="133">
        <f>[3]UPS!$IC$58</f>
        <v>0</v>
      </c>
      <c r="R27" s="96">
        <f>'[3]Misc Cargo'!$IC$58</f>
        <v>0</v>
      </c>
      <c r="S27" s="400">
        <f>SUM(B27:E27)+SUM(G27:R27)</f>
        <v>0</v>
      </c>
      <c r="U27" s="367"/>
      <c r="V27" s="367"/>
      <c r="W27" s="231"/>
    </row>
    <row r="28" spans="1:23" ht="18" customHeight="1" x14ac:dyDescent="0.2">
      <c r="A28" s="167" t="s">
        <v>43</v>
      </c>
      <c r="B28" s="411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4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2">
        <f>SUM(B28:E28)+SUM(G28:R28)</f>
        <v>0</v>
      </c>
      <c r="U28" s="367"/>
      <c r="V28" s="367"/>
      <c r="W28" s="367"/>
    </row>
    <row r="29" spans="1:23" x14ac:dyDescent="0.2">
      <c r="A29" s="38"/>
      <c r="B29" s="193"/>
      <c r="C29" s="133"/>
      <c r="D29" s="133"/>
      <c r="E29" s="133"/>
      <c r="F29" s="474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0"/>
      <c r="U29" s="367"/>
      <c r="V29" s="367"/>
      <c r="W29" s="367"/>
    </row>
    <row r="30" spans="1:23" x14ac:dyDescent="0.2">
      <c r="A30" s="168" t="s">
        <v>44</v>
      </c>
      <c r="B30" s="193"/>
      <c r="C30" s="133"/>
      <c r="D30" s="133"/>
      <c r="E30" s="133"/>
      <c r="F30" s="474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0"/>
      <c r="U30" s="367"/>
      <c r="V30" s="367"/>
      <c r="W30" s="367"/>
    </row>
    <row r="31" spans="1:23" x14ac:dyDescent="0.2">
      <c r="A31" s="38" t="s">
        <v>88</v>
      </c>
      <c r="B31" s="193">
        <f>B26+B21+B16</f>
        <v>4079278</v>
      </c>
      <c r="C31" s="133">
        <f t="shared" ref="C31:R33" si="17">C26+C21+C16</f>
        <v>35948</v>
      </c>
      <c r="D31" s="133">
        <f t="shared" si="17"/>
        <v>0</v>
      </c>
      <c r="E31" s="133">
        <f t="shared" si="17"/>
        <v>67427</v>
      </c>
      <c r="F31" s="474"/>
      <c r="G31" s="133">
        <f t="shared" ref="G31:P33" si="18">G26+G21+G16</f>
        <v>0</v>
      </c>
      <c r="H31" s="133">
        <f t="shared" ref="H31" si="19">H26+H21+H16</f>
        <v>1227781</v>
      </c>
      <c r="I31" s="133">
        <f t="shared" si="18"/>
        <v>0</v>
      </c>
      <c r="J31" s="133">
        <f t="shared" si="18"/>
        <v>16048063</v>
      </c>
      <c r="K31" s="133">
        <f t="shared" si="18"/>
        <v>73189</v>
      </c>
      <c r="L31" s="133">
        <f t="shared" si="18"/>
        <v>0</v>
      </c>
      <c r="M31" s="96">
        <f>M26+M21+M16</f>
        <v>0</v>
      </c>
      <c r="N31" s="133">
        <f t="shared" si="18"/>
        <v>0</v>
      </c>
      <c r="O31" s="133">
        <f t="shared" si="18"/>
        <v>165251</v>
      </c>
      <c r="P31" s="133">
        <f t="shared" si="18"/>
        <v>2641224</v>
      </c>
      <c r="Q31" s="133">
        <f t="shared" si="17"/>
        <v>14505236</v>
      </c>
      <c r="R31" s="96">
        <f>R26+R21+R16</f>
        <v>0</v>
      </c>
      <c r="S31" s="400">
        <f>SUM(B31:E31)+SUM(G31:R31)</f>
        <v>38843397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5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123850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487737</v>
      </c>
      <c r="R32" s="96">
        <f>R27+R22+R17</f>
        <v>0</v>
      </c>
      <c r="S32" s="400">
        <f>SUM(B32:E32)+SUM(G32:R32)</f>
        <v>611587</v>
      </c>
    </row>
    <row r="33" spans="1:19" ht="18" customHeight="1" thickBot="1" x14ac:dyDescent="0.25">
      <c r="A33" s="161" t="s">
        <v>46</v>
      </c>
      <c r="B33" s="405">
        <f>B28+B23+B18</f>
        <v>4079278</v>
      </c>
      <c r="C33" s="162">
        <f t="shared" ref="C33:I33" si="21">C28+C23+C18</f>
        <v>35948</v>
      </c>
      <c r="D33" s="162">
        <f t="shared" si="21"/>
        <v>0</v>
      </c>
      <c r="E33" s="162">
        <f t="shared" si="21"/>
        <v>67427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1227781</v>
      </c>
      <c r="I33" s="162">
        <f t="shared" si="21"/>
        <v>0</v>
      </c>
      <c r="J33" s="162">
        <f t="shared" si="18"/>
        <v>16048063</v>
      </c>
      <c r="K33" s="162">
        <f t="shared" si="18"/>
        <v>73189</v>
      </c>
      <c r="L33" s="162">
        <f t="shared" si="18"/>
        <v>0</v>
      </c>
      <c r="M33" s="163">
        <f>M28+M23+M18</f>
        <v>123850</v>
      </c>
      <c r="N33" s="162">
        <f t="shared" si="18"/>
        <v>0</v>
      </c>
      <c r="O33" s="162">
        <f t="shared" si="18"/>
        <v>165251</v>
      </c>
      <c r="P33" s="162">
        <f t="shared" si="17"/>
        <v>2641224</v>
      </c>
      <c r="Q33" s="162">
        <f t="shared" si="17"/>
        <v>14992973</v>
      </c>
      <c r="R33" s="163">
        <f t="shared" si="17"/>
        <v>0</v>
      </c>
      <c r="S33" s="406">
        <f>SUM(B33:E33)+SUM(G33:R33)</f>
        <v>39454984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December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0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4"/>
      <c r="N1" s="9"/>
      <c r="O1" s="9"/>
      <c r="P1" s="9"/>
      <c r="Q1" s="9"/>
      <c r="R1" s="9"/>
    </row>
    <row r="2" spans="1:18" s="9" customFormat="1" ht="30" customHeight="1" thickBot="1" x14ac:dyDescent="0.25">
      <c r="A2" s="439">
        <v>44896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4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3397774</v>
      </c>
      <c r="C5" s="96">
        <f>'Regional Major'!M25</f>
        <v>3057</v>
      </c>
      <c r="D5" s="96">
        <f>Cargo!S16</f>
        <v>21317835</v>
      </c>
      <c r="E5" s="96">
        <f>SUM(B5:D5)</f>
        <v>24718666</v>
      </c>
      <c r="F5" s="96">
        <f>E5*0.00045359237</f>
        <v>11212.198294178419</v>
      </c>
      <c r="G5" s="96">
        <f>'[1]Cargo Summary'!F5</f>
        <v>12643.3566106771</v>
      </c>
      <c r="H5" s="78">
        <f>(F5-G5)/G5</f>
        <v>-0.11319449103334565</v>
      </c>
      <c r="I5" s="96">
        <f>+F5+'[2]Cargo Summary'!I5</f>
        <v>116192.44938400669</v>
      </c>
      <c r="J5" s="96">
        <f>+'[1]Cargo Summary'!I5</f>
        <v>118603.29284416446</v>
      </c>
      <c r="K5" s="66">
        <f>(I5-J5)/J5</f>
        <v>-2.0326952164181792E-2</v>
      </c>
      <c r="M5" s="14"/>
      <c r="O5" s="443"/>
    </row>
    <row r="6" spans="1:18" x14ac:dyDescent="0.2">
      <c r="A6" s="46" t="s">
        <v>16</v>
      </c>
      <c r="B6" s="140">
        <f>'Major Airline Stats'!K29</f>
        <v>1281435</v>
      </c>
      <c r="C6" s="96">
        <f>'Regional Major'!M26</f>
        <v>0</v>
      </c>
      <c r="D6" s="96">
        <f>Cargo!S17</f>
        <v>143689</v>
      </c>
      <c r="E6" s="96">
        <f>SUM(B6:D6)</f>
        <v>1425124</v>
      </c>
      <c r="F6" s="96">
        <f>E6*0.00045359237</f>
        <v>646.42537270387993</v>
      </c>
      <c r="G6" s="96">
        <f>'[1]Cargo Summary'!F6</f>
        <v>788.21880115825002</v>
      </c>
      <c r="H6" s="3">
        <f>(F6-G6)/G6</f>
        <v>-0.17989094937346253</v>
      </c>
      <c r="I6" s="96">
        <f>+F6+'[2]Cargo Summary'!I6</f>
        <v>15692.914359640978</v>
      </c>
      <c r="J6" s="96">
        <f>+'[1]Cargo Summary'!I6</f>
        <v>11158.319685285078</v>
      </c>
      <c r="K6" s="66">
        <f>(I6-J6)/J6</f>
        <v>0.40638687564542991</v>
      </c>
      <c r="M6" s="14"/>
    </row>
    <row r="7" spans="1:18" ht="18" customHeight="1" thickBot="1" x14ac:dyDescent="0.25">
      <c r="A7" s="55" t="s">
        <v>71</v>
      </c>
      <c r="B7" s="142">
        <f>SUM(B5:B6)</f>
        <v>4679209</v>
      </c>
      <c r="C7" s="106">
        <f t="shared" ref="C7:J7" si="0">SUM(C5:C6)</f>
        <v>3057</v>
      </c>
      <c r="D7" s="106">
        <f t="shared" si="0"/>
        <v>21461524</v>
      </c>
      <c r="E7" s="106">
        <f t="shared" si="0"/>
        <v>26143790</v>
      </c>
      <c r="F7" s="106">
        <f t="shared" si="0"/>
        <v>11858.623666882298</v>
      </c>
      <c r="G7" s="106">
        <f t="shared" si="0"/>
        <v>13431.575411835349</v>
      </c>
      <c r="H7" s="29">
        <f>(F7-G7)/G7</f>
        <v>-0.11710850713513699</v>
      </c>
      <c r="I7" s="106">
        <f t="shared" si="0"/>
        <v>131885.36374364767</v>
      </c>
      <c r="J7" s="106">
        <f t="shared" si="0"/>
        <v>129761.61252944954</v>
      </c>
      <c r="K7" s="252">
        <f>(I7-J7)/J7</f>
        <v>1.6366559977174608E-2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1506650</v>
      </c>
      <c r="C10" s="96">
        <f>'Regional Major'!M30</f>
        <v>402</v>
      </c>
      <c r="D10" s="96">
        <f>Cargo!S21</f>
        <v>17525562</v>
      </c>
      <c r="E10" s="96">
        <f>SUM(B10:D10)</f>
        <v>19032614</v>
      </c>
      <c r="F10" s="96">
        <f>E10*0.00045359237</f>
        <v>8633.0484915551806</v>
      </c>
      <c r="G10" s="96">
        <f>'[1]Cargo Summary'!F10</f>
        <v>9470.8290630214797</v>
      </c>
      <c r="H10" s="3">
        <f>(F10-G10)/G10</f>
        <v>-8.84590531506248E-2</v>
      </c>
      <c r="I10" s="96">
        <f>+F10+'[2]Cargo Summary'!I10</f>
        <v>93125.46517727006</v>
      </c>
      <c r="J10" s="96">
        <f>+'[1]Cargo Summary'!I10</f>
        <v>94074.0253205232</v>
      </c>
      <c r="K10" s="66">
        <f>(I10-J10)/J10</f>
        <v>-1.008312485854905E-2</v>
      </c>
      <c r="M10" s="14"/>
      <c r="O10" s="443"/>
    </row>
    <row r="11" spans="1:18" x14ac:dyDescent="0.2">
      <c r="A11" s="46" t="s">
        <v>16</v>
      </c>
      <c r="B11" s="140">
        <f>'Major Airline Stats'!K34</f>
        <v>1144016</v>
      </c>
      <c r="C11" s="96">
        <f>'Regional Major'!M31</f>
        <v>0</v>
      </c>
      <c r="D11" s="96">
        <f>Cargo!S22</f>
        <v>467898</v>
      </c>
      <c r="E11" s="96">
        <f>SUM(B11:D11)</f>
        <v>1611914</v>
      </c>
      <c r="F11" s="96">
        <f>E11*0.00045359237</f>
        <v>731.15189149617993</v>
      </c>
      <c r="G11" s="96">
        <f>'[1]Cargo Summary'!F11</f>
        <v>989.39744987775998</v>
      </c>
      <c r="H11" s="26">
        <f>(F11-G11)/G11</f>
        <v>-0.26101296138724261</v>
      </c>
      <c r="I11" s="96">
        <f>+F11+'[2]Cargo Summary'!I11</f>
        <v>12419.036314269506</v>
      </c>
      <c r="J11" s="96">
        <f>+'[1]Cargo Summary'!I11</f>
        <v>10911.17217142029</v>
      </c>
      <c r="K11" s="66">
        <f>(I11-J11)/J11</f>
        <v>0.13819451468273727</v>
      </c>
      <c r="M11" s="14"/>
    </row>
    <row r="12" spans="1:18" ht="18" customHeight="1" thickBot="1" x14ac:dyDescent="0.25">
      <c r="A12" s="55" t="s">
        <v>72</v>
      </c>
      <c r="B12" s="142">
        <f>SUM(B10:B11)</f>
        <v>2650666</v>
      </c>
      <c r="C12" s="106">
        <f t="shared" ref="C12:J12" si="1">SUM(C10:C11)</f>
        <v>402</v>
      </c>
      <c r="D12" s="106">
        <f t="shared" si="1"/>
        <v>17993460</v>
      </c>
      <c r="E12" s="106">
        <f t="shared" si="1"/>
        <v>20644528</v>
      </c>
      <c r="F12" s="106">
        <f t="shared" si="1"/>
        <v>9364.2003830513604</v>
      </c>
      <c r="G12" s="106">
        <f t="shared" si="1"/>
        <v>10460.22651289924</v>
      </c>
      <c r="H12" s="29">
        <f>(F12-G12)/G12</f>
        <v>-0.10478034376180029</v>
      </c>
      <c r="I12" s="106">
        <f>SUM(I10:I11)</f>
        <v>105544.50149153956</v>
      </c>
      <c r="J12" s="106">
        <f t="shared" si="1"/>
        <v>104985.19749194349</v>
      </c>
      <c r="K12" s="252">
        <f>(I12-J12)/J12</f>
        <v>5.327455802890616E-3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0.14469596602999998</v>
      </c>
      <c r="K15" s="66">
        <f>(I15-J15)/J15</f>
        <v>-1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0.14469596602999998</v>
      </c>
      <c r="K17" s="252">
        <f>(I17-J17)/J17</f>
        <v>-1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4904424</v>
      </c>
      <c r="C20" s="96">
        <f t="shared" ref="C20:D21" si="3">C15+C10+C5</f>
        <v>3459</v>
      </c>
      <c r="D20" s="96">
        <f t="shared" si="3"/>
        <v>38843397</v>
      </c>
      <c r="E20" s="96">
        <f>SUM(B20:D20)</f>
        <v>43751280</v>
      </c>
      <c r="F20" s="96">
        <f>E20*0.00045359237</f>
        <v>19845.246785733598</v>
      </c>
      <c r="G20" s="96">
        <f>'[1]Cargo Summary'!F20</f>
        <v>22114.185673698579</v>
      </c>
      <c r="H20" s="3">
        <f>(F20-G20)/G20</f>
        <v>-0.10260105985559916</v>
      </c>
      <c r="I20" s="96">
        <f>+F20+'[2]Cargo Summary'!I20</f>
        <v>209317.91456127676</v>
      </c>
      <c r="J20" s="96">
        <f>+'[1]Cargo Summary'!I20</f>
        <v>212677.4628606537</v>
      </c>
      <c r="K20" s="66">
        <f>(I20-J20)/J20</f>
        <v>-1.5796447137316646E-2</v>
      </c>
      <c r="M20" s="14"/>
    </row>
    <row r="21" spans="1:13" x14ac:dyDescent="0.2">
      <c r="A21" s="46" t="s">
        <v>16</v>
      </c>
      <c r="B21" s="140">
        <f>B16+B11+B6</f>
        <v>2425451</v>
      </c>
      <c r="C21" s="97">
        <f t="shared" si="3"/>
        <v>0</v>
      </c>
      <c r="D21" s="97">
        <f t="shared" si="3"/>
        <v>611587</v>
      </c>
      <c r="E21" s="96">
        <f>SUM(B21:D21)</f>
        <v>3037038</v>
      </c>
      <c r="F21" s="96">
        <f>E21*0.00045359237</f>
        <v>1377.57726420006</v>
      </c>
      <c r="G21" s="96">
        <f>'[1]Cargo Summary'!F21</f>
        <v>1777.61625103601</v>
      </c>
      <c r="H21" s="3">
        <f>(F21-G21)/G21</f>
        <v>-0.2250423771738157</v>
      </c>
      <c r="I21" s="96">
        <f>+F21+'[2]Cargo Summary'!I21</f>
        <v>28111.950673910491</v>
      </c>
      <c r="J21" s="96">
        <f>+'[1]Cargo Summary'!I21</f>
        <v>22069.491856705368</v>
      </c>
      <c r="K21" s="66">
        <f>(I21-J21)/J21</f>
        <v>0.27379238527276034</v>
      </c>
      <c r="M21" s="14"/>
    </row>
    <row r="22" spans="1:13" ht="18" customHeight="1" thickBot="1" x14ac:dyDescent="0.25">
      <c r="A22" s="68" t="s">
        <v>62</v>
      </c>
      <c r="B22" s="143">
        <f>SUM(B20:B21)</f>
        <v>7329875</v>
      </c>
      <c r="C22" s="144">
        <f t="shared" ref="C22:J22" si="4">SUM(C20:C21)</f>
        <v>3459</v>
      </c>
      <c r="D22" s="144">
        <f t="shared" si="4"/>
        <v>39454984</v>
      </c>
      <c r="E22" s="144">
        <f>SUM(E20:E21)</f>
        <v>46788318</v>
      </c>
      <c r="F22" s="144">
        <f t="shared" si="4"/>
        <v>21222.824049933657</v>
      </c>
      <c r="G22" s="144">
        <f t="shared" si="4"/>
        <v>23891.801924734587</v>
      </c>
      <c r="H22" s="258">
        <f>(F22-G22)/G22</f>
        <v>-0.11171103306518727</v>
      </c>
      <c r="I22" s="144">
        <f>SUM(I20:I21)</f>
        <v>237429.86523518726</v>
      </c>
      <c r="J22" s="144">
        <f t="shared" si="4"/>
        <v>234746.95471735907</v>
      </c>
      <c r="K22" s="259">
        <f>(I22-J22)/J22</f>
        <v>1.1428947059434607E-2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8"/>
  <sheetViews>
    <sheetView zoomScaleNormal="100" workbookViewId="0">
      <selection activeCell="T24" sqref="T24"/>
    </sheetView>
  </sheetViews>
  <sheetFormatPr defaultRowHeight="12.75" x14ac:dyDescent="0.2"/>
  <cols>
    <col min="1" max="1" width="6.7109375" customWidth="1"/>
    <col min="2" max="2" width="11.42578125" bestFit="1" customWidth="1"/>
    <col min="3" max="4" width="9.28515625" bestFit="1" customWidth="1"/>
    <col min="5" max="5" width="12.28515625" bestFit="1" customWidth="1"/>
    <col min="6" max="6" width="9.28515625" bestFit="1" customWidth="1"/>
    <col min="7" max="7" width="9.42578125" bestFit="1" customWidth="1"/>
    <col min="8" max="8" width="10.5703125" bestFit="1" customWidth="1"/>
    <col min="9" max="9" width="9.28515625" bestFit="1" customWidth="1"/>
    <col min="10" max="10" width="5.7109375" customWidth="1"/>
    <col min="11" max="11" width="11.42578125" bestFit="1" customWidth="1"/>
    <col min="12" max="12" width="15.85546875" bestFit="1" customWidth="1"/>
    <col min="13" max="13" width="14.42578125" bestFit="1" customWidth="1"/>
    <col min="14" max="14" width="12.28515625" bestFit="1" customWidth="1"/>
    <col min="15" max="15" width="16.5703125" bestFit="1" customWidth="1"/>
    <col min="16" max="16" width="15.85546875" bestFit="1" customWidth="1"/>
    <col min="17" max="17" width="11.85546875" bestFit="1" customWidth="1"/>
    <col min="18" max="18" width="9.8554687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0"/>
    </row>
    <row r="2" spans="1:20" s="9" customFormat="1" ht="26.25" thickBot="1" x14ac:dyDescent="0.25">
      <c r="A2" s="479" t="s">
        <v>187</v>
      </c>
      <c r="B2" s="480"/>
      <c r="C2" s="363" t="s">
        <v>243</v>
      </c>
      <c r="D2" s="364" t="s">
        <v>223</v>
      </c>
      <c r="E2" s="437" t="s">
        <v>95</v>
      </c>
      <c r="F2" s="366" t="s">
        <v>244</v>
      </c>
      <c r="G2" s="364" t="s">
        <v>224</v>
      </c>
      <c r="H2" s="438" t="s">
        <v>96</v>
      </c>
      <c r="I2" s="365" t="s">
        <v>137</v>
      </c>
      <c r="J2" s="479" t="s">
        <v>183</v>
      </c>
      <c r="K2" s="480"/>
      <c r="L2" s="363" t="s">
        <v>243</v>
      </c>
      <c r="M2" s="364" t="s">
        <v>223</v>
      </c>
      <c r="N2" s="437" t="s">
        <v>95</v>
      </c>
      <c r="O2" s="366" t="s">
        <v>244</v>
      </c>
      <c r="P2" s="364" t="s">
        <v>224</v>
      </c>
      <c r="Q2" s="438" t="s">
        <v>96</v>
      </c>
      <c r="R2" s="365" t="s">
        <v>137</v>
      </c>
      <c r="T2" s="431"/>
    </row>
    <row r="3" spans="1:20" s="9" customFormat="1" ht="13.5" customHeight="1" thickBot="1" x14ac:dyDescent="0.25">
      <c r="A3" s="481">
        <v>44896</v>
      </c>
      <c r="B3" s="482"/>
      <c r="C3" s="483" t="s">
        <v>9</v>
      </c>
      <c r="D3" s="484"/>
      <c r="E3" s="484"/>
      <c r="F3" s="484"/>
      <c r="G3" s="484"/>
      <c r="H3" s="485"/>
      <c r="I3" s="451"/>
      <c r="J3" s="481">
        <f>+A3</f>
        <v>44896</v>
      </c>
      <c r="K3" s="482"/>
      <c r="L3" s="476" t="s">
        <v>184</v>
      </c>
      <c r="M3" s="477"/>
      <c r="N3" s="477"/>
      <c r="O3" s="477"/>
      <c r="P3" s="477"/>
      <c r="Q3" s="477"/>
      <c r="R3" s="478"/>
      <c r="T3" s="431"/>
    </row>
    <row r="4" spans="1:20" x14ac:dyDescent="0.2">
      <c r="A4" s="273"/>
      <c r="B4" s="274"/>
      <c r="C4" s="275"/>
      <c r="D4" s="276"/>
      <c r="E4" s="277"/>
      <c r="F4" s="413"/>
      <c r="G4" s="276"/>
      <c r="H4" s="375"/>
      <c r="I4" s="277"/>
      <c r="J4" s="278"/>
      <c r="K4" s="274"/>
      <c r="L4" s="285"/>
      <c r="M4" s="2"/>
      <c r="N4" s="66"/>
      <c r="O4" s="38"/>
      <c r="R4" s="40"/>
      <c r="T4" s="430"/>
    </row>
    <row r="5" spans="1:20" ht="14.1" customHeight="1" x14ac:dyDescent="0.2">
      <c r="A5" s="280" t="s">
        <v>210</v>
      </c>
      <c r="B5" s="40"/>
      <c r="C5" s="414">
        <f>SUM(C6:C7)</f>
        <v>179</v>
      </c>
      <c r="D5" s="414">
        <f>SUM(D6:D7)</f>
        <v>160</v>
      </c>
      <c r="E5" s="415">
        <f>(C5-D5)/D5</f>
        <v>0.11874999999999999</v>
      </c>
      <c r="F5" s="414">
        <f>SUM(F6:F7)</f>
        <v>1786</v>
      </c>
      <c r="G5" s="414">
        <f>SUM(G6:G7)</f>
        <v>1873</v>
      </c>
      <c r="H5" s="416">
        <f>(F5-G5)/G5</f>
        <v>-4.6449546182594767E-2</v>
      </c>
      <c r="I5" s="415">
        <f>+F5/$F$34</f>
        <v>0.11320993914807302</v>
      </c>
      <c r="J5" s="280" t="s">
        <v>210</v>
      </c>
      <c r="K5" s="40"/>
      <c r="L5" s="414">
        <f>SUM(L6:L7)</f>
        <v>6720502</v>
      </c>
      <c r="M5" s="414">
        <f>SUM(M6:M7)</f>
        <v>6946808</v>
      </c>
      <c r="N5" s="415">
        <f>(L5-M5)/M5</f>
        <v>-3.2576976360941604E-2</v>
      </c>
      <c r="O5" s="414">
        <f>SUM(O6:O7)</f>
        <v>69271833</v>
      </c>
      <c r="P5" s="414">
        <f>SUM(P6:P7)</f>
        <v>65544855</v>
      </c>
      <c r="Q5" s="416">
        <f>(O5-P5)/P5</f>
        <v>5.6861488212919233E-2</v>
      </c>
      <c r="R5" s="415">
        <f>O5/$O$34</f>
        <v>0.16352446754907993</v>
      </c>
      <c r="T5" s="430"/>
    </row>
    <row r="6" spans="1:20" ht="14.1" customHeight="1" x14ac:dyDescent="0.2">
      <c r="A6" s="38"/>
      <c r="B6" s="340" t="s">
        <v>211</v>
      </c>
      <c r="C6" s="344">
        <f>+'[3]Atlas Air'!$IC$19</f>
        <v>62</v>
      </c>
      <c r="D6" s="231">
        <f>+'[3]Atlas Air'!$HO$19</f>
        <v>54</v>
      </c>
      <c r="E6" s="346">
        <f>(C6-D6)/D6</f>
        <v>0.14814814814814814</v>
      </c>
      <c r="F6" s="344">
        <f>+SUM('[3]Atlas Air'!$HR$19:$IC$19)</f>
        <v>728</v>
      </c>
      <c r="G6" s="231">
        <f>+SUM('[3]Atlas Air'!$HD$19:$HO$19)</f>
        <v>583</v>
      </c>
      <c r="H6" s="345">
        <f>(F6-G6)/G6</f>
        <v>0.24871355060034306</v>
      </c>
      <c r="I6" s="346">
        <f>+F6/$F$34</f>
        <v>4.6146044624746453E-2</v>
      </c>
      <c r="J6" s="38"/>
      <c r="K6" s="340" t="s">
        <v>211</v>
      </c>
      <c r="L6" s="344">
        <f>+'[3]Atlas Air'!$IC$64</f>
        <v>4079278</v>
      </c>
      <c r="M6" s="231">
        <f>+'[3]Atlas Air'!$HO$64</f>
        <v>3634561</v>
      </c>
      <c r="N6" s="346">
        <f>(L6-M6)/M6</f>
        <v>0.12235783083569102</v>
      </c>
      <c r="O6" s="231">
        <f>+SUM('[3]Atlas Air'!$HR$64:$IC$64)</f>
        <v>41913658</v>
      </c>
      <c r="P6" s="231">
        <f>+SUM('[3]Atlas Air'!$HD$64:$HO$64)</f>
        <v>29810788</v>
      </c>
      <c r="Q6" s="345">
        <f>(O6-P6)/P6</f>
        <v>0.4059896034952179</v>
      </c>
      <c r="R6" s="346">
        <f>O6/$O$34</f>
        <v>9.8942215192778779E-2</v>
      </c>
      <c r="T6" s="430"/>
    </row>
    <row r="7" spans="1:20" ht="14.1" customHeight="1" x14ac:dyDescent="0.2">
      <c r="A7" s="38"/>
      <c r="B7" s="340" t="s">
        <v>49</v>
      </c>
      <c r="C7" s="344">
        <f>+'[3]Sun Country Cargo'!$IC$19</f>
        <v>117</v>
      </c>
      <c r="D7" s="231">
        <f>+'[3]Sun Country Cargo'!$HO$19</f>
        <v>106</v>
      </c>
      <c r="E7" s="346">
        <f>(C7-D7)/D7</f>
        <v>0.10377358490566038</v>
      </c>
      <c r="F7" s="344">
        <f>+SUM('[3]Sun Country Cargo'!$HR$19:$IC$19)</f>
        <v>1058</v>
      </c>
      <c r="G7" s="231">
        <f>+SUM('[3]Sun Country Cargo'!$HD$19:$HO$19)</f>
        <v>1290</v>
      </c>
      <c r="H7" s="345">
        <f>(F7-G7)/G7</f>
        <v>-0.17984496124031008</v>
      </c>
      <c r="I7" s="346">
        <f>+F7/$F$34</f>
        <v>6.7063894523326575E-2</v>
      </c>
      <c r="J7" s="38"/>
      <c r="K7" s="340" t="s">
        <v>49</v>
      </c>
      <c r="L7" s="344">
        <f>+'[3]Sun Country Cargo'!$IC$64</f>
        <v>2641224</v>
      </c>
      <c r="M7" s="231">
        <f>+'[3]Sun Country Cargo'!$HO$64</f>
        <v>3312247</v>
      </c>
      <c r="N7" s="346">
        <f>(L7-M7)/M7</f>
        <v>-0.20258845430307582</v>
      </c>
      <c r="O7" s="231">
        <f>+SUM('[3]Sun Country Cargo'!$HR$64:$IC$64)</f>
        <v>27358175</v>
      </c>
      <c r="P7" s="231">
        <f>+SUM('[3]Sun Country Cargo'!$HD$64:$HO$64)</f>
        <v>35734067</v>
      </c>
      <c r="Q7" s="345">
        <f>(O7-P7)/P7</f>
        <v>-0.2343951501518145</v>
      </c>
      <c r="R7" s="346">
        <f>O7/$O$34</f>
        <v>6.4582252356301148E-2</v>
      </c>
      <c r="T7" s="430"/>
    </row>
    <row r="8" spans="1:20" ht="14.1" customHeight="1" x14ac:dyDescent="0.2">
      <c r="A8" s="38"/>
      <c r="B8" s="40"/>
      <c r="C8" s="2"/>
      <c r="D8" s="2"/>
      <c r="E8" s="3"/>
      <c r="F8" s="417"/>
      <c r="G8" s="2"/>
      <c r="H8" s="3"/>
      <c r="I8" s="66"/>
      <c r="J8" s="396"/>
      <c r="K8" s="40"/>
      <c r="L8" s="2"/>
      <c r="M8" s="2"/>
      <c r="N8" s="66"/>
      <c r="R8" s="40"/>
      <c r="T8" s="430"/>
    </row>
    <row r="9" spans="1:20" ht="14.1" customHeight="1" x14ac:dyDescent="0.2">
      <c r="A9" s="280" t="s">
        <v>212</v>
      </c>
      <c r="B9" s="40"/>
      <c r="C9" s="414">
        <f>SUM(C10:C18)</f>
        <v>150</v>
      </c>
      <c r="D9" s="414">
        <f>SUM(D10:D18)</f>
        <v>166</v>
      </c>
      <c r="E9" s="415">
        <f>(C9-D9)/D9</f>
        <v>-9.6385542168674704E-2</v>
      </c>
      <c r="F9" s="414">
        <f>SUM(F10:F18)</f>
        <v>1850</v>
      </c>
      <c r="G9" s="414">
        <f>SUM(G10:G18)</f>
        <v>1660</v>
      </c>
      <c r="H9" s="416">
        <f>(F9-G9)/G9</f>
        <v>0.1144578313253012</v>
      </c>
      <c r="I9" s="415">
        <f t="shared" ref="I9:I18" si="0">+F9/$F$34</f>
        <v>0.11726673427991886</v>
      </c>
      <c r="J9" s="280" t="s">
        <v>212</v>
      </c>
      <c r="K9" s="40"/>
      <c r="L9" s="414">
        <f>SUM(L10:L18)</f>
        <v>1496407</v>
      </c>
      <c r="M9" s="414">
        <f>SUM(M10:M18)</f>
        <v>1831960</v>
      </c>
      <c r="N9" s="415">
        <f t="shared" ref="N9:N18" si="1">(L9-M9)/M9</f>
        <v>-0.18316611716413023</v>
      </c>
      <c r="O9" s="414">
        <f>SUM(O10:O18)</f>
        <v>19362463</v>
      </c>
      <c r="P9" s="414">
        <f>SUM(P10:P18)</f>
        <v>16912130.780000001</v>
      </c>
      <c r="Q9" s="416">
        <f t="shared" ref="Q9:Q18" si="2">(O9-P9)/P9</f>
        <v>0.14488607330885356</v>
      </c>
      <c r="R9" s="415">
        <f t="shared" ref="R9:R18" si="3">O9/$O$34</f>
        <v>4.5707415487529553E-2</v>
      </c>
      <c r="T9" s="430"/>
    </row>
    <row r="10" spans="1:20" ht="14.1" customHeight="1" x14ac:dyDescent="0.2">
      <c r="A10" s="280"/>
      <c r="B10" s="340" t="s">
        <v>213</v>
      </c>
      <c r="C10" s="344">
        <f>+[3]Airborne!$IC$19</f>
        <v>0</v>
      </c>
      <c r="D10" s="231">
        <f>+[3]Airborne!$HO$19</f>
        <v>2</v>
      </c>
      <c r="E10" s="346">
        <f>(C10-D10)/D10</f>
        <v>-1</v>
      </c>
      <c r="F10" s="344">
        <f>+SUM([3]Airborne!$HR$19:$IC$19)</f>
        <v>12</v>
      </c>
      <c r="G10" s="231">
        <f>+SUM([3]Airborne!$HD$19:$HO$19)</f>
        <v>6</v>
      </c>
      <c r="H10" s="345">
        <f>(F10-G10)/G10</f>
        <v>1</v>
      </c>
      <c r="I10" s="346">
        <f t="shared" si="0"/>
        <v>7.6064908722109532E-4</v>
      </c>
      <c r="J10" s="280"/>
      <c r="K10" s="340" t="s">
        <v>213</v>
      </c>
      <c r="L10" s="344">
        <f>+[3]Airborne!$IC$64</f>
        <v>0</v>
      </c>
      <c r="M10" s="231">
        <f>+[3]Airborne!$HO$64</f>
        <v>71144</v>
      </c>
      <c r="N10" s="346">
        <f t="shared" si="1"/>
        <v>-1</v>
      </c>
      <c r="O10" s="344">
        <f>+SUM([3]Airborne!$HR$64:$IC$64)</f>
        <v>352522</v>
      </c>
      <c r="P10" s="231">
        <f>+SUM([3]Airborne!$HD$64:$HO$64)</f>
        <v>210086</v>
      </c>
      <c r="Q10" s="345">
        <f t="shared" si="2"/>
        <v>0.67798901402282874</v>
      </c>
      <c r="R10" s="346">
        <f t="shared" si="3"/>
        <v>8.3217044869213653E-4</v>
      </c>
      <c r="T10" s="430"/>
    </row>
    <row r="11" spans="1:20" ht="14.1" customHeight="1" x14ac:dyDescent="0.2">
      <c r="A11" s="280"/>
      <c r="B11" s="40" t="s">
        <v>211</v>
      </c>
      <c r="C11" s="344">
        <f>+[3]DHL_Atlas!$IC$19</f>
        <v>0</v>
      </c>
      <c r="D11" s="231">
        <f>+[3]DHL_Atlas!$HO$19</f>
        <v>0</v>
      </c>
      <c r="E11" s="346" t="e">
        <f t="shared" ref="E11:E18" si="4">(C11-D11)/D11</f>
        <v>#DIV/0!</v>
      </c>
      <c r="F11" s="344">
        <f>+SUM([3]DHL_Atlas!$HR$19:$IC$19)</f>
        <v>0</v>
      </c>
      <c r="G11" s="231">
        <f>+SUM([3]DHL_Atlas!$HD$19:$HO$19)</f>
        <v>12</v>
      </c>
      <c r="H11" s="345">
        <f t="shared" ref="H11:H18" si="5">(F11-G11)/G11</f>
        <v>-1</v>
      </c>
      <c r="I11" s="346">
        <f t="shared" si="0"/>
        <v>0</v>
      </c>
      <c r="J11" s="280"/>
      <c r="K11" s="40" t="s">
        <v>211</v>
      </c>
      <c r="L11" s="344">
        <f>+[3]DHL_Atlas!$IC$64</f>
        <v>0</v>
      </c>
      <c r="M11" s="231">
        <f>+[3]DHL_Atlas!$HO$64</f>
        <v>0</v>
      </c>
      <c r="N11" s="346" t="e">
        <f t="shared" si="1"/>
        <v>#DIV/0!</v>
      </c>
      <c r="O11" s="344">
        <f>+SUM([3]DHL_Atlas!$HR$64:$IC$64)</f>
        <v>0</v>
      </c>
      <c r="P11" s="231">
        <f>+SUM([3]DHL_Atlas!$HD$64:$HO$64)</f>
        <v>259570</v>
      </c>
      <c r="Q11" s="345">
        <f t="shared" si="2"/>
        <v>-1</v>
      </c>
      <c r="R11" s="346">
        <f t="shared" si="3"/>
        <v>0</v>
      </c>
      <c r="T11" s="430"/>
    </row>
    <row r="12" spans="1:20" ht="14.1" customHeight="1" x14ac:dyDescent="0.2">
      <c r="A12" s="280"/>
      <c r="B12" s="40" t="s">
        <v>214</v>
      </c>
      <c r="C12" s="344">
        <f>+[3]DHL!$IC$19</f>
        <v>2</v>
      </c>
      <c r="D12" s="231">
        <f>+[3]DHL!$HO$19</f>
        <v>2</v>
      </c>
      <c r="E12" s="346">
        <f t="shared" si="4"/>
        <v>0</v>
      </c>
      <c r="F12" s="344">
        <f>+SUM([3]DHL!$HR$19:$IC$19)</f>
        <v>2</v>
      </c>
      <c r="G12" s="231">
        <f>+SUM([3]DHL!$HD$19:$HO$19)</f>
        <v>2</v>
      </c>
      <c r="H12" s="345">
        <f t="shared" si="5"/>
        <v>0</v>
      </c>
      <c r="I12" s="346">
        <f t="shared" si="0"/>
        <v>1.2677484787018255E-4</v>
      </c>
      <c r="J12" s="280"/>
      <c r="K12" s="40" t="s">
        <v>214</v>
      </c>
      <c r="L12" s="344">
        <f>+[3]DHL!$IC$64</f>
        <v>35948</v>
      </c>
      <c r="M12" s="231">
        <f>+[3]DHL!$HO$64</f>
        <v>54500</v>
      </c>
      <c r="N12" s="346">
        <f t="shared" si="1"/>
        <v>-0.34040366972477065</v>
      </c>
      <c r="O12" s="344">
        <f>+SUM([3]DHL!$HR$64:$IC$64)</f>
        <v>35948</v>
      </c>
      <c r="P12" s="231">
        <f>+SUM([3]DHL!$HD$64:$HO$64)</f>
        <v>54500</v>
      </c>
      <c r="Q12" s="345">
        <f t="shared" si="2"/>
        <v>-0.34040366972477065</v>
      </c>
      <c r="R12" s="346">
        <f t="shared" si="3"/>
        <v>8.485956419623435E-5</v>
      </c>
      <c r="T12" s="430"/>
    </row>
    <row r="13" spans="1:20" ht="14.1" customHeight="1" x14ac:dyDescent="0.2">
      <c r="A13" s="280"/>
      <c r="B13" s="340" t="s">
        <v>83</v>
      </c>
      <c r="C13" s="344">
        <f>+[3]DHL_Bemidji!$IC$19</f>
        <v>54</v>
      </c>
      <c r="D13" s="231">
        <f>+[3]DHL_Bemidji!$HO$19</f>
        <v>76</v>
      </c>
      <c r="E13" s="346">
        <f>(C13-D13)/D13</f>
        <v>-0.28947368421052633</v>
      </c>
      <c r="F13" s="344">
        <f>+SUM([3]DHL_Bemidji!$HR$19:$IC$19)</f>
        <v>928</v>
      </c>
      <c r="G13" s="231">
        <f>+SUM([3]DHL_Bemidji!$HD$19:$HO$19)</f>
        <v>356</v>
      </c>
      <c r="H13" s="345">
        <f t="shared" si="5"/>
        <v>1.6067415730337078</v>
      </c>
      <c r="I13" s="346">
        <f t="shared" si="0"/>
        <v>5.8823529411764705E-2</v>
      </c>
      <c r="J13" s="280"/>
      <c r="K13" s="340" t="s">
        <v>83</v>
      </c>
      <c r="L13" s="344">
        <f>+[3]DHL_Bemidji!$IC$64</f>
        <v>67427</v>
      </c>
      <c r="M13" s="231">
        <f>+[3]DHL_Bemidji!$HO$64</f>
        <v>124559</v>
      </c>
      <c r="N13" s="346">
        <f t="shared" si="1"/>
        <v>-0.45867420258672598</v>
      </c>
      <c r="O13" s="344">
        <f>+SUM([3]DHL_Bemidji!$HR$64:$IC$64)</f>
        <v>1213292</v>
      </c>
      <c r="P13" s="231">
        <f>+SUM([3]DHL_Bemidji!$HD$64:$HO$64)</f>
        <v>577578</v>
      </c>
      <c r="Q13" s="345">
        <f t="shared" si="2"/>
        <v>1.1006548033339221</v>
      </c>
      <c r="R13" s="346">
        <f t="shared" si="3"/>
        <v>2.86412124075825E-3</v>
      </c>
      <c r="T13" s="430"/>
    </row>
    <row r="14" spans="1:20" ht="14.1" customHeight="1" x14ac:dyDescent="0.2">
      <c r="A14" s="280"/>
      <c r="B14" s="40" t="s">
        <v>201</v>
      </c>
      <c r="C14" s="344">
        <f>+[3]Encore!$IC$19+[3]DHL_Encore!$IC$12</f>
        <v>0</v>
      </c>
      <c r="D14" s="231">
        <f>+[3]Encore!$HO$19+[3]DHL_Encore!$HO$19</f>
        <v>0</v>
      </c>
      <c r="E14" s="346" t="e">
        <f t="shared" si="4"/>
        <v>#DIV/0!</v>
      </c>
      <c r="F14" s="344">
        <f>+SUM([3]Encore!$HR$19:$IC$19)+SUM([3]DHL_Encore!$HR$19:$IC$19)</f>
        <v>34</v>
      </c>
      <c r="G14" s="231">
        <f>+SUM([3]Encore!$HD$19:$HO$19)+SUM([3]DHL_Encore!$HD$19:$HO$19)</f>
        <v>650</v>
      </c>
      <c r="H14" s="345">
        <f t="shared" si="5"/>
        <v>-0.94769230769230772</v>
      </c>
      <c r="I14" s="346">
        <f t="shared" si="0"/>
        <v>2.1551724137931034E-3</v>
      </c>
      <c r="J14" s="280"/>
      <c r="K14" s="40" t="s">
        <v>201</v>
      </c>
      <c r="L14" s="344">
        <f>+[3]Encore!$IC$64+[3]DHL_Encore!$IC$64</f>
        <v>0</v>
      </c>
      <c r="M14" s="231">
        <f>+[3]Encore!$HEW$64+[3]DHL_Encore!$HO$64</f>
        <v>0</v>
      </c>
      <c r="N14" s="346" t="e">
        <f>(L14-M14)/M14</f>
        <v>#DIV/0!</v>
      </c>
      <c r="O14" s="344">
        <f>+SUM([3]Encore!$HR$64:$IC$64)+SUM([3]DHL_Encore!$HR$64:$IC$64)</f>
        <v>769886</v>
      </c>
      <c r="P14" s="231">
        <f>+SUM([3]Encore!$HD$64:$HO$64)+SUM([3]DHL_Encore!$HD$64:$HO$64)</f>
        <v>1112668</v>
      </c>
      <c r="Q14" s="345">
        <f t="shared" si="2"/>
        <v>-0.30807212933237949</v>
      </c>
      <c r="R14" s="346">
        <f t="shared" si="3"/>
        <v>1.817408212996052E-3</v>
      </c>
      <c r="T14" s="430"/>
    </row>
    <row r="15" spans="1:20" ht="14.1" customHeight="1" x14ac:dyDescent="0.2">
      <c r="A15" s="280"/>
      <c r="B15" s="40" t="s">
        <v>215</v>
      </c>
      <c r="C15" s="344">
        <f>+[3]DHL_Kalitta!$IC$19</f>
        <v>0</v>
      </c>
      <c r="D15" s="231">
        <f>+[3]DHL_Kalitta!$HO$19</f>
        <v>0</v>
      </c>
      <c r="E15" s="346" t="e">
        <f t="shared" si="4"/>
        <v>#DIV/0!</v>
      </c>
      <c r="F15" s="344">
        <f>+SUM([3]DHL_Kalitta!$HR$19:$IC$19)</f>
        <v>2</v>
      </c>
      <c r="G15" s="231">
        <f>+SUM([3]DHL_Kalitta!$HD$19:$HO$19)</f>
        <v>168</v>
      </c>
      <c r="H15" s="345">
        <f t="shared" si="5"/>
        <v>-0.98809523809523814</v>
      </c>
      <c r="I15" s="346">
        <f t="shared" si="0"/>
        <v>1.2677484787018255E-4</v>
      </c>
      <c r="J15" s="280"/>
      <c r="K15" s="40" t="s">
        <v>215</v>
      </c>
      <c r="L15" s="344">
        <f>+[3]DHL_Kalitta!$IC$64</f>
        <v>0</v>
      </c>
      <c r="M15" s="231">
        <f>+[3]DHL_Kalitta!$HO$64</f>
        <v>0</v>
      </c>
      <c r="N15" s="346" t="e">
        <f t="shared" si="1"/>
        <v>#DIV/0!</v>
      </c>
      <c r="O15" s="344">
        <f>+SUM([3]DHL_Kalitta!$HR$64:$IC$64)</f>
        <v>43161</v>
      </c>
      <c r="P15" s="231">
        <f>+SUM([3]DHL_Kalitta!$HD$64:$HO$64)</f>
        <v>4528052.7799999993</v>
      </c>
      <c r="Q15" s="345">
        <f t="shared" si="2"/>
        <v>-0.99046808813920229</v>
      </c>
      <c r="R15" s="346">
        <f t="shared" si="3"/>
        <v>1.0188671554116142E-4</v>
      </c>
      <c r="T15" s="430"/>
    </row>
    <row r="16" spans="1:20" ht="14.1" customHeight="1" x14ac:dyDescent="0.2">
      <c r="A16" s="280"/>
      <c r="B16" s="340" t="s">
        <v>51</v>
      </c>
      <c r="C16" s="344">
        <f>+[3]Encore!$IC$19+[3]DHL_Mesa!$IC$12</f>
        <v>80</v>
      </c>
      <c r="D16" s="231">
        <f>+[3]Encore!$HO$19+[3]DHL_Mesa!$HO$19</f>
        <v>0</v>
      </c>
      <c r="E16" s="346" t="e">
        <f t="shared" ref="E16" si="6">(C16-D16)/D16</f>
        <v>#DIV/0!</v>
      </c>
      <c r="F16" s="344">
        <f>+SUM([3]Encore!$HR$19:$IC$19)+SUM([3]DHL_Mesa!$HR$19:$IC$19)</f>
        <v>552</v>
      </c>
      <c r="G16" s="231">
        <f>+SUM([3]Encore!$HD$19:$HO$19)+SUM([3]DHL_Mesa!$HD$19:$HO$19)</f>
        <v>0</v>
      </c>
      <c r="H16" s="345" t="e">
        <f t="shared" ref="H16" si="7">(F16-G16)/G16</f>
        <v>#DIV/0!</v>
      </c>
      <c r="I16" s="346">
        <f t="shared" si="0"/>
        <v>3.4989858012170388E-2</v>
      </c>
      <c r="J16" s="280"/>
      <c r="K16" s="340" t="s">
        <v>51</v>
      </c>
      <c r="L16" s="344">
        <f>+[3]Encore!$IC$64+[3]DHL_Mesa!$IC$64</f>
        <v>1227781</v>
      </c>
      <c r="M16" s="231">
        <f>+[3]Encore!$HEW$64+[3]DHL_Mesa!$HO$64</f>
        <v>0</v>
      </c>
      <c r="N16" s="346" t="e">
        <f t="shared" ref="N16" si="8">(L16-M16)/M16</f>
        <v>#DIV/0!</v>
      </c>
      <c r="O16" s="344">
        <f>+SUM([3]Encore!$HR$64:$IC$64)+SUM([3]DHL_Mesa!$HR$64:$IC$64)</f>
        <v>9107078</v>
      </c>
      <c r="P16" s="231">
        <f>+SUM([3]Encore!$HD$64:$HO$64)+SUM([3]DHL_Mesa!$HD$64:$HO$64)</f>
        <v>0</v>
      </c>
      <c r="Q16" s="345" t="e">
        <f t="shared" ref="Q16" si="9">(O16-P16)/P16</f>
        <v>#DIV/0!</v>
      </c>
      <c r="R16" s="346">
        <f t="shared" si="3"/>
        <v>2.1498349565514451E-2</v>
      </c>
      <c r="T16" s="430"/>
    </row>
    <row r="17" spans="1:20" ht="14.1" customHeight="1" x14ac:dyDescent="0.2">
      <c r="A17" s="280"/>
      <c r="B17" s="40" t="s">
        <v>216</v>
      </c>
      <c r="C17" s="344">
        <f>+[3]DHL_Southair!$IC$19</f>
        <v>0</v>
      </c>
      <c r="D17" s="231">
        <f>+[3]DHL_Southair!$HO$19</f>
        <v>0</v>
      </c>
      <c r="E17" s="346" t="e">
        <f t="shared" si="4"/>
        <v>#DIV/0!</v>
      </c>
      <c r="F17" s="344">
        <f>+SUM([3]DHL_Southair!$HR$19:$IC$19)</f>
        <v>0</v>
      </c>
      <c r="G17" s="231">
        <f>+SUM([3]DHL_Southair!$HD$19:$HO$19)</f>
        <v>0</v>
      </c>
      <c r="H17" s="345" t="e">
        <f t="shared" si="5"/>
        <v>#DIV/0!</v>
      </c>
      <c r="I17" s="346">
        <f t="shared" si="0"/>
        <v>0</v>
      </c>
      <c r="J17" s="280"/>
      <c r="K17" s="40" t="s">
        <v>216</v>
      </c>
      <c r="L17" s="344">
        <f>+[3]DHL_Southair!$IC$64</f>
        <v>0</v>
      </c>
      <c r="M17" s="231">
        <f>+[3]DHL_Southair!$HO$64</f>
        <v>0</v>
      </c>
      <c r="N17" s="346" t="e">
        <f t="shared" si="1"/>
        <v>#DIV/0!</v>
      </c>
      <c r="O17" s="344">
        <f>+SUM([3]DHL_Southair!$HR$64:$IC$64)</f>
        <v>0</v>
      </c>
      <c r="P17" s="231">
        <f>+SUM([3]DHL_Southair!$HD$64:$HO$64)</f>
        <v>0</v>
      </c>
      <c r="Q17" s="345" t="e">
        <f t="shared" si="2"/>
        <v>#DIV/0!</v>
      </c>
      <c r="R17" s="346">
        <f t="shared" si="3"/>
        <v>0</v>
      </c>
      <c r="T17" s="430"/>
    </row>
    <row r="18" spans="1:20" ht="14.1" customHeight="1" x14ac:dyDescent="0.2">
      <c r="A18" s="280"/>
      <c r="B18" s="40" t="s">
        <v>217</v>
      </c>
      <c r="C18" s="344">
        <f>+[3]DHL_Swift!$IC$19</f>
        <v>14</v>
      </c>
      <c r="D18" s="231">
        <f>+[3]DHL_Swift!$HO$19</f>
        <v>86</v>
      </c>
      <c r="E18" s="346">
        <f t="shared" si="4"/>
        <v>-0.83720930232558144</v>
      </c>
      <c r="F18" s="344">
        <f>+SUM([3]DHL_Swift!$HR$19:$IC$19)</f>
        <v>320</v>
      </c>
      <c r="G18" s="231">
        <f>+SUM([3]DHL_Swift!$HD$19:$HO$19)</f>
        <v>466</v>
      </c>
      <c r="H18" s="345">
        <f t="shared" si="5"/>
        <v>-0.31330472103004292</v>
      </c>
      <c r="I18" s="346">
        <f t="shared" si="0"/>
        <v>2.0283975659229209E-2</v>
      </c>
      <c r="J18" s="280"/>
      <c r="K18" s="40" t="s">
        <v>217</v>
      </c>
      <c r="L18" s="344">
        <f>+[3]DHL_Swift!$IC$64</f>
        <v>165251</v>
      </c>
      <c r="M18" s="231">
        <f>+[3]DHL_Swift!$HO$64</f>
        <v>1581757</v>
      </c>
      <c r="N18" s="346">
        <f t="shared" si="1"/>
        <v>-0.89552693618552026</v>
      </c>
      <c r="O18" s="344">
        <f>+SUM([3]DHL_Swift!$HR$64:$IC$64)</f>
        <v>7840576</v>
      </c>
      <c r="P18" s="231">
        <f>+SUM([3]DHL_Swift!$HD$64:$HO$64)</f>
        <v>10169676</v>
      </c>
      <c r="Q18" s="345">
        <f t="shared" si="2"/>
        <v>-0.22902401217108589</v>
      </c>
      <c r="R18" s="346">
        <f t="shared" si="3"/>
        <v>1.8508619739831266E-2</v>
      </c>
      <c r="T18" s="430"/>
    </row>
    <row r="19" spans="1:20" ht="14.1" customHeight="1" x14ac:dyDescent="0.2">
      <c r="A19" s="280"/>
      <c r="B19" s="40"/>
      <c r="C19" s="281"/>
      <c r="D19" s="283"/>
      <c r="E19" s="284"/>
      <c r="F19" s="281"/>
      <c r="G19" s="283"/>
      <c r="H19" s="282"/>
      <c r="I19" s="284"/>
      <c r="J19" s="280" t="s">
        <v>185</v>
      </c>
      <c r="K19" s="40"/>
      <c r="L19" s="285"/>
      <c r="M19" s="2"/>
      <c r="N19" s="66"/>
      <c r="O19" s="285"/>
      <c r="P19" s="283"/>
      <c r="Q19" s="3"/>
      <c r="R19" s="66"/>
      <c r="T19" s="430"/>
    </row>
    <row r="20" spans="1:20" ht="14.1" customHeight="1" x14ac:dyDescent="0.2">
      <c r="A20" s="280" t="s">
        <v>185</v>
      </c>
      <c r="B20" s="40"/>
      <c r="C20" s="418">
        <f>SUM(C21:C24)</f>
        <v>332</v>
      </c>
      <c r="D20" s="414">
        <f>SUM(D21:D24)</f>
        <v>440</v>
      </c>
      <c r="E20" s="415">
        <f>(C20-D20)/D20</f>
        <v>-0.24545454545454545</v>
      </c>
      <c r="F20" s="418">
        <f>SUM(F21:F24)</f>
        <v>3930</v>
      </c>
      <c r="G20" s="414">
        <f>SUM(G21:G24)</f>
        <v>4380</v>
      </c>
      <c r="H20" s="416">
        <f t="shared" ref="H20:H21" si="10">(F20-G20)/G20</f>
        <v>-0.10273972602739725</v>
      </c>
      <c r="I20" s="415">
        <f>+F20/$F$34</f>
        <v>0.24911257606490872</v>
      </c>
      <c r="J20" s="280"/>
      <c r="K20" s="40"/>
      <c r="L20" s="418">
        <f>SUM(L21:L24)</f>
        <v>16245102</v>
      </c>
      <c r="M20" s="414">
        <f>SUM(M21:M24)</f>
        <v>18322003</v>
      </c>
      <c r="N20" s="415">
        <f>(L20-M20)/M20</f>
        <v>-0.11335556489102201</v>
      </c>
      <c r="O20" s="418">
        <f>SUM(O21:O24)</f>
        <v>181763479</v>
      </c>
      <c r="P20" s="414">
        <f>SUM(P21:P24)</f>
        <v>201787513</v>
      </c>
      <c r="Q20" s="416">
        <f t="shared" ref="Q20:Q22" si="11">(O20-P20)/P20</f>
        <v>-9.9233266232881312E-2</v>
      </c>
      <c r="R20" s="415">
        <f>O20/$O$34</f>
        <v>0.42907448577755075</v>
      </c>
      <c r="T20" s="430"/>
    </row>
    <row r="21" spans="1:20" ht="14.1" customHeight="1" x14ac:dyDescent="0.2">
      <c r="A21" s="38"/>
      <c r="B21" s="340" t="s">
        <v>185</v>
      </c>
      <c r="C21" s="344">
        <f>+[3]FedEx!$IC$19</f>
        <v>272</v>
      </c>
      <c r="D21" s="231">
        <f>+[3]FedEx!$HO$19</f>
        <v>364</v>
      </c>
      <c r="E21" s="346">
        <f>(C21-D21)/D21</f>
        <v>-0.25274725274725274</v>
      </c>
      <c r="F21" s="344">
        <f>+SUM([3]FedEx!$HR$19:$IC$19)</f>
        <v>3072</v>
      </c>
      <c r="G21" s="231">
        <f>+SUM([3]FedEx!$HD$19:$HO$19)</f>
        <v>3484</v>
      </c>
      <c r="H21" s="345">
        <f t="shared" si="10"/>
        <v>-0.11825487944890931</v>
      </c>
      <c r="I21" s="346">
        <f>+F21/$F$34</f>
        <v>0.1947261663286004</v>
      </c>
      <c r="J21" s="396"/>
      <c r="K21" s="340" t="s">
        <v>185</v>
      </c>
      <c r="L21" s="344">
        <f>+[3]FedEx!$IC$64</f>
        <v>16048063</v>
      </c>
      <c r="M21" s="231">
        <f>+[3]FedEx!$HO$64</f>
        <v>18092314</v>
      </c>
      <c r="N21" s="346">
        <f>(L21-M21)/M21</f>
        <v>-0.11299002438272959</v>
      </c>
      <c r="O21" s="344">
        <f>+SUM([3]FedEx!$HR$64:$IC$64)</f>
        <v>179273632</v>
      </c>
      <c r="P21" s="231">
        <f>+SUM([3]FedEx!$HD$64:$HO$64)</f>
        <v>199297255</v>
      </c>
      <c r="Q21" s="345">
        <f t="shared" si="11"/>
        <v>-0.10047114296682109</v>
      </c>
      <c r="R21" s="346">
        <f>O21/$O$34</f>
        <v>0.42319690339924593</v>
      </c>
      <c r="T21" s="430"/>
    </row>
    <row r="22" spans="1:20" ht="14.1" customHeight="1" x14ac:dyDescent="0.2">
      <c r="A22" s="38"/>
      <c r="B22" s="340" t="s">
        <v>218</v>
      </c>
      <c r="C22" s="344">
        <f>+'[3]Mountain Cargo'!$IC$19</f>
        <v>32</v>
      </c>
      <c r="D22" s="231">
        <f>+'[3]Mountain Cargo'!$HO$19</f>
        <v>42</v>
      </c>
      <c r="E22" s="346">
        <f>(C22-D22)/D22</f>
        <v>-0.23809523809523808</v>
      </c>
      <c r="F22" s="344">
        <f>+SUM('[3]Mountain Cargo'!$HR$19:$IC$19)</f>
        <v>490</v>
      </c>
      <c r="G22" s="231">
        <f>+SUM('[3]Mountain Cargo'!$HD$19:$HO$19)</f>
        <v>514</v>
      </c>
      <c r="H22" s="345">
        <f>(F22-G22)/G22</f>
        <v>-4.6692607003891051E-2</v>
      </c>
      <c r="I22" s="346">
        <f>+F22/$F$34</f>
        <v>3.1059837728194727E-2</v>
      </c>
      <c r="J22" s="396"/>
      <c r="K22" s="340" t="s">
        <v>218</v>
      </c>
      <c r="L22" s="344">
        <f>+'[3]Mountain Cargo'!$IC$64</f>
        <v>123850</v>
      </c>
      <c r="M22" s="231">
        <f>+'[3]Mountain Cargo'!$HO$64</f>
        <v>174232</v>
      </c>
      <c r="N22" s="346">
        <f>(L22-M22)/M22</f>
        <v>-0.28916616924560357</v>
      </c>
      <c r="O22" s="344">
        <f>+SUM('[3]Mountain Cargo'!$HR$64:$IC$64)</f>
        <v>1772675</v>
      </c>
      <c r="P22" s="231">
        <f>+SUM('[3]Mountain Cargo'!$HD$64:$HO$64)</f>
        <v>1873859</v>
      </c>
      <c r="Q22" s="345">
        <f t="shared" si="11"/>
        <v>-5.3997659375652061E-2</v>
      </c>
      <c r="R22" s="346">
        <f>O22/$O$34</f>
        <v>4.1846118827628719E-3</v>
      </c>
      <c r="T22" s="430"/>
    </row>
    <row r="23" spans="1:20" ht="14.1" customHeight="1" x14ac:dyDescent="0.2">
      <c r="A23" s="38"/>
      <c r="B23" s="340" t="s">
        <v>177</v>
      </c>
      <c r="C23" s="344">
        <f>+[3]IFL!$IC$19</f>
        <v>28</v>
      </c>
      <c r="D23" s="231">
        <f>+[3]IFL!$HO$19</f>
        <v>34</v>
      </c>
      <c r="E23" s="346">
        <f>(C23-D23)/D23</f>
        <v>-0.17647058823529413</v>
      </c>
      <c r="F23" s="344">
        <f>+SUM([3]IFL!$HR$19:$IC$19)</f>
        <v>368</v>
      </c>
      <c r="G23" s="231">
        <f>+SUM([3]IFL!$HD$19:$HO$19)</f>
        <v>382</v>
      </c>
      <c r="H23" s="345">
        <f>(F23-G23)/G23</f>
        <v>-3.6649214659685861E-2</v>
      </c>
      <c r="I23" s="346">
        <f>+F23/$F$34</f>
        <v>2.332657200811359E-2</v>
      </c>
      <c r="J23" s="280"/>
      <c r="K23" s="340" t="s">
        <v>177</v>
      </c>
      <c r="L23" s="344">
        <f>+[3]IFL!$IC$64</f>
        <v>73189</v>
      </c>
      <c r="M23" s="231">
        <f>+[3]IFL!$HO$64</f>
        <v>55457</v>
      </c>
      <c r="N23" s="346">
        <f>(L23-M23)/M23</f>
        <v>0.31974322448022791</v>
      </c>
      <c r="O23" s="344">
        <f>+SUM([3]IFL!$HR$64:$IC$64)</f>
        <v>717172</v>
      </c>
      <c r="P23" s="231">
        <f>+SUM([3]IFL!$HD$64:$HO$64)</f>
        <v>616399</v>
      </c>
      <c r="Q23" s="345">
        <f>(O23-P23)/P23</f>
        <v>0.16348663771355892</v>
      </c>
      <c r="R23" s="346">
        <f>O23/$O$34</f>
        <v>1.6929704955419434E-3</v>
      </c>
      <c r="T23" s="430"/>
    </row>
    <row r="24" spans="1:20" ht="14.1" customHeight="1" x14ac:dyDescent="0.2">
      <c r="A24" s="280"/>
      <c r="B24" s="340" t="s">
        <v>84</v>
      </c>
      <c r="C24" s="344">
        <f>+'[3]CSA Air'!$IC$19</f>
        <v>0</v>
      </c>
      <c r="D24" s="231">
        <f>+'[3]CSA Air'!$HO$19</f>
        <v>0</v>
      </c>
      <c r="E24" s="346" t="e">
        <f>(C24-D24)/D24</f>
        <v>#DIV/0!</v>
      </c>
      <c r="F24" s="344">
        <f>+SUM('[3]CSA Air'!$HR$19:$IC$19)</f>
        <v>0</v>
      </c>
      <c r="G24" s="231">
        <f>+SUM('[3]CSA Air'!$HD$19:$HO$19)</f>
        <v>0</v>
      </c>
      <c r="H24" s="345" t="e">
        <f t="shared" ref="H24" si="12">(F24-G24)/G24</f>
        <v>#DIV/0!</v>
      </c>
      <c r="I24" s="346">
        <f>+F24/$F$34</f>
        <v>0</v>
      </c>
      <c r="J24" s="280"/>
      <c r="K24" s="340" t="s">
        <v>84</v>
      </c>
      <c r="L24" s="344">
        <f>+'[3]CSA Air'!$IC$64</f>
        <v>0</v>
      </c>
      <c r="M24" s="231">
        <f>+'[3]CSA Air'!$HO$64</f>
        <v>0</v>
      </c>
      <c r="N24" s="346" t="e">
        <f>(L24-M24)/M24</f>
        <v>#DIV/0!</v>
      </c>
      <c r="O24" s="344">
        <f>+SUM('[3]CSA Air'!$HR$64:$IC$64)</f>
        <v>0</v>
      </c>
      <c r="P24" s="231">
        <f>+SUM('[3]CSA Air'!$HD$64:$HO$64)</f>
        <v>0</v>
      </c>
      <c r="Q24" s="345" t="e">
        <f t="shared" ref="Q24" si="13">(O24-P24)/P24</f>
        <v>#DIV/0!</v>
      </c>
      <c r="R24" s="346">
        <f>O24/$O$34</f>
        <v>0</v>
      </c>
      <c r="T24" s="430"/>
    </row>
    <row r="25" spans="1:20" ht="14.1" customHeight="1" x14ac:dyDescent="0.2">
      <c r="A25" s="280"/>
      <c r="B25" s="40"/>
      <c r="C25" s="281"/>
      <c r="D25" s="283"/>
      <c r="E25" s="284"/>
      <c r="F25" s="281"/>
      <c r="G25" s="283"/>
      <c r="H25" s="282"/>
      <c r="I25" s="284"/>
      <c r="L25" s="285"/>
      <c r="M25" s="2"/>
      <c r="N25" s="66"/>
      <c r="O25" s="285"/>
      <c r="P25" s="2"/>
      <c r="Q25" s="3"/>
      <c r="R25" s="66"/>
      <c r="S25" s="261"/>
      <c r="T25" s="430"/>
    </row>
    <row r="26" spans="1:20" ht="14.1" customHeight="1" x14ac:dyDescent="0.2">
      <c r="A26" s="280" t="s">
        <v>82</v>
      </c>
      <c r="B26" s="40"/>
      <c r="C26" s="414">
        <f>SUM(C27:C28)</f>
        <v>870</v>
      </c>
      <c r="D26" s="414">
        <f>SUM(D27:D28)</f>
        <v>866</v>
      </c>
      <c r="E26" s="415">
        <f>(C26-D26)/D26</f>
        <v>4.6189376443418013E-3</v>
      </c>
      <c r="F26" s="414">
        <f>SUM(F27:F28)</f>
        <v>8198</v>
      </c>
      <c r="G26" s="414">
        <f>SUM(G27:G28)</f>
        <v>8799</v>
      </c>
      <c r="H26" s="416">
        <f>(F26-G26)/G26</f>
        <v>-6.8303216274576653E-2</v>
      </c>
      <c r="I26" s="415">
        <f>+F26/$F$34</f>
        <v>0.51965010141987833</v>
      </c>
      <c r="J26" s="280" t="s">
        <v>82</v>
      </c>
      <c r="K26" s="40"/>
      <c r="L26" s="414">
        <f>SUM(L27:L28)</f>
        <v>14992973</v>
      </c>
      <c r="M26" s="414">
        <f>SUM(M27:M28)</f>
        <v>18632477</v>
      </c>
      <c r="N26" s="415">
        <f>(L26-M26)/M26</f>
        <v>-0.19533119509553132</v>
      </c>
      <c r="O26" s="414">
        <f>SUM(O27:O28)</f>
        <v>153108523</v>
      </c>
      <c r="P26" s="414">
        <f>SUM(P27:P28)</f>
        <v>168425750</v>
      </c>
      <c r="Q26" s="416">
        <f>(O26-P26)/P26</f>
        <v>-9.0943498841477621E-2</v>
      </c>
      <c r="R26" s="415">
        <f>O26/$O$34</f>
        <v>0.36143102638558816</v>
      </c>
      <c r="S26" s="367"/>
      <c r="T26" s="432"/>
    </row>
    <row r="27" spans="1:20" ht="14.1" customHeight="1" x14ac:dyDescent="0.2">
      <c r="A27" s="280"/>
      <c r="B27" s="340" t="s">
        <v>82</v>
      </c>
      <c r="C27" s="344">
        <f>+[3]UPS!$IC$19</f>
        <v>370</v>
      </c>
      <c r="D27" s="231">
        <f>+[3]UPS!$HO$19</f>
        <v>456</v>
      </c>
      <c r="E27" s="346">
        <f>(C27-D27)/D27</f>
        <v>-0.18859649122807018</v>
      </c>
      <c r="F27" s="344">
        <f>+SUM([3]UPS!$HR$19:$IC$19)</f>
        <v>3366</v>
      </c>
      <c r="G27" s="231">
        <f>+SUM([3]UPS!$HD$19:$HO$19)</f>
        <v>3857</v>
      </c>
      <c r="H27" s="345">
        <f>(F27-G27)/G27</f>
        <v>-0.12730101114856104</v>
      </c>
      <c r="I27" s="346">
        <f>+F27/$F$34</f>
        <v>0.21336206896551724</v>
      </c>
      <c r="J27" s="280"/>
      <c r="K27" s="340" t="s">
        <v>82</v>
      </c>
      <c r="L27" s="344">
        <f>+[3]UPS!$IC$64</f>
        <v>14992973</v>
      </c>
      <c r="M27" s="231">
        <f>+[3]UPS!$HO$64</f>
        <v>18632477</v>
      </c>
      <c r="N27" s="346">
        <f>(L27-M27)/M27</f>
        <v>-0.19533119509553132</v>
      </c>
      <c r="O27" s="344">
        <f>+SUM([3]UPS!$HR$64:$IC$64)</f>
        <v>153108523</v>
      </c>
      <c r="P27" s="231">
        <f>+SUM([3]UPS!$HD$64:$HO$64)</f>
        <v>168425750</v>
      </c>
      <c r="Q27" s="345">
        <f>(O27-P27)/P27</f>
        <v>-9.0943498841477621E-2</v>
      </c>
      <c r="R27" s="346">
        <f>O27/$O$34</f>
        <v>0.36143102638558816</v>
      </c>
      <c r="S27" s="367"/>
      <c r="T27" s="432"/>
    </row>
    <row r="28" spans="1:20" x14ac:dyDescent="0.2">
      <c r="A28" s="280"/>
      <c r="B28" s="340" t="s">
        <v>83</v>
      </c>
      <c r="C28" s="344">
        <f>+[3]Bemidji!$IC$19</f>
        <v>500</v>
      </c>
      <c r="D28" s="231">
        <f>+[3]Bemidji!$HO$19</f>
        <v>410</v>
      </c>
      <c r="E28" s="346">
        <f>(C28-D28)/D28</f>
        <v>0.21951219512195122</v>
      </c>
      <c r="F28" s="344">
        <f>+SUM([3]Bemidji!$HR$19:$IC$19)</f>
        <v>4832</v>
      </c>
      <c r="G28" s="231">
        <f>+SUM([3]Bemidji!$HD$19:$HO$19)</f>
        <v>4942</v>
      </c>
      <c r="H28" s="345">
        <f t="shared" ref="H28" si="14">(F28-G28)/G28</f>
        <v>-2.2258195062727641E-2</v>
      </c>
      <c r="I28" s="346">
        <f>+F28/$F$34</f>
        <v>0.30628803245436104</v>
      </c>
      <c r="J28" s="280"/>
      <c r="K28" s="340" t="s">
        <v>83</v>
      </c>
      <c r="L28" s="448" t="s">
        <v>188</v>
      </c>
      <c r="M28" s="449"/>
      <c r="N28" s="449"/>
      <c r="O28" s="449"/>
      <c r="P28" s="449"/>
      <c r="Q28" s="449"/>
      <c r="R28" s="450"/>
      <c r="T28" s="430"/>
    </row>
    <row r="29" spans="1:20" x14ac:dyDescent="0.2">
      <c r="A29" s="38"/>
      <c r="B29" s="40"/>
      <c r="C29" s="281"/>
      <c r="D29" s="2"/>
      <c r="E29" s="66"/>
      <c r="F29" s="285"/>
      <c r="G29" s="2"/>
      <c r="H29" s="3"/>
      <c r="I29" s="66"/>
      <c r="K29" s="40"/>
      <c r="L29" s="285"/>
      <c r="M29" s="2"/>
      <c r="N29" s="66"/>
      <c r="O29" s="285"/>
      <c r="P29" s="2"/>
      <c r="Q29" s="3"/>
      <c r="R29" s="66"/>
      <c r="T29" s="430"/>
    </row>
    <row r="30" spans="1:20" x14ac:dyDescent="0.2">
      <c r="A30" s="280" t="s">
        <v>127</v>
      </c>
      <c r="B30" s="40"/>
      <c r="C30" s="418">
        <f>+'[3]Misc Cargo'!$IC$19</f>
        <v>0</v>
      </c>
      <c r="D30" s="414">
        <f>+'[3]Misc Cargo'!$HO$19</f>
        <v>0</v>
      </c>
      <c r="E30" s="415" t="e">
        <f>(C30-D30)/D30</f>
        <v>#DIV/0!</v>
      </c>
      <c r="F30" s="418">
        <f>+SUM('[3]Misc Cargo'!$HR$19:$IC$19)</f>
        <v>12</v>
      </c>
      <c r="G30" s="414">
        <f>+SUM('[3]Misc Cargo'!$HD$19:$HO$19)</f>
        <v>8</v>
      </c>
      <c r="H30" s="416">
        <f>(F30-G30)/G30</f>
        <v>0.5</v>
      </c>
      <c r="I30" s="415">
        <f>+F30/$F$34</f>
        <v>7.6064908722109532E-4</v>
      </c>
      <c r="J30" s="280" t="s">
        <v>127</v>
      </c>
      <c r="K30" s="40"/>
      <c r="L30" s="418">
        <f>+'[3]Misc Cargo'!$IC$64</f>
        <v>0</v>
      </c>
      <c r="M30" s="414">
        <f>+'[3]Misc Cargo'!$HO$64</f>
        <v>0</v>
      </c>
      <c r="N30" s="415" t="e">
        <f>(L30-M30)/M30</f>
        <v>#DIV/0!</v>
      </c>
      <c r="O30" s="418">
        <f>+SUM('[3]Misc Cargo'!$HR$64:$IC$64)</f>
        <v>111244</v>
      </c>
      <c r="P30" s="414">
        <f>+SUM('[3]Misc Cargo'!$HD$64:$HO$64)</f>
        <v>7535</v>
      </c>
      <c r="Q30" s="416">
        <f>(O30-P30)/P30</f>
        <v>13.763636363636364</v>
      </c>
      <c r="R30" s="415">
        <f>O30/$O$34</f>
        <v>2.6260480025163828E-4</v>
      </c>
      <c r="T30" s="430"/>
    </row>
    <row r="31" spans="1:20" x14ac:dyDescent="0.2">
      <c r="A31" s="38"/>
      <c r="B31" s="40"/>
      <c r="C31" s="281"/>
      <c r="D31" s="2"/>
      <c r="E31" s="66"/>
      <c r="F31" s="285"/>
      <c r="G31" s="2"/>
      <c r="H31" s="3"/>
      <c r="I31" s="66"/>
      <c r="J31" s="280"/>
      <c r="K31" s="40"/>
      <c r="L31" s="285"/>
      <c r="M31" s="2"/>
      <c r="N31" s="66"/>
      <c r="O31" s="285"/>
      <c r="P31" s="2"/>
      <c r="Q31" s="3"/>
      <c r="R31" s="66"/>
      <c r="T31" s="430"/>
    </row>
    <row r="32" spans="1:20" ht="13.5" thickBot="1" x14ac:dyDescent="0.25">
      <c r="A32" s="368"/>
      <c r="B32" s="369"/>
      <c r="C32" s="419"/>
      <c r="D32" s="420"/>
      <c r="E32" s="421"/>
      <c r="F32" s="419"/>
      <c r="G32" s="420"/>
      <c r="H32" s="422"/>
      <c r="I32" s="421"/>
      <c r="K32" s="40"/>
      <c r="L32" s="289"/>
      <c r="M32" s="291"/>
      <c r="N32" s="292"/>
      <c r="O32" s="289"/>
      <c r="P32" s="291"/>
      <c r="Q32" s="290"/>
      <c r="R32" s="369"/>
      <c r="T32" s="430"/>
    </row>
    <row r="33" spans="2:20" ht="13.5" thickBot="1" x14ac:dyDescent="0.25">
      <c r="C33" s="2"/>
      <c r="D33" s="3"/>
      <c r="E33" s="3"/>
      <c r="F33" s="2"/>
      <c r="K33" s="40"/>
      <c r="L33" s="2"/>
      <c r="T33" s="430"/>
    </row>
    <row r="34" spans="2:20" ht="15.75" thickBot="1" x14ac:dyDescent="0.3">
      <c r="B34" s="370" t="s">
        <v>186</v>
      </c>
      <c r="C34" s="371">
        <f>+C30+C26+C20+C9+C5</f>
        <v>1531</v>
      </c>
      <c r="D34" s="371">
        <f>+D30+D26+D20+D9+D5</f>
        <v>1632</v>
      </c>
      <c r="E34" s="372">
        <f>(C34-D34)/D34</f>
        <v>-6.1887254901960786E-2</v>
      </c>
      <c r="F34" s="371">
        <f>+F30+F26+F20+F9+F5</f>
        <v>15776</v>
      </c>
      <c r="G34" s="371">
        <f>+G30+G26+G20+G9+G5</f>
        <v>16720</v>
      </c>
      <c r="H34" s="373">
        <f>(F34-G34)/G34</f>
        <v>-5.6459330143540667E-2</v>
      </c>
      <c r="I34" s="382"/>
      <c r="K34" s="40"/>
      <c r="L34" s="371">
        <f>+L30+L26+L20+L9+L5</f>
        <v>39454984</v>
      </c>
      <c r="M34" s="371">
        <f>+M30+M26+M20+M9+M5</f>
        <v>45733248</v>
      </c>
      <c r="N34" s="374">
        <f>(L34-M34)/M34</f>
        <v>-0.13728008122230898</v>
      </c>
      <c r="O34" s="371">
        <f>+O30+O26+O20+O9+O5</f>
        <v>423617542</v>
      </c>
      <c r="P34" s="371">
        <f>+P30+P26+P20+P9+P5</f>
        <v>452677783.77999997</v>
      </c>
      <c r="Q34" s="373">
        <f t="shared" ref="Q34" si="15">(O34-P34)/P34</f>
        <v>-6.419630655902292E-2</v>
      </c>
      <c r="R34" s="382"/>
      <c r="T34" s="430"/>
    </row>
    <row r="35" spans="2:20" x14ac:dyDescent="0.2">
      <c r="L35" s="279"/>
      <c r="T35" s="430"/>
    </row>
    <row r="36" spans="2:20" x14ac:dyDescent="0.2">
      <c r="D36" s="2"/>
    </row>
    <row r="37" spans="2:20" x14ac:dyDescent="0.2">
      <c r="D37" s="2"/>
      <c r="O37" s="2"/>
    </row>
    <row r="38" spans="2:20" x14ac:dyDescent="0.2">
      <c r="D38" s="2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8" orientation="portrait" r:id="rId1"/>
  <headerFooter>
    <oddHeader>&amp;C&amp;"Arial,Bold"MSP Cargo 
December 2022</oddHeader>
  </headerFooter>
  <colBreaks count="1" manualBreakCount="1">
    <brk id="9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2023-09-22T18:18:08Z</dcterms:modified>
</cp:coreProperties>
</file>