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4CC6017D-319B-4CB1-BD31-09AE3E009AD4}" xr6:coauthVersionLast="45" xr6:coauthVersionMax="45" xr10:uidLastSave="{00000000-0000-0000-0000-000000000000}"/>
  <bookViews>
    <workbookView xWindow="-1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Activity'!$A$1:$R$69</definedName>
    <definedName name="_xlnm.Print_Area" localSheetId="2">'Other Major Airline Stats'!$A$2:$J$50</definedName>
    <definedName name="_xlnm.Print_Area" localSheetId="4">'Other Regional'!$A$1:$J$47</definedName>
    <definedName name="_xlnm.Print_Area" localSheetId="3">'Regional Major'!$A$1:$M$47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6" l="1"/>
  <c r="C9" i="16"/>
  <c r="C5" i="16"/>
  <c r="C4" i="16"/>
  <c r="C22" i="16"/>
  <c r="C21" i="16"/>
  <c r="C17" i="16"/>
  <c r="C16" i="16"/>
  <c r="C28" i="16"/>
  <c r="C27" i="16"/>
  <c r="C35" i="16"/>
  <c r="C34" i="16"/>
  <c r="P9" i="17" l="1"/>
  <c r="O9" i="17"/>
  <c r="M9" i="17"/>
  <c r="L9" i="17"/>
  <c r="N9" i="17" s="1"/>
  <c r="G9" i="17"/>
  <c r="F9" i="17"/>
  <c r="I9" i="17" s="1"/>
  <c r="D9" i="17"/>
  <c r="C9" i="17"/>
  <c r="H27" i="8"/>
  <c r="H26" i="8"/>
  <c r="H22" i="8"/>
  <c r="H21" i="8"/>
  <c r="H23" i="8" s="1"/>
  <c r="H17" i="8"/>
  <c r="H16" i="8"/>
  <c r="H5" i="8"/>
  <c r="H4" i="8"/>
  <c r="H10" i="8"/>
  <c r="Q9" i="17" l="1"/>
  <c r="H6" i="8"/>
  <c r="H12" i="8" s="1"/>
  <c r="E9" i="17"/>
  <c r="H32" i="8"/>
  <c r="H9" i="17"/>
  <c r="H31" i="8"/>
  <c r="H18" i="8"/>
  <c r="H28" i="8"/>
  <c r="P25" i="17"/>
  <c r="M25" i="17"/>
  <c r="G25" i="17"/>
  <c r="D25" i="17"/>
  <c r="P23" i="17"/>
  <c r="M23" i="17"/>
  <c r="G23" i="17"/>
  <c r="D23" i="17"/>
  <c r="P21" i="17"/>
  <c r="M21" i="17"/>
  <c r="G21" i="17"/>
  <c r="D21" i="17"/>
  <c r="G19" i="17"/>
  <c r="D19" i="17"/>
  <c r="P17" i="17"/>
  <c r="M17" i="17"/>
  <c r="G17" i="17"/>
  <c r="D17" i="17"/>
  <c r="P15" i="17"/>
  <c r="M15" i="17"/>
  <c r="G15" i="17"/>
  <c r="D15" i="17"/>
  <c r="P13" i="17"/>
  <c r="M13" i="17"/>
  <c r="G13" i="17"/>
  <c r="D13" i="17"/>
  <c r="P11" i="17"/>
  <c r="M11" i="17"/>
  <c r="G11" i="17"/>
  <c r="D11" i="17"/>
  <c r="P7" i="17"/>
  <c r="M7" i="17"/>
  <c r="G7" i="17"/>
  <c r="D7" i="17"/>
  <c r="P5" i="17"/>
  <c r="M5" i="17"/>
  <c r="G5" i="17"/>
  <c r="D5" i="17"/>
  <c r="H33" i="8" l="1"/>
  <c r="P64" i="9"/>
  <c r="M64" i="9"/>
  <c r="G64" i="9"/>
  <c r="D64" i="9"/>
  <c r="P63" i="9"/>
  <c r="M63" i="9"/>
  <c r="G63" i="9"/>
  <c r="D63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5" i="9"/>
  <c r="M55" i="9"/>
  <c r="G55" i="9"/>
  <c r="D55" i="9"/>
  <c r="P53" i="9"/>
  <c r="M53" i="9"/>
  <c r="G53" i="9"/>
  <c r="D53" i="9"/>
  <c r="P51" i="9"/>
  <c r="M51" i="9"/>
  <c r="G51" i="9"/>
  <c r="D51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9" i="9"/>
  <c r="M39" i="9"/>
  <c r="G39" i="9"/>
  <c r="D39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1" i="9"/>
  <c r="M31" i="9"/>
  <c r="G31" i="9"/>
  <c r="D31" i="9"/>
  <c r="P29" i="9"/>
  <c r="M29" i="9"/>
  <c r="G29" i="9"/>
  <c r="D29" i="9"/>
  <c r="P27" i="9"/>
  <c r="M27" i="9"/>
  <c r="G27" i="9"/>
  <c r="D27" i="9"/>
  <c r="P26" i="9"/>
  <c r="M26" i="9"/>
  <c r="G26" i="9"/>
  <c r="D26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18" i="9"/>
  <c r="M18" i="9"/>
  <c r="G18" i="9"/>
  <c r="D18" i="9"/>
  <c r="P17" i="9"/>
  <c r="M17" i="9"/>
  <c r="G17" i="9"/>
  <c r="D17" i="9"/>
  <c r="P16" i="9"/>
  <c r="M16" i="9"/>
  <c r="G16" i="9"/>
  <c r="D16" i="9"/>
  <c r="P13" i="9"/>
  <c r="M13" i="9"/>
  <c r="G13" i="9"/>
  <c r="D13" i="9"/>
  <c r="P11" i="9"/>
  <c r="M11" i="9"/>
  <c r="G11" i="9"/>
  <c r="D11" i="9"/>
  <c r="P9" i="9"/>
  <c r="M9" i="9"/>
  <c r="G9" i="9"/>
  <c r="D9" i="9"/>
  <c r="P8" i="9"/>
  <c r="M8" i="9"/>
  <c r="G8" i="9"/>
  <c r="D8" i="9"/>
  <c r="P7" i="9"/>
  <c r="M7" i="9"/>
  <c r="G7" i="9"/>
  <c r="D7" i="9"/>
  <c r="P4" i="9"/>
  <c r="M4" i="9"/>
  <c r="G4" i="9"/>
  <c r="D4" i="9"/>
  <c r="O64" i="9"/>
  <c r="L64" i="9"/>
  <c r="F64" i="9"/>
  <c r="C64" i="9"/>
  <c r="O63" i="9"/>
  <c r="L63" i="9"/>
  <c r="F63" i="9"/>
  <c r="C63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5" i="9"/>
  <c r="L55" i="9"/>
  <c r="F55" i="9"/>
  <c r="C55" i="9"/>
  <c r="O53" i="9"/>
  <c r="L53" i="9"/>
  <c r="F53" i="9"/>
  <c r="C53" i="9"/>
  <c r="O51" i="9"/>
  <c r="L51" i="9"/>
  <c r="F51" i="9"/>
  <c r="C51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9" i="9"/>
  <c r="L39" i="9"/>
  <c r="F39" i="9"/>
  <c r="C39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1" i="9"/>
  <c r="L31" i="9"/>
  <c r="F31" i="9"/>
  <c r="C31" i="9"/>
  <c r="O29" i="9"/>
  <c r="L29" i="9"/>
  <c r="F29" i="9"/>
  <c r="C29" i="9"/>
  <c r="O27" i="9"/>
  <c r="L27" i="9"/>
  <c r="F27" i="9"/>
  <c r="C27" i="9"/>
  <c r="O26" i="9"/>
  <c r="L26" i="9"/>
  <c r="F26" i="9"/>
  <c r="C26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18" i="9"/>
  <c r="L18" i="9"/>
  <c r="F18" i="9"/>
  <c r="C18" i="9"/>
  <c r="O17" i="9"/>
  <c r="L17" i="9"/>
  <c r="F17" i="9"/>
  <c r="C17" i="9"/>
  <c r="O16" i="9"/>
  <c r="L16" i="9"/>
  <c r="F16" i="9"/>
  <c r="C16" i="9"/>
  <c r="O13" i="9"/>
  <c r="L13" i="9"/>
  <c r="F13" i="9"/>
  <c r="C13" i="9"/>
  <c r="O11" i="9"/>
  <c r="L11" i="9"/>
  <c r="F11" i="9"/>
  <c r="C11" i="9"/>
  <c r="O9" i="9"/>
  <c r="L9" i="9"/>
  <c r="F9" i="9"/>
  <c r="C9" i="9"/>
  <c r="O8" i="9"/>
  <c r="L8" i="9"/>
  <c r="F8" i="9"/>
  <c r="C8" i="9"/>
  <c r="O7" i="9"/>
  <c r="L7" i="9"/>
  <c r="F7" i="9"/>
  <c r="C7" i="9"/>
  <c r="O4" i="9"/>
  <c r="L4" i="9"/>
  <c r="F4" i="9"/>
  <c r="C4" i="9"/>
  <c r="M35" i="16"/>
  <c r="L35" i="16"/>
  <c r="K35" i="16"/>
  <c r="J35" i="16"/>
  <c r="I35" i="16"/>
  <c r="H35" i="16"/>
  <c r="G35" i="16"/>
  <c r="F35" i="16"/>
  <c r="E35" i="16"/>
  <c r="D35" i="16"/>
  <c r="B35" i="16"/>
  <c r="M34" i="16"/>
  <c r="L34" i="16"/>
  <c r="K34" i="16"/>
  <c r="J34" i="16"/>
  <c r="I34" i="16"/>
  <c r="H34" i="16"/>
  <c r="G34" i="16"/>
  <c r="F34" i="16"/>
  <c r="E34" i="16"/>
  <c r="D34" i="16"/>
  <c r="B34" i="16"/>
  <c r="M28" i="16"/>
  <c r="L28" i="16"/>
  <c r="K28" i="16"/>
  <c r="J28" i="16"/>
  <c r="I28" i="16"/>
  <c r="H28" i="16"/>
  <c r="G28" i="16"/>
  <c r="F28" i="16"/>
  <c r="E28" i="16"/>
  <c r="D28" i="16"/>
  <c r="B28" i="16"/>
  <c r="M27" i="16"/>
  <c r="L27" i="16"/>
  <c r="K27" i="16"/>
  <c r="J27" i="16"/>
  <c r="I27" i="16"/>
  <c r="H27" i="16"/>
  <c r="G27" i="16"/>
  <c r="F27" i="16"/>
  <c r="E27" i="16"/>
  <c r="D27" i="16"/>
  <c r="B27" i="16"/>
  <c r="M22" i="16"/>
  <c r="L22" i="16"/>
  <c r="K22" i="16"/>
  <c r="J22" i="16"/>
  <c r="I22" i="16"/>
  <c r="H22" i="16"/>
  <c r="G22" i="16"/>
  <c r="F22" i="16"/>
  <c r="E22" i="16"/>
  <c r="D22" i="16"/>
  <c r="B22" i="16"/>
  <c r="M21" i="16"/>
  <c r="L21" i="16"/>
  <c r="K21" i="16"/>
  <c r="J21" i="16"/>
  <c r="I21" i="16"/>
  <c r="H21" i="16"/>
  <c r="G21" i="16"/>
  <c r="F21" i="16"/>
  <c r="E21" i="16"/>
  <c r="D21" i="16"/>
  <c r="B21" i="16"/>
  <c r="M17" i="16"/>
  <c r="L17" i="16"/>
  <c r="K17" i="16"/>
  <c r="J17" i="16"/>
  <c r="I17" i="16"/>
  <c r="H17" i="16"/>
  <c r="G17" i="16"/>
  <c r="F17" i="16"/>
  <c r="E17" i="16"/>
  <c r="D17" i="16"/>
  <c r="B17" i="16"/>
  <c r="M16" i="16"/>
  <c r="L16" i="16"/>
  <c r="K16" i="16"/>
  <c r="J16" i="16"/>
  <c r="I16" i="16"/>
  <c r="H16" i="16"/>
  <c r="G16" i="16"/>
  <c r="F16" i="16"/>
  <c r="E16" i="16"/>
  <c r="D16" i="16"/>
  <c r="B16" i="16"/>
  <c r="M10" i="16"/>
  <c r="L10" i="16"/>
  <c r="K10" i="16"/>
  <c r="J10" i="16"/>
  <c r="I10" i="16"/>
  <c r="H10" i="16"/>
  <c r="G10" i="16"/>
  <c r="F10" i="16"/>
  <c r="E10" i="16"/>
  <c r="D10" i="16"/>
  <c r="B10" i="16"/>
  <c r="M9" i="16"/>
  <c r="L9" i="16"/>
  <c r="K9" i="16"/>
  <c r="J9" i="16"/>
  <c r="I9" i="16"/>
  <c r="H9" i="16"/>
  <c r="G9" i="16"/>
  <c r="F9" i="16"/>
  <c r="E9" i="16"/>
  <c r="D9" i="16"/>
  <c r="B9" i="16"/>
  <c r="M5" i="16"/>
  <c r="L5" i="16"/>
  <c r="K5" i="16"/>
  <c r="J5" i="16"/>
  <c r="I5" i="16"/>
  <c r="H5" i="16"/>
  <c r="G5" i="16"/>
  <c r="F5" i="16"/>
  <c r="E5" i="16"/>
  <c r="D5" i="16"/>
  <c r="B5" i="16"/>
  <c r="M4" i="16"/>
  <c r="L4" i="16"/>
  <c r="K4" i="16"/>
  <c r="J4" i="16"/>
  <c r="I4" i="16"/>
  <c r="H4" i="16"/>
  <c r="G4" i="16"/>
  <c r="F4" i="16"/>
  <c r="E4" i="16"/>
  <c r="D4" i="16"/>
  <c r="B4" i="16"/>
  <c r="O25" i="17"/>
  <c r="L25" i="17"/>
  <c r="F25" i="17"/>
  <c r="I25" i="17" s="1"/>
  <c r="C25" i="17"/>
  <c r="O23" i="17"/>
  <c r="L23" i="17"/>
  <c r="F23" i="17"/>
  <c r="I23" i="17" s="1"/>
  <c r="C23" i="17"/>
  <c r="O21" i="17"/>
  <c r="L21" i="17"/>
  <c r="F21" i="17"/>
  <c r="I21" i="17" s="1"/>
  <c r="C21" i="17"/>
  <c r="F19" i="17"/>
  <c r="I19" i="17" s="1"/>
  <c r="C19" i="17"/>
  <c r="O17" i="17"/>
  <c r="L17" i="17"/>
  <c r="F17" i="17"/>
  <c r="I17" i="17" s="1"/>
  <c r="C17" i="17"/>
  <c r="O15" i="17"/>
  <c r="L15" i="17"/>
  <c r="F15" i="17"/>
  <c r="I15" i="17" s="1"/>
  <c r="C15" i="17"/>
  <c r="O13" i="17"/>
  <c r="L13" i="17"/>
  <c r="F13" i="17"/>
  <c r="I13" i="17" s="1"/>
  <c r="C13" i="17"/>
  <c r="O11" i="17"/>
  <c r="L11" i="17"/>
  <c r="F11" i="17"/>
  <c r="I11" i="17" s="1"/>
  <c r="C11" i="17"/>
  <c r="O7" i="17"/>
  <c r="L7" i="17"/>
  <c r="F7" i="17"/>
  <c r="I7" i="17" s="1"/>
  <c r="C7" i="17"/>
  <c r="O5" i="17"/>
  <c r="L5" i="17"/>
  <c r="F5" i="17"/>
  <c r="I5" i="17" s="1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N27" i="8"/>
  <c r="M27" i="8"/>
  <c r="L27" i="8"/>
  <c r="J27" i="8"/>
  <c r="I27" i="8"/>
  <c r="G27" i="8"/>
  <c r="E27" i="8"/>
  <c r="D27" i="8"/>
  <c r="C27" i="8"/>
  <c r="B27" i="8"/>
  <c r="N26" i="8"/>
  <c r="M26" i="8"/>
  <c r="L26" i="8"/>
  <c r="J26" i="8"/>
  <c r="I26" i="8"/>
  <c r="G26" i="8"/>
  <c r="E26" i="8"/>
  <c r="D26" i="8"/>
  <c r="C26" i="8"/>
  <c r="B26" i="8"/>
  <c r="N22" i="8"/>
  <c r="M22" i="8"/>
  <c r="L22" i="8"/>
  <c r="J22" i="8"/>
  <c r="I22" i="8"/>
  <c r="G22" i="8"/>
  <c r="E22" i="8"/>
  <c r="D22" i="8"/>
  <c r="C22" i="8"/>
  <c r="B22" i="8"/>
  <c r="N21" i="8"/>
  <c r="M21" i="8"/>
  <c r="L21" i="8"/>
  <c r="J21" i="8"/>
  <c r="I21" i="8"/>
  <c r="G21" i="8"/>
  <c r="E21" i="8"/>
  <c r="D21" i="8"/>
  <c r="C21" i="8"/>
  <c r="B21" i="8"/>
  <c r="N17" i="8"/>
  <c r="M17" i="8"/>
  <c r="L17" i="8"/>
  <c r="J17" i="8"/>
  <c r="I17" i="8"/>
  <c r="G17" i="8"/>
  <c r="E17" i="8"/>
  <c r="D17" i="8"/>
  <c r="C17" i="8"/>
  <c r="B17" i="8"/>
  <c r="N16" i="8"/>
  <c r="M16" i="8"/>
  <c r="L16" i="8"/>
  <c r="J16" i="8"/>
  <c r="I16" i="8"/>
  <c r="G16" i="8"/>
  <c r="E16" i="8"/>
  <c r="D16" i="8"/>
  <c r="C16" i="8"/>
  <c r="B16" i="8"/>
  <c r="N9" i="8"/>
  <c r="N8" i="8"/>
  <c r="N5" i="8"/>
  <c r="M5" i="8"/>
  <c r="L5" i="8"/>
  <c r="K5" i="8"/>
  <c r="J5" i="8"/>
  <c r="I5" i="8"/>
  <c r="G5" i="8"/>
  <c r="E5" i="8"/>
  <c r="D5" i="8"/>
  <c r="C5" i="8"/>
  <c r="B5" i="8"/>
  <c r="N4" i="8"/>
  <c r="M4" i="8"/>
  <c r="L4" i="8"/>
  <c r="K4" i="8"/>
  <c r="J4" i="8"/>
  <c r="I4" i="8"/>
  <c r="G4" i="8"/>
  <c r="E4" i="8"/>
  <c r="D4" i="8"/>
  <c r="C4" i="8"/>
  <c r="B4" i="8"/>
  <c r="O30" i="7"/>
  <c r="O29" i="7"/>
  <c r="M29" i="7"/>
  <c r="L29" i="7"/>
  <c r="J30" i="7"/>
  <c r="E30" i="7"/>
  <c r="E29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N29" i="7" l="1"/>
  <c r="M28" i="7"/>
  <c r="L28" i="7"/>
  <c r="J29" i="7"/>
  <c r="N28" i="7" l="1"/>
  <c r="M27" i="7"/>
  <c r="L27" i="7"/>
  <c r="O28" i="7"/>
  <c r="J28" i="7"/>
  <c r="E28" i="7"/>
  <c r="H17" i="4" l="1"/>
  <c r="K17" i="4"/>
  <c r="N27" i="7"/>
  <c r="E4" i="9"/>
  <c r="N4" i="9"/>
  <c r="Q4" i="9" l="1"/>
  <c r="H4" i="9"/>
  <c r="D30" i="3"/>
  <c r="D12" i="3"/>
  <c r="D7" i="3"/>
  <c r="D44" i="3"/>
  <c r="D40" i="3"/>
  <c r="D18" i="3"/>
  <c r="D22" i="3" l="1"/>
  <c r="D23" i="3" s="1"/>
  <c r="D35" i="3"/>
  <c r="D43" i="3"/>
  <c r="D45" i="3" s="1"/>
  <c r="O27" i="7"/>
  <c r="M26" i="7"/>
  <c r="L26" i="7"/>
  <c r="J27" i="7"/>
  <c r="E27" i="7"/>
  <c r="C26" i="7"/>
  <c r="B26" i="7"/>
  <c r="N26" i="7" l="1"/>
  <c r="D26" i="7"/>
  <c r="F50" i="9"/>
  <c r="O26" i="7"/>
  <c r="M25" i="7"/>
  <c r="L25" i="7"/>
  <c r="J26" i="7"/>
  <c r="C25" i="7"/>
  <c r="B25" i="7"/>
  <c r="E26" i="7"/>
  <c r="D25" i="7" l="1"/>
  <c r="H25" i="7"/>
  <c r="G25" i="7"/>
  <c r="N25" i="7"/>
  <c r="O25" i="7"/>
  <c r="M24" i="7"/>
  <c r="L24" i="7"/>
  <c r="J25" i="7"/>
  <c r="C24" i="7"/>
  <c r="B24" i="7"/>
  <c r="E25" i="7"/>
  <c r="I25" i="7" l="1"/>
  <c r="F68" i="9"/>
  <c r="N24" i="7"/>
  <c r="D24" i="7"/>
  <c r="F40" i="2"/>
  <c r="F35" i="2"/>
  <c r="F30" i="2"/>
  <c r="F21" i="2"/>
  <c r="F17" i="2"/>
  <c r="F11" i="2"/>
  <c r="F6" i="2"/>
  <c r="F44" i="2"/>
  <c r="G40" i="2"/>
  <c r="G30" i="2"/>
  <c r="G17" i="2"/>
  <c r="G6" i="2"/>
  <c r="G35" i="2" l="1"/>
  <c r="G11" i="2"/>
  <c r="G21" i="2"/>
  <c r="G23" i="2" s="1"/>
  <c r="G44" i="2"/>
  <c r="F23" i="2"/>
  <c r="F43" i="2"/>
  <c r="F45" i="2" s="1"/>
  <c r="G43" i="2"/>
  <c r="G45" i="2" l="1"/>
  <c r="M23" i="7"/>
  <c r="L23" i="7"/>
  <c r="O24" i="7"/>
  <c r="J24" i="7"/>
  <c r="C23" i="7"/>
  <c r="B23" i="7"/>
  <c r="E24" i="7"/>
  <c r="H23" i="7" l="1"/>
  <c r="G23" i="7"/>
  <c r="M22" i="7"/>
  <c r="L22" i="7"/>
  <c r="O23" i="7"/>
  <c r="J23" i="7"/>
  <c r="B22" i="7"/>
  <c r="C22" i="7"/>
  <c r="E23" i="7"/>
  <c r="O22" i="7" l="1"/>
  <c r="M21" i="7"/>
  <c r="L21" i="7"/>
  <c r="E22" i="7"/>
  <c r="J22" i="7"/>
  <c r="C21" i="7"/>
  <c r="B21" i="7"/>
  <c r="Q64" i="9" l="1"/>
  <c r="E64" i="9"/>
  <c r="N64" i="9"/>
  <c r="E46" i="9" l="1"/>
  <c r="G68" i="9"/>
  <c r="N46" i="9"/>
  <c r="L68" i="9"/>
  <c r="M68" i="9"/>
  <c r="P68" i="9"/>
  <c r="D68" i="9"/>
  <c r="O68" i="9"/>
  <c r="C68" i="9"/>
  <c r="Q46" i="9"/>
  <c r="H46" i="9"/>
  <c r="H64" i="9"/>
  <c r="E7" i="17" l="1"/>
  <c r="C10" i="8"/>
  <c r="O21" i="7"/>
  <c r="J21" i="7"/>
  <c r="E21" i="7"/>
  <c r="C6" i="8" l="1"/>
  <c r="C12" i="8" s="1"/>
  <c r="C23" i="8"/>
  <c r="C32" i="8"/>
  <c r="C28" i="8"/>
  <c r="C18" i="8"/>
  <c r="N7" i="17"/>
  <c r="Q7" i="17"/>
  <c r="H7" i="17"/>
  <c r="C31" i="8"/>
  <c r="H11" i="2" l="1"/>
  <c r="H21" i="2"/>
  <c r="H35" i="2"/>
  <c r="H6" i="2"/>
  <c r="C33" i="8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C50" i="9"/>
  <c r="I45" i="2" l="1"/>
  <c r="G17" i="4"/>
  <c r="G27" i="4"/>
  <c r="C15" i="9"/>
  <c r="G12" i="4"/>
  <c r="G20" i="4"/>
  <c r="G32" i="4"/>
  <c r="C20" i="9"/>
  <c r="C33" i="9"/>
  <c r="C6" i="9"/>
  <c r="C57" i="9"/>
  <c r="D17" i="15"/>
  <c r="D27" i="15"/>
  <c r="D37" i="15"/>
  <c r="G7" i="4"/>
  <c r="I6" i="16"/>
  <c r="G41" i="4"/>
  <c r="D41" i="15"/>
  <c r="D7" i="15"/>
  <c r="D32" i="15"/>
  <c r="I30" i="16"/>
  <c r="J11" i="16"/>
  <c r="J23" i="16"/>
  <c r="J37" i="16"/>
  <c r="D12" i="15"/>
  <c r="G37" i="4"/>
  <c r="I11" i="16"/>
  <c r="I23" i="16"/>
  <c r="I37" i="16"/>
  <c r="D20" i="15"/>
  <c r="J6" i="16"/>
  <c r="J18" i="16"/>
  <c r="J30" i="16"/>
  <c r="G40" i="4"/>
  <c r="D40" i="15"/>
  <c r="I18" i="16"/>
  <c r="C69" i="9" l="1"/>
  <c r="C67" i="9" s="1"/>
  <c r="G21" i="4"/>
  <c r="D21" i="15"/>
  <c r="G42" i="4"/>
  <c r="D42" i="15"/>
  <c r="O57" i="9"/>
  <c r="N63" i="9"/>
  <c r="H63" i="9"/>
  <c r="E63" i="9"/>
  <c r="Q62" i="9"/>
  <c r="N61" i="9"/>
  <c r="H61" i="9"/>
  <c r="E61" i="9"/>
  <c r="Q60" i="9"/>
  <c r="N59" i="9"/>
  <c r="H59" i="9"/>
  <c r="E59" i="9"/>
  <c r="P57" i="9"/>
  <c r="Q58" i="9"/>
  <c r="M57" i="9"/>
  <c r="D57" i="9"/>
  <c r="Q55" i="9"/>
  <c r="N55" i="9"/>
  <c r="E55" i="9"/>
  <c r="N53" i="9"/>
  <c r="E53" i="9"/>
  <c r="Q51" i="9"/>
  <c r="M50" i="9"/>
  <c r="N51" i="9"/>
  <c r="H51" i="9"/>
  <c r="G50" i="9"/>
  <c r="D50" i="9"/>
  <c r="P50" i="9"/>
  <c r="L50" i="9"/>
  <c r="Q48" i="9"/>
  <c r="N48" i="9"/>
  <c r="H48" i="9"/>
  <c r="N44" i="9"/>
  <c r="E44" i="9"/>
  <c r="N42" i="9"/>
  <c r="E42" i="9"/>
  <c r="N40" i="9"/>
  <c r="H40" i="9"/>
  <c r="Q38" i="9"/>
  <c r="N38" i="9"/>
  <c r="H38" i="9"/>
  <c r="N37" i="9"/>
  <c r="E37" i="9"/>
  <c r="N36" i="9"/>
  <c r="H36" i="9"/>
  <c r="M33" i="9"/>
  <c r="E35" i="9"/>
  <c r="Q34" i="9"/>
  <c r="N34" i="9"/>
  <c r="H34" i="9"/>
  <c r="G33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69" i="9" l="1"/>
  <c r="M67" i="9" s="1"/>
  <c r="N9" i="9"/>
  <c r="L33" i="9"/>
  <c r="N33" i="9" s="1"/>
  <c r="D33" i="9"/>
  <c r="E33" i="9" s="1"/>
  <c r="N50" i="9"/>
  <c r="G6" i="9"/>
  <c r="P6" i="9"/>
  <c r="Q6" i="9" s="1"/>
  <c r="N11" i="9"/>
  <c r="E13" i="9"/>
  <c r="L15" i="9"/>
  <c r="N15" i="9" s="1"/>
  <c r="Q16" i="9"/>
  <c r="E38" i="9"/>
  <c r="P33" i="9"/>
  <c r="O50" i="9"/>
  <c r="Q50" i="9" s="1"/>
  <c r="E8" i="9"/>
  <c r="N8" i="9"/>
  <c r="F20" i="9"/>
  <c r="H20" i="9" s="1"/>
  <c r="O33" i="9"/>
  <c r="N35" i="9"/>
  <c r="Q36" i="9"/>
  <c r="E39" i="9"/>
  <c r="N39" i="9"/>
  <c r="Q40" i="9"/>
  <c r="E60" i="9"/>
  <c r="N60" i="9"/>
  <c r="E62" i="9"/>
  <c r="N62" i="9"/>
  <c r="H37" i="9"/>
  <c r="H53" i="9"/>
  <c r="F6" i="9"/>
  <c r="L6" i="9"/>
  <c r="N6" i="9" s="1"/>
  <c r="H8" i="9"/>
  <c r="D15" i="9"/>
  <c r="E18" i="9"/>
  <c r="E21" i="9"/>
  <c r="H24" i="9"/>
  <c r="E31" i="9"/>
  <c r="F33" i="9"/>
  <c r="H35" i="9"/>
  <c r="E40" i="9"/>
  <c r="E48" i="9"/>
  <c r="H50" i="9"/>
  <c r="E51" i="9"/>
  <c r="H15" i="9"/>
  <c r="H22" i="9"/>
  <c r="E6" i="9"/>
  <c r="E9" i="9"/>
  <c r="L20" i="9"/>
  <c r="N20" i="9" s="1"/>
  <c r="D20" i="9"/>
  <c r="E23" i="9"/>
  <c r="H26" i="9"/>
  <c r="H42" i="9"/>
  <c r="Q57" i="9"/>
  <c r="G57" i="9"/>
  <c r="Q59" i="9"/>
  <c r="H17" i="9"/>
  <c r="E25" i="9"/>
  <c r="H29" i="9"/>
  <c r="E34" i="9"/>
  <c r="E36" i="9"/>
  <c r="H39" i="9"/>
  <c r="H44" i="9"/>
  <c r="E58" i="9"/>
  <c r="N58" i="9"/>
  <c r="Q61" i="9"/>
  <c r="Q63" i="9"/>
  <c r="Q11" i="9"/>
  <c r="Q15" i="9"/>
  <c r="Q17" i="9"/>
  <c r="Q20" i="9"/>
  <c r="Q22" i="9"/>
  <c r="Q24" i="9"/>
  <c r="Q26" i="9"/>
  <c r="Q29" i="9"/>
  <c r="Q35" i="9"/>
  <c r="Q37" i="9"/>
  <c r="Q39" i="9"/>
  <c r="Q42" i="9"/>
  <c r="Q44" i="9"/>
  <c r="E50" i="9"/>
  <c r="Q53" i="9"/>
  <c r="H55" i="9"/>
  <c r="F57" i="9"/>
  <c r="L57" i="9"/>
  <c r="H58" i="9"/>
  <c r="H60" i="9"/>
  <c r="H62" i="9"/>
  <c r="F69" i="9" l="1"/>
  <c r="I4" i="9" s="1"/>
  <c r="P69" i="9"/>
  <c r="P67" i="9" s="1"/>
  <c r="L69" i="9"/>
  <c r="N69" i="9" s="1"/>
  <c r="D69" i="9"/>
  <c r="D67" i="9" s="1"/>
  <c r="G69" i="9"/>
  <c r="G67" i="9" s="1"/>
  <c r="O69" i="9"/>
  <c r="Q33" i="9"/>
  <c r="E20" i="9"/>
  <c r="E68" i="9"/>
  <c r="N68" i="9"/>
  <c r="H57" i="9"/>
  <c r="H33" i="9"/>
  <c r="H6" i="9"/>
  <c r="Q68" i="9"/>
  <c r="N57" i="9"/>
  <c r="E15" i="9"/>
  <c r="H68" i="9"/>
  <c r="E57" i="9"/>
  <c r="L67" i="9" l="1"/>
  <c r="Q69" i="9"/>
  <c r="R69" i="9" s="1"/>
  <c r="R4" i="9"/>
  <c r="R46" i="9"/>
  <c r="O67" i="9"/>
  <c r="F67" i="9"/>
  <c r="I46" i="9"/>
  <c r="I6" i="9"/>
  <c r="I64" i="9"/>
  <c r="R60" i="9"/>
  <c r="R64" i="9"/>
  <c r="R58" i="9"/>
  <c r="R37" i="9"/>
  <c r="R24" i="9"/>
  <c r="R48" i="9"/>
  <c r="R33" i="9"/>
  <c r="R68" i="9"/>
  <c r="R25" i="9"/>
  <c r="R35" i="9"/>
  <c r="R26" i="9"/>
  <c r="R21" i="9"/>
  <c r="R44" i="9"/>
  <c r="R16" i="9"/>
  <c r="R57" i="9"/>
  <c r="R22" i="9"/>
  <c r="R63" i="9"/>
  <c r="R15" i="9"/>
  <c r="R59" i="9"/>
  <c r="R11" i="9"/>
  <c r="R53" i="9"/>
  <c r="R29" i="9"/>
  <c r="R62" i="9"/>
  <c r="R9" i="9"/>
  <c r="R8" i="9"/>
  <c r="R50" i="9"/>
  <c r="R34" i="9"/>
  <c r="R55" i="9"/>
  <c r="R42" i="9"/>
  <c r="R61" i="9"/>
  <c r="R7" i="9"/>
  <c r="R36" i="9"/>
  <c r="R18" i="9"/>
  <c r="R27" i="9"/>
  <c r="R20" i="9"/>
  <c r="R31" i="9"/>
  <c r="R54" i="9"/>
  <c r="R17" i="9"/>
  <c r="R6" i="9"/>
  <c r="R39" i="9"/>
  <c r="R38" i="9"/>
  <c r="R23" i="9"/>
  <c r="R51" i="9"/>
  <c r="R13" i="9"/>
  <c r="R40" i="9"/>
  <c r="I68" i="9"/>
  <c r="I33" i="9"/>
  <c r="I57" i="9"/>
  <c r="H69" i="9"/>
  <c r="I69" i="9" s="1"/>
  <c r="I63" i="9"/>
  <c r="I61" i="9"/>
  <c r="I11" i="9"/>
  <c r="I59" i="9"/>
  <c r="I7" i="9"/>
  <c r="I38" i="9"/>
  <c r="I55" i="9"/>
  <c r="I50" i="9"/>
  <c r="I15" i="9"/>
  <c r="I16" i="9"/>
  <c r="I26" i="9"/>
  <c r="I42" i="9"/>
  <c r="I21" i="9"/>
  <c r="I39" i="9"/>
  <c r="I44" i="9"/>
  <c r="I62" i="9"/>
  <c r="I8" i="9"/>
  <c r="I53" i="9"/>
  <c r="I25" i="9"/>
  <c r="I34" i="9"/>
  <c r="I36" i="9"/>
  <c r="I23" i="9"/>
  <c r="I31" i="9"/>
  <c r="I51" i="9"/>
  <c r="I37" i="9"/>
  <c r="I24" i="9"/>
  <c r="I35" i="9"/>
  <c r="I22" i="9"/>
  <c r="I13" i="9"/>
  <c r="I60" i="9"/>
  <c r="I18" i="9"/>
  <c r="I29" i="9"/>
  <c r="I20" i="9"/>
  <c r="I58" i="9"/>
  <c r="I9" i="9"/>
  <c r="I27" i="9"/>
  <c r="I17" i="9"/>
  <c r="I40" i="9"/>
  <c r="I48" i="9"/>
  <c r="E69" i="9"/>
  <c r="R67" i="9" l="1"/>
  <c r="Q67" i="9"/>
  <c r="N67" i="9"/>
  <c r="E67" i="9"/>
  <c r="H67" i="9"/>
  <c r="I67" i="9"/>
  <c r="J2" i="9" l="1"/>
  <c r="M28" i="17" l="1"/>
  <c r="P28" i="17" l="1"/>
  <c r="D28" i="17"/>
  <c r="G28" i="17"/>
  <c r="H17" i="17"/>
  <c r="Q17" i="17"/>
  <c r="H25" i="17"/>
  <c r="Q25" i="17"/>
  <c r="E5" i="17"/>
  <c r="E15" i="17"/>
  <c r="E17" i="17"/>
  <c r="H15" i="17"/>
  <c r="Q15" i="17"/>
  <c r="H23" i="17"/>
  <c r="Q23" i="17"/>
  <c r="F28" i="17"/>
  <c r="Q5" i="17"/>
  <c r="Q11" i="17"/>
  <c r="H13" i="17"/>
  <c r="Q13" i="17"/>
  <c r="E19" i="17"/>
  <c r="E21" i="17"/>
  <c r="E25" i="17"/>
  <c r="H21" i="17"/>
  <c r="E11" i="17"/>
  <c r="N11" i="17"/>
  <c r="H11" i="17"/>
  <c r="E13" i="17"/>
  <c r="N15" i="17"/>
  <c r="H19" i="17"/>
  <c r="E23" i="17"/>
  <c r="N23" i="17"/>
  <c r="C28" i="17"/>
  <c r="L28" i="17"/>
  <c r="Q21" i="17"/>
  <c r="O28" i="17"/>
  <c r="R9" i="17" s="1"/>
  <c r="H5" i="17"/>
  <c r="N5" i="17"/>
  <c r="N13" i="17"/>
  <c r="N17" i="17"/>
  <c r="N21" i="17"/>
  <c r="N25" i="17"/>
  <c r="R7" i="17" l="1"/>
  <c r="R5" i="17"/>
  <c r="Q28" i="17"/>
  <c r="H28" i="17"/>
  <c r="R25" i="17"/>
  <c r="R17" i="17"/>
  <c r="R23" i="17"/>
  <c r="R15" i="17"/>
  <c r="R13" i="17"/>
  <c r="R21" i="17"/>
  <c r="R11" i="17"/>
  <c r="N28" i="17"/>
  <c r="E28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36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17" i="4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N4" i="16"/>
  <c r="J5" i="15"/>
  <c r="J15" i="15"/>
  <c r="J6" i="15"/>
  <c r="J16" i="15"/>
  <c r="J11" i="15"/>
  <c r="J19" i="15"/>
  <c r="I32" i="8" l="1"/>
  <c r="I18" i="8"/>
  <c r="I6" i="8"/>
  <c r="I31" i="8"/>
  <c r="I10" i="8"/>
  <c r="I12" i="8" l="1"/>
  <c r="I23" i="8"/>
  <c r="I28" i="8"/>
  <c r="I33" i="8" l="1"/>
  <c r="F41" i="4" l="1"/>
  <c r="F20" i="4"/>
  <c r="F17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K23" i="16" l="1"/>
  <c r="K30" i="16"/>
  <c r="K6" i="16"/>
  <c r="K37" i="16"/>
  <c r="K18" i="16"/>
  <c r="K11" i="16"/>
  <c r="J10" i="8" l="1"/>
  <c r="J18" i="8" l="1"/>
  <c r="J28" i="8"/>
  <c r="J31" i="8"/>
  <c r="J23" i="8"/>
  <c r="J6" i="8"/>
  <c r="J12" i="8" s="1"/>
  <c r="J32" i="8"/>
  <c r="M18" i="8"/>
  <c r="D30" i="2"/>
  <c r="B30" i="3"/>
  <c r="C27" i="4"/>
  <c r="K27" i="4"/>
  <c r="D23" i="8"/>
  <c r="D35" i="2"/>
  <c r="B35" i="3"/>
  <c r="F35" i="3"/>
  <c r="H35" i="3"/>
  <c r="E32" i="4"/>
  <c r="B32" i="15"/>
  <c r="H32" i="15"/>
  <c r="L31" i="8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N31" i="7"/>
  <c r="P31" i="7" s="1"/>
  <c r="D31" i="7"/>
  <c r="F31" i="7" s="1"/>
  <c r="N32" i="7"/>
  <c r="P32" i="7" s="1"/>
  <c r="I32" i="7"/>
  <c r="K32" i="7" s="1"/>
  <c r="D32" i="7"/>
  <c r="F32" i="7" s="1"/>
  <c r="I31" i="7"/>
  <c r="K31" i="7" s="1"/>
  <c r="J45" i="15"/>
  <c r="J44" i="15"/>
  <c r="N20" i="16"/>
  <c r="N8" i="16"/>
  <c r="K42" i="2"/>
  <c r="K37" i="2"/>
  <c r="K36" i="2"/>
  <c r="K32" i="2"/>
  <c r="K8" i="2"/>
  <c r="M34" i="4"/>
  <c r="M33" i="4"/>
  <c r="M14" i="4"/>
  <c r="B10" i="8"/>
  <c r="D10" i="8"/>
  <c r="E10" i="8"/>
  <c r="G10" i="8"/>
  <c r="K10" i="8"/>
  <c r="L10" i="8"/>
  <c r="M10" i="8"/>
  <c r="K33" i="8"/>
  <c r="M32" i="8" l="1"/>
  <c r="M37" i="16"/>
  <c r="H18" i="3"/>
  <c r="H23" i="3" s="1"/>
  <c r="C17" i="4"/>
  <c r="K37" i="4"/>
  <c r="E32" i="8"/>
  <c r="H37" i="16"/>
  <c r="B18" i="3"/>
  <c r="B37" i="16"/>
  <c r="E37" i="16"/>
  <c r="H44" i="3"/>
  <c r="J48" i="3"/>
  <c r="J50" i="2" s="1"/>
  <c r="K50" i="2" s="1"/>
  <c r="D30" i="16"/>
  <c r="H30" i="16"/>
  <c r="M11" i="16"/>
  <c r="K41" i="4"/>
  <c r="C23" i="16"/>
  <c r="M28" i="8"/>
  <c r="B22" i="3"/>
  <c r="K20" i="4"/>
  <c r="B46" i="4"/>
  <c r="B47" i="4" s="1"/>
  <c r="B44" i="3"/>
  <c r="D44" i="2"/>
  <c r="B18" i="8"/>
  <c r="L18" i="16"/>
  <c r="D6" i="16"/>
  <c r="C7" i="7"/>
  <c r="G18" i="3"/>
  <c r="H20" i="15"/>
  <c r="L28" i="8"/>
  <c r="B28" i="8"/>
  <c r="H37" i="15"/>
  <c r="E40" i="2"/>
  <c r="B40" i="2"/>
  <c r="G40" i="15"/>
  <c r="M18" i="16"/>
  <c r="B27" i="15"/>
  <c r="B30" i="16"/>
  <c r="E30" i="16"/>
  <c r="L30" i="16"/>
  <c r="E6" i="2"/>
  <c r="F12" i="15"/>
  <c r="I22" i="3"/>
  <c r="I23" i="3" s="1"/>
  <c r="B17" i="15"/>
  <c r="F12" i="7"/>
  <c r="B12" i="7"/>
  <c r="L6" i="8"/>
  <c r="L12" i="8" s="1"/>
  <c r="D20" i="1"/>
  <c r="N32" i="8"/>
  <c r="F41" i="15"/>
  <c r="B41" i="15"/>
  <c r="D41" i="4"/>
  <c r="D28" i="8"/>
  <c r="K40" i="4"/>
  <c r="H18" i="16"/>
  <c r="E43" i="2"/>
  <c r="B43" i="2"/>
  <c r="G32" i="15"/>
  <c r="C32" i="15"/>
  <c r="G44" i="3"/>
  <c r="B23" i="16"/>
  <c r="G11" i="16"/>
  <c r="E6" i="16"/>
  <c r="B6" i="16"/>
  <c r="H6" i="16"/>
  <c r="H12" i="15"/>
  <c r="H12" i="4"/>
  <c r="G12" i="3"/>
  <c r="C21" i="2"/>
  <c r="C23" i="2" s="1"/>
  <c r="H20" i="4"/>
  <c r="H17" i="15"/>
  <c r="D32" i="4"/>
  <c r="I35" i="3"/>
  <c r="N23" i="8"/>
  <c r="E23" i="8"/>
  <c r="F27" i="15"/>
  <c r="J28" i="3"/>
  <c r="J28" i="2" s="1"/>
  <c r="K28" i="2" s="1"/>
  <c r="B5" i="5" s="1"/>
  <c r="L23" i="8"/>
  <c r="J33" i="8"/>
  <c r="C30" i="16"/>
  <c r="G30" i="16"/>
  <c r="G7" i="3"/>
  <c r="E7" i="7"/>
  <c r="C12" i="7"/>
  <c r="M6" i="8"/>
  <c r="M12" i="8" s="1"/>
  <c r="K32" i="4"/>
  <c r="D27" i="4"/>
  <c r="N18" i="8"/>
  <c r="E18" i="8"/>
  <c r="G31" i="8"/>
  <c r="H23" i="16"/>
  <c r="G6" i="16"/>
  <c r="C6" i="16"/>
  <c r="F7" i="3"/>
  <c r="I7" i="3"/>
  <c r="B6" i="8"/>
  <c r="B12" i="8" s="1"/>
  <c r="B40" i="4"/>
  <c r="K7" i="4"/>
  <c r="C7" i="4"/>
  <c r="J10" i="3"/>
  <c r="J9" i="2" s="1"/>
  <c r="B17" i="2"/>
  <c r="D21" i="1"/>
  <c r="G41" i="15"/>
  <c r="J36" i="15"/>
  <c r="L36" i="4" s="1"/>
  <c r="M36" i="4" s="1"/>
  <c r="C16" i="5" s="1"/>
  <c r="B37" i="4"/>
  <c r="N31" i="8"/>
  <c r="E28" i="8"/>
  <c r="D40" i="4"/>
  <c r="H40" i="3"/>
  <c r="B40" i="3"/>
  <c r="D40" i="2"/>
  <c r="F44" i="3"/>
  <c r="B32" i="8"/>
  <c r="N10" i="8"/>
  <c r="H7" i="15"/>
  <c r="D12" i="4"/>
  <c r="G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N5" i="16"/>
  <c r="J26" i="15"/>
  <c r="L26" i="4" s="1"/>
  <c r="M26" i="4" s="1"/>
  <c r="C6" i="5" s="1"/>
  <c r="B23" i="8"/>
  <c r="L23" i="16"/>
  <c r="D37" i="4"/>
  <c r="B40" i="15"/>
  <c r="J20" i="3"/>
  <c r="J19" i="2" s="1"/>
  <c r="K19" i="2" s="1"/>
  <c r="O8" i="8"/>
  <c r="G43" i="3"/>
  <c r="B27" i="4"/>
  <c r="L19" i="4"/>
  <c r="M19" i="4" s="1"/>
  <c r="E31" i="8"/>
  <c r="D7" i="4"/>
  <c r="J39" i="3"/>
  <c r="J39" i="2" s="1"/>
  <c r="K39" i="2" s="1"/>
  <c r="B16" i="5" s="1"/>
  <c r="B32" i="4"/>
  <c r="E35" i="2"/>
  <c r="B35" i="2"/>
  <c r="G23" i="8"/>
  <c r="D43" i="2"/>
  <c r="E23" i="16"/>
  <c r="L11" i="16"/>
  <c r="C40" i="4"/>
  <c r="D31" i="8"/>
  <c r="F43" i="3"/>
  <c r="B41" i="4"/>
  <c r="C32" i="4"/>
  <c r="B18" i="16"/>
  <c r="E18" i="16"/>
  <c r="N21" i="16"/>
  <c r="H7" i="3"/>
  <c r="C6" i="2"/>
  <c r="G7" i="15"/>
  <c r="E7" i="4"/>
  <c r="J16" i="3"/>
  <c r="J15" i="2" s="1"/>
  <c r="K15" i="2" s="1"/>
  <c r="H40" i="15"/>
  <c r="E6" i="8"/>
  <c r="E12" i="8" s="1"/>
  <c r="O5" i="8"/>
  <c r="C19" i="1" s="1"/>
  <c r="O27" i="8"/>
  <c r="D16" i="5" s="1"/>
  <c r="C44" i="2"/>
  <c r="G23" i="16"/>
  <c r="J5" i="3"/>
  <c r="J4" i="2" s="1"/>
  <c r="K4" i="2" s="1"/>
  <c r="B5" i="1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B11" i="5" s="1"/>
  <c r="J29" i="3"/>
  <c r="J29" i="2" s="1"/>
  <c r="F12" i="3"/>
  <c r="G35" i="3"/>
  <c r="J31" i="15"/>
  <c r="L31" i="4" s="1"/>
  <c r="G18" i="8"/>
  <c r="C30" i="2"/>
  <c r="I40" i="3"/>
  <c r="I44" i="3"/>
  <c r="O9" i="8"/>
  <c r="N28" i="16"/>
  <c r="N17" i="16"/>
  <c r="G18" i="16"/>
  <c r="D23" i="16"/>
  <c r="H40" i="4"/>
  <c r="H37" i="4"/>
  <c r="J38" i="3"/>
  <c r="J38" i="2" s="1"/>
  <c r="F40" i="3"/>
  <c r="G28" i="8"/>
  <c r="G32" i="8"/>
  <c r="O16" i="8"/>
  <c r="D5" i="5" s="1"/>
  <c r="G37" i="15"/>
  <c r="L18" i="4"/>
  <c r="M18" i="4" s="1"/>
  <c r="L32" i="8"/>
  <c r="N10" i="16"/>
  <c r="B11" i="16"/>
  <c r="K51" i="2"/>
  <c r="J21" i="3"/>
  <c r="J20" i="2" s="1"/>
  <c r="K20" i="2" s="1"/>
  <c r="G22" i="3"/>
  <c r="H41" i="4"/>
  <c r="O26" i="8"/>
  <c r="D15" i="5" s="1"/>
  <c r="C37" i="15"/>
  <c r="G30" i="3"/>
  <c r="J46" i="15"/>
  <c r="L44" i="4" s="1"/>
  <c r="M44" i="4" s="1"/>
  <c r="L37" i="16"/>
  <c r="E11" i="16"/>
  <c r="J47" i="15"/>
  <c r="L45" i="4" s="1"/>
  <c r="M45" i="4" s="1"/>
  <c r="F22" i="3"/>
  <c r="F23" i="3" s="1"/>
  <c r="B21" i="2"/>
  <c r="E37" i="4"/>
  <c r="J30" i="15"/>
  <c r="L30" i="4" s="1"/>
  <c r="M30" i="4" s="1"/>
  <c r="C10" i="5" s="1"/>
  <c r="H27" i="15"/>
  <c r="O22" i="8"/>
  <c r="D11" i="5" s="1"/>
  <c r="G27" i="15"/>
  <c r="C41" i="15"/>
  <c r="E41" i="4"/>
  <c r="F30" i="3"/>
  <c r="O17" i="8"/>
  <c r="G37" i="16"/>
  <c r="H11" i="16"/>
  <c r="D11" i="16"/>
  <c r="D6" i="2"/>
  <c r="L6" i="4"/>
  <c r="M6" i="4" s="1"/>
  <c r="F7" i="7"/>
  <c r="E11" i="2"/>
  <c r="B11" i="2"/>
  <c r="B12" i="3"/>
  <c r="C20" i="4"/>
  <c r="B37" i="15"/>
  <c r="O21" i="8"/>
  <c r="H27" i="4"/>
  <c r="M6" i="16"/>
  <c r="J6" i="3"/>
  <c r="J5" i="2" s="1"/>
  <c r="K5" i="2" s="1"/>
  <c r="C5" i="1" s="1"/>
  <c r="B7" i="3"/>
  <c r="F7" i="15"/>
  <c r="H7" i="4"/>
  <c r="D7" i="7"/>
  <c r="I12" i="3"/>
  <c r="D17" i="2"/>
  <c r="D23" i="2" s="1"/>
  <c r="C17" i="15"/>
  <c r="E17" i="4"/>
  <c r="D12" i="7"/>
  <c r="E12" i="7"/>
  <c r="N6" i="8"/>
  <c r="H41" i="15"/>
  <c r="B31" i="8"/>
  <c r="L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K6" i="8"/>
  <c r="K12" i="8" s="1"/>
  <c r="N28" i="8"/>
  <c r="G6" i="8"/>
  <c r="G12" i="8" s="1"/>
  <c r="B6" i="2"/>
  <c r="J17" i="3"/>
  <c r="J16" i="2" s="1"/>
  <c r="C41" i="4"/>
  <c r="C40" i="15"/>
  <c r="J25" i="15"/>
  <c r="L25" i="4" s="1"/>
  <c r="C27" i="15"/>
  <c r="E40" i="4"/>
  <c r="E27" i="4"/>
  <c r="M30" i="16"/>
  <c r="N27" i="16"/>
  <c r="N16" i="16"/>
  <c r="D18" i="16"/>
  <c r="M23" i="16"/>
  <c r="N22" i="16"/>
  <c r="N34" i="16"/>
  <c r="J12" i="5"/>
  <c r="J21" i="5"/>
  <c r="O4" i="8"/>
  <c r="B19" i="1" s="1"/>
  <c r="D6" i="8"/>
  <c r="M31" i="8"/>
  <c r="M23" i="8"/>
  <c r="D32" i="8"/>
  <c r="B43" i="3"/>
  <c r="C11" i="16"/>
  <c r="N9" i="16"/>
  <c r="B30" i="7" s="1"/>
  <c r="B12" i="15"/>
  <c r="L10" i="4"/>
  <c r="M10" i="4" s="1"/>
  <c r="F40" i="15"/>
  <c r="J35" i="15"/>
  <c r="L35" i="4" s="1"/>
  <c r="F37" i="15"/>
  <c r="E44" i="2"/>
  <c r="E30" i="2"/>
  <c r="B44" i="2"/>
  <c r="B30" i="2"/>
  <c r="J33" i="3"/>
  <c r="J33" i="2" s="1"/>
  <c r="D18" i="8"/>
  <c r="D37" i="16"/>
  <c r="C37" i="16"/>
  <c r="N35" i="16"/>
  <c r="L11" i="4"/>
  <c r="M11" i="4" s="1"/>
  <c r="L15" i="4"/>
  <c r="M15" i="4" s="1"/>
  <c r="L6" i="16"/>
  <c r="B7" i="7"/>
  <c r="F32" i="15"/>
  <c r="C43" i="2"/>
  <c r="C35" i="2"/>
  <c r="D21" i="4"/>
  <c r="C18" i="16"/>
  <c r="B7" i="4"/>
  <c r="C12" i="4"/>
  <c r="H12" i="3"/>
  <c r="G10" i="7"/>
  <c r="B18" i="1" s="1"/>
  <c r="C37" i="4"/>
  <c r="H43" i="3"/>
  <c r="H30" i="3"/>
  <c r="C30" i="7" l="1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I45" i="3"/>
  <c r="C21" i="4"/>
  <c r="B23" i="2"/>
  <c r="B33" i="1"/>
  <c r="O10" i="8"/>
  <c r="H45" i="3"/>
  <c r="L33" i="8"/>
  <c r="G45" i="3"/>
  <c r="D45" i="2"/>
  <c r="N12" i="8"/>
  <c r="G23" i="3"/>
  <c r="B33" i="8"/>
  <c r="G42" i="15"/>
  <c r="H21" i="15"/>
  <c r="B42" i="4"/>
  <c r="D7" i="1"/>
  <c r="J17" i="2"/>
  <c r="K17" i="2" s="1"/>
  <c r="J12" i="3"/>
  <c r="J44" i="3"/>
  <c r="E45" i="2"/>
  <c r="N33" i="8"/>
  <c r="E21" i="4"/>
  <c r="D17" i="5"/>
  <c r="F45" i="3"/>
  <c r="F42" i="15"/>
  <c r="D18" i="1"/>
  <c r="C10" i="1"/>
  <c r="L27" i="4"/>
  <c r="M27" i="4" s="1"/>
  <c r="C21" i="15"/>
  <c r="D42" i="4"/>
  <c r="E33" i="8"/>
  <c r="J11" i="2"/>
  <c r="K11" i="2" s="1"/>
  <c r="K9" i="2"/>
  <c r="G33" i="8"/>
  <c r="J35" i="3"/>
  <c r="J40" i="3"/>
  <c r="J44" i="2"/>
  <c r="K44" i="2" s="1"/>
  <c r="J32" i="15"/>
  <c r="M25" i="4"/>
  <c r="C5" i="5" s="1"/>
  <c r="J30" i="3"/>
  <c r="N6" i="16"/>
  <c r="J7" i="3"/>
  <c r="O23" i="8"/>
  <c r="B21" i="4"/>
  <c r="O18" i="8"/>
  <c r="O31" i="8"/>
  <c r="G12" i="7"/>
  <c r="N11" i="16"/>
  <c r="J22" i="5"/>
  <c r="K29" i="2"/>
  <c r="B6" i="5" s="1"/>
  <c r="B7" i="5" s="1"/>
  <c r="J21" i="2"/>
  <c r="K21" i="2" s="1"/>
  <c r="H42" i="4"/>
  <c r="N23" i="16"/>
  <c r="L32" i="4"/>
  <c r="M32" i="4" s="1"/>
  <c r="C37" i="1"/>
  <c r="H42" i="15"/>
  <c r="J22" i="3"/>
  <c r="E23" i="2"/>
  <c r="J27" i="15"/>
  <c r="B16" i="1"/>
  <c r="C17" i="1"/>
  <c r="N37" i="16"/>
  <c r="L41" i="4"/>
  <c r="M41" i="4" s="1"/>
  <c r="N18" i="16"/>
  <c r="D19" i="1"/>
  <c r="J6" i="2"/>
  <c r="K6" i="2" s="1"/>
  <c r="D5" i="1" s="1"/>
  <c r="L20" i="4"/>
  <c r="M20" i="4" s="1"/>
  <c r="O32" i="8"/>
  <c r="G7" i="7"/>
  <c r="N30" i="16"/>
  <c r="O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M33" i="8"/>
  <c r="J37" i="15"/>
  <c r="J18" i="3"/>
  <c r="L17" i="4"/>
  <c r="M17" i="4" s="1"/>
  <c r="D10" i="5"/>
  <c r="D12" i="8"/>
  <c r="O6" i="8"/>
  <c r="E42" i="4"/>
  <c r="C42" i="15"/>
  <c r="J40" i="15"/>
  <c r="J41" i="15"/>
  <c r="D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J43" i="3"/>
  <c r="D30" i="7" l="1"/>
  <c r="F30" i="7" s="1"/>
  <c r="F26" i="7"/>
  <c r="F25" i="7"/>
  <c r="F24" i="7"/>
  <c r="D23" i="7"/>
  <c r="F23" i="7" s="1"/>
  <c r="D22" i="7"/>
  <c r="F22" i="7" s="1"/>
  <c r="B8" i="1"/>
  <c r="F18" i="1"/>
  <c r="J21" i="15"/>
  <c r="D6" i="1"/>
  <c r="C8" i="1"/>
  <c r="C33" i="1" s="1"/>
  <c r="O12" i="8"/>
  <c r="B10" i="1"/>
  <c r="D21" i="7"/>
  <c r="F21" i="7" s="1"/>
  <c r="F19" i="1"/>
  <c r="J45" i="2"/>
  <c r="K45" i="2" s="1"/>
  <c r="J45" i="3"/>
  <c r="F7" i="1"/>
  <c r="J23" i="2"/>
  <c r="K23" i="2" s="1"/>
  <c r="B27" i="1"/>
  <c r="B21" i="5"/>
  <c r="B28" i="1"/>
  <c r="L42" i="4"/>
  <c r="M42" i="4" s="1"/>
  <c r="J42" i="15"/>
  <c r="J23" i="3"/>
  <c r="B17" i="1"/>
  <c r="D17" i="1" s="1"/>
  <c r="K43" i="2"/>
  <c r="C11" i="5"/>
  <c r="C28" i="1"/>
  <c r="C27" i="1"/>
  <c r="O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22" i="1" l="1"/>
  <c r="F22" i="1" s="1"/>
  <c r="D10" i="1"/>
  <c r="D8" i="1"/>
  <c r="F8" i="1" s="1"/>
  <c r="F6" i="1"/>
  <c r="C11" i="1"/>
  <c r="M30" i="7" s="1"/>
  <c r="H30" i="7" s="1"/>
  <c r="B32" i="1"/>
  <c r="B11" i="1"/>
  <c r="L30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F17" i="1"/>
  <c r="N30" i="7" l="1"/>
  <c r="P30" i="7" s="1"/>
  <c r="G30" i="7"/>
  <c r="P28" i="7"/>
  <c r="H26" i="7"/>
  <c r="P26" i="7"/>
  <c r="G26" i="7"/>
  <c r="H24" i="7"/>
  <c r="P24" i="7"/>
  <c r="G24" i="7"/>
  <c r="H22" i="7"/>
  <c r="F10" i="1"/>
  <c r="N22" i="7"/>
  <c r="P22" i="7" s="1"/>
  <c r="G22" i="7"/>
  <c r="C32" i="1"/>
  <c r="F28" i="1"/>
  <c r="D11" i="1"/>
  <c r="F11" i="1" s="1"/>
  <c r="H21" i="7"/>
  <c r="N21" i="7"/>
  <c r="L33" i="7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30" i="7" l="1"/>
  <c r="K30" i="7" s="1"/>
  <c r="P29" i="7"/>
  <c r="I26" i="7"/>
  <c r="K26" i="7" s="1"/>
  <c r="P27" i="7"/>
  <c r="K25" i="7"/>
  <c r="I24" i="7"/>
  <c r="K24" i="7" s="1"/>
  <c r="P25" i="7"/>
  <c r="I23" i="7"/>
  <c r="K23" i="7" s="1"/>
  <c r="M33" i="7"/>
  <c r="N23" i="7"/>
  <c r="P23" i="7" s="1"/>
  <c r="I22" i="7"/>
  <c r="K22" i="7" s="1"/>
  <c r="P21" i="7"/>
  <c r="I21" i="7"/>
  <c r="F22" i="5"/>
  <c r="H22" i="5" s="1"/>
  <c r="H20" i="5"/>
  <c r="N33" i="7" l="1"/>
  <c r="P33" i="7" s="1"/>
  <c r="K21" i="7"/>
  <c r="B29" i="7" l="1"/>
  <c r="G29" i="7" l="1"/>
  <c r="C29" i="7"/>
  <c r="H29" i="7" s="1"/>
  <c r="I29" i="7" l="1"/>
  <c r="K29" i="7" s="1"/>
  <c r="D29" i="7"/>
  <c r="F29" i="7" s="1"/>
  <c r="B28" i="7" l="1"/>
  <c r="C28" i="7" l="1"/>
  <c r="H28" i="7" s="1"/>
  <c r="D28" i="7"/>
  <c r="F28" i="7" s="1"/>
  <c r="G28" i="7"/>
  <c r="I28" i="7" s="1"/>
  <c r="K28" i="7" s="1"/>
  <c r="B27" i="7" l="1"/>
  <c r="D33" i="1"/>
  <c r="G5" i="1"/>
  <c r="I16" i="5"/>
  <c r="C27" i="7" l="1"/>
  <c r="D27" i="7"/>
  <c r="B33" i="7"/>
  <c r="G27" i="7"/>
  <c r="G20" i="1"/>
  <c r="I20" i="1" s="1"/>
  <c r="G21" i="1"/>
  <c r="I21" i="1" s="1"/>
  <c r="I5" i="1"/>
  <c r="G16" i="1"/>
  <c r="I6" i="5"/>
  <c r="G33" i="7" l="1"/>
  <c r="I27" i="7"/>
  <c r="F27" i="7"/>
  <c r="D33" i="7"/>
  <c r="F33" i="7" s="1"/>
  <c r="C33" i="7"/>
  <c r="H27" i="7"/>
  <c r="H33" i="7" s="1"/>
  <c r="G18" i="1"/>
  <c r="I18" i="1" s="1"/>
  <c r="G7" i="1"/>
  <c r="I7" i="1" s="1"/>
  <c r="K6" i="5"/>
  <c r="G19" i="1"/>
  <c r="I19" i="1" s="1"/>
  <c r="I16" i="1"/>
  <c r="G6" i="1"/>
  <c r="D32" i="1"/>
  <c r="I5" i="5"/>
  <c r="I15" i="5"/>
  <c r="G27" i="1"/>
  <c r="I10" i="5"/>
  <c r="K27" i="7" l="1"/>
  <c r="I33" i="7"/>
  <c r="K33" i="7" s="1"/>
  <c r="I6" i="1"/>
  <c r="G8" i="1"/>
  <c r="I27" i="1"/>
  <c r="K15" i="5"/>
  <c r="I17" i="5"/>
  <c r="K17" i="5" s="1"/>
  <c r="K10" i="5"/>
  <c r="D34" i="1"/>
  <c r="E33" i="1" s="1"/>
  <c r="I20" i="5"/>
  <c r="I7" i="5"/>
  <c r="K7" i="5" s="1"/>
  <c r="K5" i="5"/>
  <c r="G17" i="1"/>
  <c r="I11" i="5"/>
  <c r="I12" i="5" s="1"/>
  <c r="K12" i="5" s="1"/>
  <c r="E32" i="1" l="1"/>
  <c r="G28" i="1"/>
  <c r="I17" i="1"/>
  <c r="G22" i="1"/>
  <c r="I22" i="1" s="1"/>
  <c r="K20" i="5"/>
  <c r="G10" i="1"/>
  <c r="I10" i="1" s="1"/>
  <c r="I8" i="1"/>
  <c r="K11" i="5"/>
  <c r="I21" i="5"/>
  <c r="K21" i="5" s="1"/>
  <c r="I22" i="5" l="1"/>
  <c r="K22" i="5" s="1"/>
  <c r="G11" i="1"/>
  <c r="I11" i="1" s="1"/>
  <c r="I28" i="1"/>
  <c r="G29" i="1"/>
  <c r="I29" i="1" s="1"/>
</calcChain>
</file>

<file path=xl/sharedStrings.xml><?xml version="1.0" encoding="utf-8"?>
<sst xmlns="http://schemas.openxmlformats.org/spreadsheetml/2006/main" count="597" uniqueCount="230">
  <si>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</si>
  <si>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</si>
  <si>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</si>
  <si>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</si>
  <si>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</si>
  <si>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</si>
  <si>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</si>
  <si>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</si>
  <si>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</si>
  <si>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</si>
  <si>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</si>
  <si>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</si>
  <si>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</si>
  <si>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</si>
  <si>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</si>
  <si>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</si>
  <si>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</si>
  <si>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</si>
  <si>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</si>
  <si>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</si>
  <si>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</si>
  <si>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</si>
  <si>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</si>
  <si>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</si>
  <si>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</si>
  <si>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</si>
  <si>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</si>
  <si>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</si>
  <si>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</si>
  <si>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</si>
  <si>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</si>
  <si>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</si>
  <si>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</si>
  <si>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</si>
  <si>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</si>
  <si>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</si>
  <si>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</si>
  <si>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</si>
  <si>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</si>
  <si>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</si>
  <si>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</si>
  <si>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</si>
  <si>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</si>
  <si>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</si>
  <si>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</si>
  <si>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</si>
  <si>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</si>
  <si>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</si>
  <si>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</si>
  <si>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</si>
  <si>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</si>
  <si>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</si>
  <si>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</si>
  <si>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</si>
  <si>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</si>
  <si>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</si>
  <si>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</si>
  <si>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</si>
  <si>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</si>
  <si>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</si>
  <si>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</si>
  <si>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</si>
  <si>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</si>
  <si>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</si>
  <si>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</si>
  <si>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</si>
  <si>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</si>
  <si>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</si>
  <si>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</si>
  <si>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</si>
  <si>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</si>
  <si>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</si>
  <si>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</si>
  <si>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</si>
  <si>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</si>
  <si>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</si>
  <si>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</si>
  <si>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</si>
  <si>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</si>
  <si>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</si>
  <si>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</si>
  <si>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</si>
  <si>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</si>
  <si>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</si>
  <si>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</si>
  <si>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</si>
  <si>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</si>
  <si>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</si>
  <si>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</si>
  <si>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</si>
  <si>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</si>
  <si>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</si>
  <si>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</si>
  <si>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</si>
  <si>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</si>
  <si>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</si>
  <si>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</si>
  <si>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</si>
  <si>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</si>
  <si>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</si>
  <si>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</si>
  <si>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</si>
  <si>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</si>
  <si>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</si>
  <si>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</si>
  <si>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</si>
  <si>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</si>
  <si>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</si>
  <si>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</si>
  <si>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</si>
  <si>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</si>
  <si>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</si>
  <si>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</si>
  <si>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</si>
  <si>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</si>
  <si>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</si>
  <si>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</si>
  <si>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</si>
  <si>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</si>
  <si>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</si>
  <si>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</si>
  <si>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</si>
  <si>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</si>
  <si>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</si>
  <si>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</si>
  <si>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</si>
  <si>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</si>
  <si>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</si>
  <si>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</si>
  <si>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</si>
  <si>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</si>
  <si>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</si>
  <si>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</si>
  <si>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</si>
  <si>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</si>
  <si>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</si>
  <si>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</si>
  <si>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</si>
  <si>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</si>
  <si>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</si>
  <si>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</si>
  <si>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</si>
  <si>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</si>
  <si>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</si>
  <si>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</si>
  <si>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</si>
  <si>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</si>
  <si>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</si>
  <si>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</si>
  <si>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</si>
  <si>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</si>
  <si>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</si>
  <si>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</si>
  <si>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</si>
  <si>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</si>
  <si>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</si>
  <si>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</si>
  <si>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</si>
  <si>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</si>
  <si>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</si>
  <si>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</si>
  <si>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</si>
  <si>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</si>
  <si>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</si>
  <si>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</si>
  <si>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</si>
  <si>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</si>
  <si>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</si>
  <si>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</si>
  <si>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</si>
  <si>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</si>
  <si>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</si>
  <si>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</si>
  <si>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</si>
  <si>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</si>
  <si>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</si>
  <si>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</si>
  <si>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</si>
  <si>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</si>
  <si>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</si>
  <si>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</si>
  <si>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</si>
  <si>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</si>
  <si>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</si>
  <si>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</si>
  <si>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</si>
  <si>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</si>
  <si>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</si>
  <si>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</si>
  <si>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</si>
  <si>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</si>
  <si>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</si>
  <si>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</si>
  <si>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</si>
  <si>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</si>
  <si>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</si>
  <si>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</si>
  <si>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</si>
  <si>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Monthly Total 2018</t>
  </si>
  <si>
    <t>Y-T-D 2018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</si>
  <si>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</si>
  <si>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</si>
  <si>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</si>
  <si>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</si>
  <si>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</si>
  <si>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</si>
  <si>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</si>
  <si>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Sky Regional - Air Canada</t>
  </si>
  <si>
    <t>Metric Tons 2018</t>
  </si>
  <si>
    <t>Total 2018</t>
  </si>
  <si>
    <t>Horizon Air - Alaska</t>
  </si>
  <si>
    <t>Sky West - American</t>
  </si>
  <si>
    <t>Monthly Total 2019</t>
  </si>
  <si>
    <t>Y-T-D 2019</t>
  </si>
  <si>
    <t xml:space="preserve">2018 YTD </t>
  </si>
  <si>
    <t>Jet Blue</t>
  </si>
  <si>
    <t>Total 2019</t>
  </si>
  <si>
    <t>Metric Tons 2019</t>
  </si>
  <si>
    <t>Atlas Air -Amazon</t>
  </si>
  <si>
    <t>Atlas Air - Amazon</t>
  </si>
  <si>
    <t>Monthly Ops 2019</t>
  </si>
  <si>
    <t>Ops YTD 2019</t>
  </si>
  <si>
    <t>Current Month 2019</t>
  </si>
  <si>
    <t>YTD 2019</t>
  </si>
  <si>
    <t>2019 % Cargo</t>
  </si>
  <si>
    <t>Aer Lingus</t>
  </si>
  <si>
    <t>October 2018</t>
  </si>
  <si>
    <t>Major Cargo</t>
  </si>
  <si>
    <t>Encore Air Cargo</t>
  </si>
  <si>
    <t>Encore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</si>
</sst>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0" fillId="0" borderId="15" xfId="0" applyNumberFormat="1" applyBorder="1"/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/>
    <xf numFmtId="41" fontId="0" fillId="0" borderId="37" xfId="0" applyNumberForma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Border="1"/>
    <xf numFmtId="1" fontId="0" fillId="0" borderId="41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2" xfId="0" applyBorder="1"/>
    <xf numFmtId="2" fontId="0" fillId="0" borderId="0" xfId="0" applyNumberFormat="1"/>
    <xf numFmtId="17" fontId="0" fillId="0" borderId="0" xfId="0" applyNumberFormat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9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9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6" xfId="0" applyNumberFormat="1" applyFont="1" applyBorder="1"/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41" fontId="4" fillId="0" borderId="13" xfId="0" applyNumberFormat="1" applyFont="1" applyBorder="1"/>
    <xf numFmtId="0" fontId="1" fillId="0" borderId="0" xfId="0" applyFont="1"/>
    <xf numFmtId="0" fontId="4" fillId="0" borderId="39" xfId="0" applyFont="1" applyBorder="1"/>
    <xf numFmtId="0" fontId="0" fillId="0" borderId="26" xfId="0" applyBorder="1"/>
    <xf numFmtId="3" fontId="4" fillId="0" borderId="39" xfId="0" applyNumberFormat="1" applyFont="1" applyBorder="1"/>
    <xf numFmtId="10" fontId="4" fillId="0" borderId="24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75" xfId="0" applyNumberFormat="1" applyFont="1" applyBorder="1"/>
    <xf numFmtId="165" fontId="29" fillId="0" borderId="57" xfId="1" applyNumberFormat="1" applyFont="1" applyBorder="1"/>
    <xf numFmtId="10" fontId="29" fillId="0" borderId="75" xfId="0" applyNumberFormat="1" applyFont="1" applyBorder="1"/>
    <xf numFmtId="10" fontId="29" fillId="0" borderId="58" xfId="3" applyNumberFormat="1" applyFont="1" applyBorder="1"/>
    <xf numFmtId="165" fontId="29" fillId="0" borderId="75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10" fontId="4" fillId="0" borderId="12" xfId="3" applyNumberFormat="1" applyFont="1" applyBorder="1"/>
    <xf numFmtId="10" fontId="4" fillId="0" borderId="15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7" fontId="0" fillId="0" borderId="76" xfId="0" applyNumberFormat="1" applyBorder="1" applyAlignment="1">
      <alignment horizontal="center"/>
    </xf>
    <xf numFmtId="37" fontId="0" fillId="0" borderId="9" xfId="0" applyNumberFormat="1" applyBorder="1" applyAlignment="1">
      <alignment horizontal="center"/>
    </xf>
    <xf numFmtId="37" fontId="0" fillId="0" borderId="67" xfId="0" applyNumberFormat="1" applyBorder="1" applyAlignment="1">
      <alignment horizontal="center"/>
    </xf>
    <xf numFmtId="41" fontId="0" fillId="0" borderId="76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3" fontId="0" fillId="0" borderId="65" xfId="0" applyNumberFormat="1" applyBorder="1" applyAlignment="1">
      <alignment horizontal="center"/>
    </xf>
    <xf numFmtId="3" fontId="0" fillId="0" borderId="6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62" xfId="0" applyNumberFormat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43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13" xfId="0" applyNumberFormat="1" applyBorder="1"/>
    <xf numFmtId="0" fontId="0" fillId="0" borderId="0" xfId="0" applyBorder="1"/>
    <xf numFmtId="0" fontId="7" fillId="0" borderId="5" xfId="0" applyFont="1" applyBorder="1"/>
    <xf numFmtId="0" fontId="4" fillId="0" borderId="3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24" xfId="0" applyFont="1" applyBorder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October%20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pril%2020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9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y%202018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9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ne%202018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9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ly%202018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9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ugust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9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September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anuary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February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rch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2486140</v>
          </cell>
          <cell r="G5">
            <v>24639570</v>
          </cell>
        </row>
        <row r="6">
          <cell r="D6">
            <v>633178</v>
          </cell>
          <cell r="G6">
            <v>6514655</v>
          </cell>
        </row>
        <row r="7">
          <cell r="D7">
            <v>336</v>
          </cell>
          <cell r="G7">
            <v>4091</v>
          </cell>
        </row>
        <row r="10">
          <cell r="D10">
            <v>106289</v>
          </cell>
          <cell r="G10">
            <v>1065421</v>
          </cell>
        </row>
        <row r="16">
          <cell r="D16">
            <v>19089</v>
          </cell>
          <cell r="G16">
            <v>187474</v>
          </cell>
        </row>
        <row r="17">
          <cell r="D17">
            <v>12243</v>
          </cell>
          <cell r="G17">
            <v>125460</v>
          </cell>
        </row>
        <row r="18">
          <cell r="D18">
            <v>2</v>
          </cell>
          <cell r="G18">
            <v>32</v>
          </cell>
        </row>
        <row r="19">
          <cell r="D19">
            <v>1452</v>
          </cell>
          <cell r="G19">
            <v>12784</v>
          </cell>
        </row>
        <row r="20">
          <cell r="D20">
            <v>1874</v>
          </cell>
          <cell r="G20">
            <v>17320</v>
          </cell>
        </row>
        <row r="21">
          <cell r="D21">
            <v>96</v>
          </cell>
          <cell r="G21">
            <v>985</v>
          </cell>
        </row>
        <row r="27">
          <cell r="D27">
            <v>19495.15013320413</v>
          </cell>
          <cell r="G27">
            <v>177798.52393571578</v>
          </cell>
        </row>
        <row r="28">
          <cell r="D28">
            <v>2248.9386395945703</v>
          </cell>
          <cell r="G28">
            <v>20934.814213825048</v>
          </cell>
        </row>
        <row r="32">
          <cell r="B32">
            <v>986307</v>
          </cell>
          <cell r="D32">
            <v>9726972</v>
          </cell>
        </row>
        <row r="33">
          <cell r="B33">
            <v>575124</v>
          </cell>
          <cell r="D33">
            <v>5827041</v>
          </cell>
        </row>
      </sheetData>
      <sheetData sheetId="1"/>
      <sheetData sheetId="2"/>
      <sheetData sheetId="3"/>
      <sheetData sheetId="4"/>
      <sheetData sheetId="5">
        <row r="30">
          <cell r="D30">
            <v>208545</v>
          </cell>
          <cell r="I30">
            <v>3017398</v>
          </cell>
          <cell r="N30">
            <v>3225943</v>
          </cell>
        </row>
      </sheetData>
      <sheetData sheetId="6"/>
      <sheetData sheetId="7">
        <row r="5">
          <cell r="F5">
            <v>10947.249547752979</v>
          </cell>
          <cell r="I5">
            <v>99689.184362853455</v>
          </cell>
        </row>
        <row r="6">
          <cell r="F6">
            <v>914.30069710056</v>
          </cell>
          <cell r="I6">
            <v>8543.2775720161117</v>
          </cell>
        </row>
        <row r="10">
          <cell r="F10">
            <v>8547.9005854511506</v>
          </cell>
          <cell r="I10">
            <v>78109.339572862285</v>
          </cell>
        </row>
        <row r="11">
          <cell r="F11">
            <v>1334.6379424940101</v>
          </cell>
          <cell r="I11">
            <v>12391.53664180894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19495.15013320413</v>
          </cell>
        </row>
        <row r="21">
          <cell r="F21">
            <v>2248.9386395945698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134432</v>
          </cell>
          <cell r="C24">
            <v>115520</v>
          </cell>
          <cell r="L24">
            <v>1618032</v>
          </cell>
          <cell r="M24">
            <v>1517998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242418</v>
          </cell>
          <cell r="I24">
            <v>2750844</v>
          </cell>
          <cell r="N24">
            <v>2993262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120364</v>
          </cell>
          <cell r="C25">
            <v>132909</v>
          </cell>
          <cell r="L25">
            <v>1678373</v>
          </cell>
          <cell r="M25">
            <v>1662439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246334</v>
          </cell>
          <cell r="I25">
            <v>2981156</v>
          </cell>
          <cell r="N25">
            <v>3227490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140743</v>
          </cell>
          <cell r="C26">
            <v>147358</v>
          </cell>
          <cell r="L26">
            <v>1839721</v>
          </cell>
          <cell r="M26">
            <v>1827624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260189</v>
          </cell>
          <cell r="I26">
            <v>3255476</v>
          </cell>
          <cell r="N26">
            <v>3515665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17726743</v>
          </cell>
        </row>
      </sheetData>
      <sheetData sheetId="1"/>
      <sheetData sheetId="2"/>
      <sheetData sheetId="3"/>
      <sheetData sheetId="4"/>
      <sheetData sheetId="5">
        <row r="27">
          <cell r="B27">
            <v>155961</v>
          </cell>
          <cell r="C27">
            <v>140807</v>
          </cell>
          <cell r="L27">
            <v>1926360</v>
          </cell>
          <cell r="M27">
            <v>1918669</v>
          </cell>
        </row>
      </sheetData>
      <sheetData sheetId="6"/>
      <sheetData sheetId="7">
        <row r="5">
          <cell r="I5">
            <v>62853.896456799142</v>
          </cell>
        </row>
      </sheetData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266074</v>
          </cell>
          <cell r="I27">
            <v>3398934</v>
          </cell>
          <cell r="N27">
            <v>3665008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20720425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8">
          <cell r="B28">
            <v>155262</v>
          </cell>
          <cell r="C28">
            <v>151595</v>
          </cell>
          <cell r="L28">
            <v>1929609</v>
          </cell>
          <cell r="M28">
            <v>1915988</v>
          </cell>
        </row>
      </sheetData>
      <sheetData sheetId="6" refreshError="1"/>
      <sheetData sheetId="7">
        <row r="5">
          <cell r="I5">
            <v>72709.837688944608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2901620</v>
          </cell>
        </row>
      </sheetData>
      <sheetData sheetId="1"/>
      <sheetData sheetId="2"/>
      <sheetData sheetId="3"/>
      <sheetData sheetId="4"/>
      <sheetData sheetId="5">
        <row r="28">
          <cell r="D28">
            <v>275867</v>
          </cell>
          <cell r="I28">
            <v>3463238</v>
          </cell>
          <cell r="N28">
            <v>3739105</v>
          </cell>
        </row>
      </sheetData>
      <sheetData sheetId="6"/>
      <sheetData sheetId="7">
        <row r="5">
          <cell r="F5">
            <v>11041.675232192989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23312219</v>
          </cell>
        </row>
        <row r="6">
          <cell r="G6">
            <v>5745671</v>
          </cell>
        </row>
        <row r="7">
          <cell r="G7">
            <v>5195</v>
          </cell>
        </row>
        <row r="10">
          <cell r="G10">
            <v>919546</v>
          </cell>
        </row>
        <row r="16">
          <cell r="G16">
            <v>173097</v>
          </cell>
        </row>
        <row r="17">
          <cell r="G17">
            <v>107953</v>
          </cell>
        </row>
        <row r="18">
          <cell r="G18">
            <v>59</v>
          </cell>
        </row>
        <row r="19">
          <cell r="G19">
            <v>10551</v>
          </cell>
        </row>
        <row r="20">
          <cell r="G20">
            <v>14212</v>
          </cell>
        </row>
        <row r="21">
          <cell r="G21">
            <v>781</v>
          </cell>
        </row>
        <row r="27">
          <cell r="G27">
            <v>149650.6294230663</v>
          </cell>
        </row>
        <row r="28">
          <cell r="G28">
            <v>18395.179564106729</v>
          </cell>
        </row>
        <row r="32">
          <cell r="D32">
            <v>9141272</v>
          </cell>
        </row>
        <row r="33">
          <cell r="D33">
            <v>5358796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9">
          <cell r="B29">
            <v>134390</v>
          </cell>
          <cell r="C29">
            <v>135820</v>
          </cell>
          <cell r="L29">
            <v>1618828</v>
          </cell>
          <cell r="M29">
            <v>1629734</v>
          </cell>
        </row>
      </sheetData>
      <sheetData sheetId="6" refreshError="1"/>
      <sheetData sheetId="7">
        <row r="5">
          <cell r="I5">
            <v>82357.223953249631</v>
          </cell>
        </row>
        <row r="6">
          <cell r="I6">
            <v>7652.2112368840608</v>
          </cell>
        </row>
        <row r="10">
          <cell r="I10">
            <v>67293.405469816673</v>
          </cell>
        </row>
        <row r="11">
          <cell r="I11">
            <v>10742.968327222668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2356635</v>
          </cell>
        </row>
      </sheetData>
      <sheetData sheetId="1"/>
      <sheetData sheetId="2"/>
      <sheetData sheetId="3"/>
      <sheetData sheetId="4"/>
      <sheetData sheetId="5">
        <row r="29">
          <cell r="D29">
            <v>225661</v>
          </cell>
          <cell r="I29">
            <v>2824553</v>
          </cell>
          <cell r="N29">
            <v>3050214</v>
          </cell>
        </row>
      </sheetData>
      <sheetData sheetId="6"/>
      <sheetData sheetId="7">
        <row r="5">
          <cell r="F5">
            <v>10651.024700231299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K4">
            <v>108</v>
          </cell>
        </row>
        <row r="5">
          <cell r="GK5">
            <v>108</v>
          </cell>
        </row>
        <row r="19"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FU19">
            <v>200</v>
          </cell>
          <cell r="FV19">
            <v>180</v>
          </cell>
          <cell r="FW19">
            <v>202</v>
          </cell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I19">
            <v>210</v>
          </cell>
          <cell r="GJ19">
            <v>204</v>
          </cell>
          <cell r="GK19">
            <v>216</v>
          </cell>
        </row>
        <row r="22">
          <cell r="GK22">
            <v>459</v>
          </cell>
        </row>
        <row r="23">
          <cell r="GK23">
            <v>430</v>
          </cell>
        </row>
        <row r="41"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FU41">
            <v>922</v>
          </cell>
          <cell r="FV41">
            <v>804</v>
          </cell>
          <cell r="FW41">
            <v>850</v>
          </cell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I41">
            <v>876</v>
          </cell>
          <cell r="GJ41">
            <v>890</v>
          </cell>
          <cell r="GK41">
            <v>889</v>
          </cell>
        </row>
      </sheetData>
      <sheetData sheetId="3"/>
      <sheetData sheetId="4">
        <row r="15">
          <cell r="GE15">
            <v>1</v>
          </cell>
          <cell r="GF15">
            <v>26</v>
          </cell>
          <cell r="GG15">
            <v>30</v>
          </cell>
          <cell r="GH15">
            <v>31</v>
          </cell>
          <cell r="GI15">
            <v>31</v>
          </cell>
          <cell r="GJ15">
            <v>21</v>
          </cell>
        </row>
        <row r="16">
          <cell r="GE16">
            <v>1</v>
          </cell>
          <cell r="GF16">
            <v>26</v>
          </cell>
          <cell r="GG16">
            <v>30</v>
          </cell>
          <cell r="GH16">
            <v>31</v>
          </cell>
          <cell r="GI16">
            <v>31</v>
          </cell>
          <cell r="GJ16">
            <v>21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FU19">
            <v>62</v>
          </cell>
          <cell r="FV19">
            <v>42</v>
          </cell>
          <cell r="FW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I19">
            <v>62</v>
          </cell>
          <cell r="GJ19">
            <v>42</v>
          </cell>
          <cell r="GK19">
            <v>0</v>
          </cell>
        </row>
        <row r="32">
          <cell r="GE32">
            <v>262</v>
          </cell>
          <cell r="GF32">
            <v>5627</v>
          </cell>
          <cell r="GG32">
            <v>7783</v>
          </cell>
          <cell r="GH32">
            <v>9152</v>
          </cell>
          <cell r="GI32">
            <v>8861</v>
          </cell>
          <cell r="GJ32">
            <v>5536</v>
          </cell>
        </row>
        <row r="33">
          <cell r="GE33">
            <v>232</v>
          </cell>
          <cell r="GF33">
            <v>6374</v>
          </cell>
          <cell r="GG33">
            <v>7822</v>
          </cell>
          <cell r="GH33">
            <v>7138</v>
          </cell>
          <cell r="GI33">
            <v>7957</v>
          </cell>
          <cell r="GJ33">
            <v>5202</v>
          </cell>
        </row>
        <row r="37">
          <cell r="GG37">
            <v>4</v>
          </cell>
          <cell r="GH37">
            <v>7</v>
          </cell>
          <cell r="GI37">
            <v>8</v>
          </cell>
          <cell r="GJ37">
            <v>5</v>
          </cell>
        </row>
        <row r="38">
          <cell r="GG38">
            <v>6</v>
          </cell>
          <cell r="GH38">
            <v>2</v>
          </cell>
          <cell r="GI38">
            <v>5</v>
          </cell>
          <cell r="GJ38">
            <v>6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FU41">
            <v>15040</v>
          </cell>
          <cell r="FV41">
            <v>9320</v>
          </cell>
          <cell r="FW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I41">
            <v>16818</v>
          </cell>
          <cell r="GJ41">
            <v>10738</v>
          </cell>
          <cell r="GK41">
            <v>0</v>
          </cell>
        </row>
      </sheetData>
      <sheetData sheetId="5">
        <row r="15">
          <cell r="GH15">
            <v>23</v>
          </cell>
          <cell r="GI15">
            <v>30</v>
          </cell>
          <cell r="GJ15">
            <v>30</v>
          </cell>
          <cell r="GK15">
            <v>31</v>
          </cell>
        </row>
        <row r="16">
          <cell r="GH16">
            <v>23</v>
          </cell>
          <cell r="GI16">
            <v>30</v>
          </cell>
          <cell r="GJ16">
            <v>30</v>
          </cell>
          <cell r="GK16">
            <v>31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I19">
            <v>60</v>
          </cell>
          <cell r="GJ19">
            <v>60</v>
          </cell>
          <cell r="GK19">
            <v>62</v>
          </cell>
        </row>
        <row r="32">
          <cell r="GH32">
            <v>3556</v>
          </cell>
          <cell r="GI32">
            <v>4421</v>
          </cell>
          <cell r="GJ32">
            <v>4042</v>
          </cell>
          <cell r="GK32">
            <v>4640</v>
          </cell>
        </row>
        <row r="33">
          <cell r="GH33">
            <v>3362</v>
          </cell>
          <cell r="GI33">
            <v>4246</v>
          </cell>
          <cell r="GJ33">
            <v>4572</v>
          </cell>
          <cell r="GK33">
            <v>3591</v>
          </cell>
        </row>
        <row r="37">
          <cell r="GH37">
            <v>30</v>
          </cell>
          <cell r="GI37">
            <v>43</v>
          </cell>
          <cell r="GJ37">
            <v>35</v>
          </cell>
          <cell r="GK37">
            <v>15</v>
          </cell>
        </row>
        <row r="38">
          <cell r="GH38">
            <v>23</v>
          </cell>
          <cell r="GI38">
            <v>42</v>
          </cell>
          <cell r="GJ38">
            <v>12</v>
          </cell>
          <cell r="GK38">
            <v>12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I41">
            <v>8667</v>
          </cell>
          <cell r="GJ41">
            <v>8614</v>
          </cell>
          <cell r="GK41">
            <v>8231</v>
          </cell>
        </row>
        <row r="47">
          <cell r="GK47">
            <v>4310</v>
          </cell>
        </row>
        <row r="52">
          <cell r="GK52">
            <v>2976</v>
          </cell>
        </row>
      </sheetData>
      <sheetData sheetId="6">
        <row r="4">
          <cell r="GK4">
            <v>90</v>
          </cell>
        </row>
        <row r="5">
          <cell r="GK5">
            <v>90</v>
          </cell>
        </row>
        <row r="8">
          <cell r="GK8">
            <v>3</v>
          </cell>
        </row>
        <row r="9">
          <cell r="GK9">
            <v>3</v>
          </cell>
        </row>
        <row r="19"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FU19">
            <v>124</v>
          </cell>
          <cell r="FV19">
            <v>120</v>
          </cell>
          <cell r="FW19">
            <v>126</v>
          </cell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I19">
            <v>254</v>
          </cell>
          <cell r="GJ19">
            <v>234</v>
          </cell>
          <cell r="GK19">
            <v>186</v>
          </cell>
        </row>
        <row r="22">
          <cell r="GK22">
            <v>10963</v>
          </cell>
        </row>
        <row r="23">
          <cell r="GK23">
            <v>11056</v>
          </cell>
        </row>
        <row r="27">
          <cell r="GK27">
            <v>310</v>
          </cell>
        </row>
        <row r="28">
          <cell r="GK28">
            <v>402</v>
          </cell>
        </row>
        <row r="41"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FU41">
            <v>20429</v>
          </cell>
          <cell r="FV41">
            <v>19752</v>
          </cell>
          <cell r="FW41">
            <v>19950</v>
          </cell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I41">
            <v>30483</v>
          </cell>
          <cell r="GJ41">
            <v>27540</v>
          </cell>
          <cell r="GK41">
            <v>22019</v>
          </cell>
        </row>
        <row r="47">
          <cell r="GK47">
            <v>17436</v>
          </cell>
        </row>
        <row r="48">
          <cell r="GK48">
            <v>140</v>
          </cell>
        </row>
        <row r="52">
          <cell r="GK52">
            <v>4557</v>
          </cell>
        </row>
        <row r="53">
          <cell r="GK53">
            <v>2211</v>
          </cell>
        </row>
      </sheetData>
      <sheetData sheetId="7"/>
      <sheetData sheetId="8">
        <row r="4">
          <cell r="GK4">
            <v>614</v>
          </cell>
        </row>
        <row r="5">
          <cell r="GK5">
            <v>614</v>
          </cell>
        </row>
        <row r="19"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FU19">
            <v>1322</v>
          </cell>
          <cell r="FV19">
            <v>1188</v>
          </cell>
          <cell r="FW19">
            <v>1267</v>
          </cell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I19">
            <v>1219</v>
          </cell>
          <cell r="GJ19">
            <v>1160</v>
          </cell>
          <cell r="GK19">
            <v>1228</v>
          </cell>
        </row>
        <row r="22">
          <cell r="GK22">
            <v>74567</v>
          </cell>
        </row>
        <row r="23">
          <cell r="GK23">
            <v>77050</v>
          </cell>
        </row>
        <row r="27">
          <cell r="GK27">
            <v>2955</v>
          </cell>
        </row>
        <row r="28">
          <cell r="GK28">
            <v>3142</v>
          </cell>
        </row>
        <row r="41"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FU41">
            <v>165586</v>
          </cell>
          <cell r="FV41">
            <v>133585</v>
          </cell>
          <cell r="FW41">
            <v>154703</v>
          </cell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I41">
            <v>152922</v>
          </cell>
          <cell r="GJ41">
            <v>139818</v>
          </cell>
          <cell r="GK41">
            <v>151617</v>
          </cell>
        </row>
        <row r="47">
          <cell r="GK47">
            <v>27077</v>
          </cell>
        </row>
        <row r="48">
          <cell r="GK48">
            <v>19706</v>
          </cell>
        </row>
        <row r="52">
          <cell r="GK52">
            <v>12308</v>
          </cell>
        </row>
        <row r="53">
          <cell r="GK53">
            <v>39023</v>
          </cell>
        </row>
      </sheetData>
      <sheetData sheetId="9"/>
      <sheetData sheetId="10">
        <row r="4">
          <cell r="GK4">
            <v>734</v>
          </cell>
        </row>
        <row r="5">
          <cell r="GK5">
            <v>740</v>
          </cell>
        </row>
        <row r="8">
          <cell r="GK8">
            <v>100</v>
          </cell>
        </row>
        <row r="9">
          <cell r="GK9">
            <v>99</v>
          </cell>
        </row>
        <row r="15">
          <cell r="GB15">
            <v>160</v>
          </cell>
          <cell r="GC15">
            <v>217</v>
          </cell>
          <cell r="GD15">
            <v>300</v>
          </cell>
          <cell r="GE15">
            <v>133</v>
          </cell>
          <cell r="GF15">
            <v>18</v>
          </cell>
          <cell r="GG15">
            <v>15</v>
          </cell>
          <cell r="GH15">
            <v>5</v>
          </cell>
          <cell r="GI15">
            <v>8</v>
          </cell>
          <cell r="GJ15">
            <v>4</v>
          </cell>
          <cell r="GK15">
            <v>21</v>
          </cell>
        </row>
        <row r="16">
          <cell r="GB16">
            <v>161</v>
          </cell>
          <cell r="GC16">
            <v>219</v>
          </cell>
          <cell r="GD16">
            <v>303</v>
          </cell>
          <cell r="GE16">
            <v>124</v>
          </cell>
          <cell r="GF16">
            <v>19</v>
          </cell>
          <cell r="GG16">
            <v>14</v>
          </cell>
          <cell r="GH16">
            <v>5</v>
          </cell>
          <cell r="GI16">
            <v>7</v>
          </cell>
          <cell r="GJ16">
            <v>4</v>
          </cell>
          <cell r="GK16">
            <v>19</v>
          </cell>
        </row>
        <row r="19"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FU19">
            <v>1575</v>
          </cell>
          <cell r="FV19">
            <v>1188</v>
          </cell>
          <cell r="FW19">
            <v>1382</v>
          </cell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I19">
            <v>1904</v>
          </cell>
          <cell r="GJ19">
            <v>1519</v>
          </cell>
          <cell r="GK19">
            <v>1713</v>
          </cell>
        </row>
        <row r="22">
          <cell r="GK22">
            <v>108943</v>
          </cell>
        </row>
        <row r="23">
          <cell r="GK23">
            <v>115945</v>
          </cell>
        </row>
        <row r="27">
          <cell r="GK27">
            <v>1522</v>
          </cell>
        </row>
        <row r="28">
          <cell r="GK28">
            <v>1616</v>
          </cell>
        </row>
        <row r="32">
          <cell r="GB32">
            <v>20211</v>
          </cell>
          <cell r="GC32">
            <v>29015</v>
          </cell>
          <cell r="GD32">
            <v>44793</v>
          </cell>
          <cell r="GE32">
            <v>20268</v>
          </cell>
          <cell r="GF32">
            <v>2433</v>
          </cell>
          <cell r="GG32">
            <v>1643</v>
          </cell>
          <cell r="GH32">
            <v>592</v>
          </cell>
          <cell r="GI32">
            <v>853</v>
          </cell>
          <cell r="GJ32">
            <v>345</v>
          </cell>
          <cell r="GK32">
            <v>2076</v>
          </cell>
        </row>
        <row r="33">
          <cell r="GB33">
            <v>19540</v>
          </cell>
          <cell r="GC33">
            <v>31523</v>
          </cell>
          <cell r="GD33">
            <v>45489</v>
          </cell>
          <cell r="GE33">
            <v>9986</v>
          </cell>
          <cell r="GF33">
            <v>2084</v>
          </cell>
          <cell r="GG33">
            <v>1873</v>
          </cell>
          <cell r="GH33">
            <v>607</v>
          </cell>
          <cell r="GI33">
            <v>1918</v>
          </cell>
          <cell r="GJ33">
            <v>437</v>
          </cell>
          <cell r="GK33">
            <v>2308</v>
          </cell>
        </row>
        <row r="37">
          <cell r="GB37">
            <v>206</v>
          </cell>
          <cell r="GC37">
            <v>177</v>
          </cell>
          <cell r="GD37">
            <v>249</v>
          </cell>
          <cell r="GE37">
            <v>142</v>
          </cell>
          <cell r="GF37">
            <v>23</v>
          </cell>
          <cell r="GG37">
            <v>8</v>
          </cell>
          <cell r="GH37">
            <v>14</v>
          </cell>
          <cell r="GI37">
            <v>11</v>
          </cell>
          <cell r="GJ37">
            <v>0</v>
          </cell>
          <cell r="GK37">
            <v>37</v>
          </cell>
        </row>
        <row r="38">
          <cell r="GB38">
            <v>253</v>
          </cell>
          <cell r="GC38">
            <v>233</v>
          </cell>
          <cell r="GD38">
            <v>314</v>
          </cell>
          <cell r="GE38">
            <v>105</v>
          </cell>
          <cell r="GF38">
            <v>22</v>
          </cell>
          <cell r="GG38">
            <v>11</v>
          </cell>
          <cell r="GH38">
            <v>11</v>
          </cell>
          <cell r="GI38">
            <v>10</v>
          </cell>
          <cell r="GJ38">
            <v>2</v>
          </cell>
          <cell r="GK38">
            <v>36</v>
          </cell>
        </row>
        <row r="41"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FU41">
            <v>194148</v>
          </cell>
          <cell r="FV41">
            <v>132514</v>
          </cell>
          <cell r="FW41">
            <v>171893</v>
          </cell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I41">
            <v>264607</v>
          </cell>
          <cell r="GJ41">
            <v>186033</v>
          </cell>
          <cell r="GK41">
            <v>229272</v>
          </cell>
        </row>
        <row r="47">
          <cell r="GK47">
            <v>63803</v>
          </cell>
        </row>
        <row r="48">
          <cell r="GK48">
            <v>356116</v>
          </cell>
        </row>
        <row r="52">
          <cell r="GK52">
            <v>31346</v>
          </cell>
        </row>
        <row r="53">
          <cell r="GK53">
            <v>394884</v>
          </cell>
        </row>
        <row r="70">
          <cell r="GK70">
            <v>115945</v>
          </cell>
        </row>
        <row r="73">
          <cell r="GK73">
            <v>2308</v>
          </cell>
        </row>
      </sheetData>
      <sheetData sheetId="11">
        <row r="4">
          <cell r="GK4">
            <v>83</v>
          </cell>
        </row>
        <row r="5">
          <cell r="GK5">
            <v>83</v>
          </cell>
        </row>
        <row r="19"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FU19">
            <v>156</v>
          </cell>
          <cell r="FV19">
            <v>144</v>
          </cell>
          <cell r="FW19">
            <v>164</v>
          </cell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I19">
            <v>174</v>
          </cell>
          <cell r="GJ19">
            <v>164</v>
          </cell>
          <cell r="GK19">
            <v>166</v>
          </cell>
        </row>
        <row r="22">
          <cell r="GK22">
            <v>496</v>
          </cell>
        </row>
        <row r="23">
          <cell r="GK23">
            <v>462</v>
          </cell>
        </row>
        <row r="41"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FU41">
            <v>885</v>
          </cell>
          <cell r="FV41">
            <v>790</v>
          </cell>
          <cell r="FW41">
            <v>933</v>
          </cell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I41">
            <v>1150</v>
          </cell>
          <cell r="GJ41">
            <v>921</v>
          </cell>
          <cell r="GK41">
            <v>958</v>
          </cell>
        </row>
      </sheetData>
      <sheetData sheetId="12">
        <row r="15">
          <cell r="GF15">
            <v>1</v>
          </cell>
          <cell r="GG15">
            <v>10</v>
          </cell>
          <cell r="GH15">
            <v>17</v>
          </cell>
          <cell r="GI15">
            <v>18</v>
          </cell>
          <cell r="GJ15">
            <v>8</v>
          </cell>
        </row>
        <row r="16">
          <cell r="GF16">
            <v>1</v>
          </cell>
          <cell r="GG16">
            <v>10</v>
          </cell>
          <cell r="GH16">
            <v>17</v>
          </cell>
          <cell r="GI16">
            <v>18</v>
          </cell>
          <cell r="GJ16">
            <v>8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FU19">
            <v>36</v>
          </cell>
          <cell r="FV19">
            <v>17</v>
          </cell>
          <cell r="FW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I19">
            <v>36</v>
          </cell>
          <cell r="GJ19">
            <v>16</v>
          </cell>
          <cell r="GK19">
            <v>0</v>
          </cell>
        </row>
        <row r="32">
          <cell r="GF32">
            <v>236</v>
          </cell>
          <cell r="GG32">
            <v>2273</v>
          </cell>
          <cell r="GH32">
            <v>4241</v>
          </cell>
          <cell r="GI32">
            <v>4552</v>
          </cell>
          <cell r="GJ32">
            <v>1912</v>
          </cell>
        </row>
        <row r="33">
          <cell r="GF33">
            <v>250</v>
          </cell>
          <cell r="GG33">
            <v>2511</v>
          </cell>
          <cell r="GH33">
            <v>4049</v>
          </cell>
          <cell r="GI33">
            <v>4374</v>
          </cell>
          <cell r="GJ33">
            <v>1704</v>
          </cell>
        </row>
        <row r="37">
          <cell r="GF37">
            <v>1</v>
          </cell>
          <cell r="GH37">
            <v>11</v>
          </cell>
          <cell r="GI37">
            <v>11</v>
          </cell>
        </row>
        <row r="38">
          <cell r="GH38">
            <v>9</v>
          </cell>
          <cell r="GI38">
            <v>3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FU41">
            <v>8987</v>
          </cell>
          <cell r="FV41">
            <v>3930</v>
          </cell>
          <cell r="FW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I41">
            <v>8926</v>
          </cell>
          <cell r="GJ41">
            <v>3616</v>
          </cell>
          <cell r="GK41">
            <v>0</v>
          </cell>
        </row>
      </sheetData>
      <sheetData sheetId="13">
        <row r="4">
          <cell r="GK4">
            <v>6093</v>
          </cell>
        </row>
        <row r="5">
          <cell r="GK5">
            <v>6146</v>
          </cell>
        </row>
        <row r="8">
          <cell r="GK8">
            <v>2</v>
          </cell>
        </row>
        <row r="9">
          <cell r="GK9">
            <v>12</v>
          </cell>
        </row>
        <row r="15">
          <cell r="GB15">
            <v>574</v>
          </cell>
          <cell r="GC15">
            <v>585</v>
          </cell>
          <cell r="GD15">
            <v>646</v>
          </cell>
          <cell r="GE15">
            <v>477</v>
          </cell>
          <cell r="GF15">
            <v>505</v>
          </cell>
          <cell r="GG15">
            <v>494</v>
          </cell>
          <cell r="GH15">
            <v>495</v>
          </cell>
          <cell r="GI15">
            <v>501</v>
          </cell>
          <cell r="GJ15">
            <v>554</v>
          </cell>
          <cell r="GK15">
            <v>560</v>
          </cell>
        </row>
        <row r="16">
          <cell r="GB16">
            <v>581</v>
          </cell>
          <cell r="GC16">
            <v>586</v>
          </cell>
          <cell r="GD16">
            <v>645</v>
          </cell>
          <cell r="GE16">
            <v>480</v>
          </cell>
          <cell r="GF16">
            <v>506</v>
          </cell>
          <cell r="GG16">
            <v>494</v>
          </cell>
          <cell r="GH16">
            <v>499</v>
          </cell>
          <cell r="GI16">
            <v>503</v>
          </cell>
          <cell r="GJ16">
            <v>557</v>
          </cell>
          <cell r="GK16">
            <v>560</v>
          </cell>
        </row>
        <row r="19"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FU19">
            <v>14261</v>
          </cell>
          <cell r="FV19">
            <v>12487</v>
          </cell>
          <cell r="FW19">
            <v>12655</v>
          </cell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I19">
            <v>14227</v>
          </cell>
          <cell r="GJ19">
            <v>13154</v>
          </cell>
          <cell r="GK19">
            <v>13373</v>
          </cell>
        </row>
        <row r="22">
          <cell r="GK22">
            <v>827987</v>
          </cell>
        </row>
        <row r="23">
          <cell r="GK23">
            <v>838692</v>
          </cell>
        </row>
        <row r="27">
          <cell r="GK27">
            <v>29652</v>
          </cell>
        </row>
        <row r="28">
          <cell r="GK28">
            <v>29694</v>
          </cell>
        </row>
        <row r="32">
          <cell r="GB32">
            <v>87230</v>
          </cell>
          <cell r="GC32">
            <v>84747</v>
          </cell>
          <cell r="GD32">
            <v>103915</v>
          </cell>
          <cell r="GE32">
            <v>81869</v>
          </cell>
          <cell r="GF32">
            <v>80449</v>
          </cell>
          <cell r="GG32">
            <v>88997</v>
          </cell>
          <cell r="GH32">
            <v>95813</v>
          </cell>
          <cell r="GI32">
            <v>94654</v>
          </cell>
          <cell r="GJ32">
            <v>90229</v>
          </cell>
          <cell r="GK32">
            <v>88981</v>
          </cell>
        </row>
        <row r="33">
          <cell r="GB33">
            <v>82653</v>
          </cell>
          <cell r="GC33">
            <v>84302</v>
          </cell>
          <cell r="GD33">
            <v>103568</v>
          </cell>
          <cell r="GE33">
            <v>73960</v>
          </cell>
          <cell r="GF33">
            <v>89159</v>
          </cell>
          <cell r="GG33">
            <v>93359</v>
          </cell>
          <cell r="GH33">
            <v>87029</v>
          </cell>
          <cell r="GI33">
            <v>91355</v>
          </cell>
          <cell r="GJ33">
            <v>91455</v>
          </cell>
          <cell r="GK33">
            <v>86613</v>
          </cell>
        </row>
        <row r="37">
          <cell r="GB37">
            <v>2573</v>
          </cell>
          <cell r="GC37">
            <v>2264</v>
          </cell>
          <cell r="GD37">
            <v>2193</v>
          </cell>
          <cell r="GE37">
            <v>2505</v>
          </cell>
          <cell r="GF37">
            <v>2291</v>
          </cell>
          <cell r="GG37">
            <v>2140</v>
          </cell>
          <cell r="GH37">
            <v>2515</v>
          </cell>
          <cell r="GI37">
            <v>2252</v>
          </cell>
          <cell r="GJ37">
            <v>2182</v>
          </cell>
          <cell r="GK37">
            <v>2502</v>
          </cell>
        </row>
        <row r="38">
          <cell r="GB38">
            <v>2135</v>
          </cell>
          <cell r="GC38">
            <v>2288</v>
          </cell>
          <cell r="GD38">
            <v>2520</v>
          </cell>
          <cell r="GE38">
            <v>2490</v>
          </cell>
          <cell r="GF38">
            <v>2300</v>
          </cell>
          <cell r="GG38">
            <v>2285</v>
          </cell>
          <cell r="GH38">
            <v>2322</v>
          </cell>
          <cell r="GI38">
            <v>2227</v>
          </cell>
          <cell r="GJ38">
            <v>2147</v>
          </cell>
          <cell r="GK38">
            <v>2220</v>
          </cell>
        </row>
        <row r="41"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FU41">
            <v>2005395</v>
          </cell>
          <cell r="FV41">
            <v>1653558</v>
          </cell>
          <cell r="FW41">
            <v>1710446</v>
          </cell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I41">
            <v>2032800</v>
          </cell>
          <cell r="GJ41">
            <v>1812022</v>
          </cell>
          <cell r="GK41">
            <v>1842273</v>
          </cell>
        </row>
        <row r="47">
          <cell r="GK47">
            <v>2511993</v>
          </cell>
        </row>
        <row r="48">
          <cell r="GK48">
            <v>1771812</v>
          </cell>
        </row>
        <row r="52">
          <cell r="GK52">
            <v>1670345</v>
          </cell>
        </row>
        <row r="53">
          <cell r="GK53">
            <v>1880714</v>
          </cell>
        </row>
        <row r="70">
          <cell r="GK70">
            <v>437061</v>
          </cell>
        </row>
        <row r="71">
          <cell r="GK71">
            <v>401631</v>
          </cell>
        </row>
        <row r="73">
          <cell r="GK73">
            <v>45136</v>
          </cell>
        </row>
        <row r="74">
          <cell r="GK74">
            <v>41477</v>
          </cell>
        </row>
      </sheetData>
      <sheetData sheetId="14">
        <row r="4">
          <cell r="GK4">
            <v>145</v>
          </cell>
        </row>
        <row r="5">
          <cell r="GK5">
            <v>144</v>
          </cell>
        </row>
        <row r="19"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FU19">
            <v>316</v>
          </cell>
          <cell r="FV19">
            <v>300</v>
          </cell>
          <cell r="FW19">
            <v>286</v>
          </cell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I19">
            <v>326</v>
          </cell>
          <cell r="GJ19">
            <v>330</v>
          </cell>
          <cell r="GK19">
            <v>289</v>
          </cell>
        </row>
        <row r="22">
          <cell r="GK22">
            <v>19942</v>
          </cell>
        </row>
        <row r="23">
          <cell r="GK23">
            <v>19986</v>
          </cell>
        </row>
        <row r="27">
          <cell r="GK27">
            <v>132</v>
          </cell>
        </row>
        <row r="28">
          <cell r="GK28">
            <v>132</v>
          </cell>
        </row>
        <row r="41"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FU41">
            <v>48043</v>
          </cell>
          <cell r="FV41">
            <v>40905</v>
          </cell>
          <cell r="FW41">
            <v>40541</v>
          </cell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I41">
            <v>52285</v>
          </cell>
          <cell r="GJ41">
            <v>44272</v>
          </cell>
          <cell r="GK41">
            <v>39928</v>
          </cell>
        </row>
      </sheetData>
      <sheetData sheetId="15"/>
      <sheetData sheetId="16">
        <row r="15">
          <cell r="GB15">
            <v>4</v>
          </cell>
          <cell r="GD15">
            <v>15</v>
          </cell>
          <cell r="GE15">
            <v>24</v>
          </cell>
          <cell r="GF15">
            <v>31</v>
          </cell>
          <cell r="GG15">
            <v>30</v>
          </cell>
          <cell r="GH15">
            <v>31</v>
          </cell>
          <cell r="GI15">
            <v>31</v>
          </cell>
          <cell r="GJ15">
            <v>30</v>
          </cell>
          <cell r="GK15">
            <v>25</v>
          </cell>
        </row>
        <row r="16">
          <cell r="GB16">
            <v>4</v>
          </cell>
          <cell r="GD16">
            <v>15</v>
          </cell>
          <cell r="GE16">
            <v>24</v>
          </cell>
          <cell r="GF16">
            <v>31</v>
          </cell>
          <cell r="GG16">
            <v>30</v>
          </cell>
          <cell r="GH16">
            <v>31</v>
          </cell>
          <cell r="GI16">
            <v>31</v>
          </cell>
          <cell r="GJ16">
            <v>30</v>
          </cell>
          <cell r="GK16">
            <v>25</v>
          </cell>
        </row>
        <row r="19"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FU19">
            <v>98</v>
          </cell>
          <cell r="FV19">
            <v>74</v>
          </cell>
          <cell r="FW19">
            <v>48</v>
          </cell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50</v>
          </cell>
        </row>
        <row r="32">
          <cell r="GB32">
            <v>585</v>
          </cell>
          <cell r="GD32">
            <v>1635</v>
          </cell>
          <cell r="GE32">
            <v>3226</v>
          </cell>
          <cell r="GF32">
            <v>4855</v>
          </cell>
          <cell r="GG32">
            <v>6780</v>
          </cell>
          <cell r="GH32">
            <v>6512</v>
          </cell>
          <cell r="GI32">
            <v>5189</v>
          </cell>
          <cell r="GJ32">
            <v>5061</v>
          </cell>
          <cell r="GK32">
            <v>3642</v>
          </cell>
        </row>
        <row r="33">
          <cell r="GB33">
            <v>515</v>
          </cell>
          <cell r="GD33">
            <v>2134</v>
          </cell>
          <cell r="GE33">
            <v>3423</v>
          </cell>
          <cell r="GF33">
            <v>5973</v>
          </cell>
          <cell r="GG33">
            <v>6716</v>
          </cell>
          <cell r="GH33">
            <v>4733</v>
          </cell>
          <cell r="GI33">
            <v>5565</v>
          </cell>
          <cell r="GJ33">
            <v>5041</v>
          </cell>
          <cell r="GK33">
            <v>2995</v>
          </cell>
        </row>
        <row r="37">
          <cell r="GB37">
            <v>10</v>
          </cell>
          <cell r="GD37">
            <v>29</v>
          </cell>
          <cell r="GE37">
            <v>35</v>
          </cell>
          <cell r="GF37">
            <v>30</v>
          </cell>
          <cell r="GG37">
            <v>37</v>
          </cell>
          <cell r="GH37">
            <v>73</v>
          </cell>
          <cell r="GI37">
            <v>54</v>
          </cell>
          <cell r="GJ37">
            <v>50</v>
          </cell>
          <cell r="GK37">
            <v>104</v>
          </cell>
        </row>
        <row r="38">
          <cell r="GB38">
            <v>5</v>
          </cell>
          <cell r="GD38">
            <v>22</v>
          </cell>
          <cell r="GE38">
            <v>43</v>
          </cell>
          <cell r="GF38">
            <v>32</v>
          </cell>
          <cell r="GG38">
            <v>49</v>
          </cell>
          <cell r="GH38">
            <v>65</v>
          </cell>
          <cell r="GI38">
            <v>77</v>
          </cell>
          <cell r="GJ38">
            <v>57</v>
          </cell>
          <cell r="GK38">
            <v>76</v>
          </cell>
        </row>
        <row r="41"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FU41">
            <v>14451</v>
          </cell>
          <cell r="FV41">
            <v>11139</v>
          </cell>
          <cell r="FW41">
            <v>7045</v>
          </cell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I41">
            <v>10754</v>
          </cell>
          <cell r="GJ41">
            <v>10102</v>
          </cell>
          <cell r="GK41">
            <v>6637</v>
          </cell>
        </row>
        <row r="47">
          <cell r="GK47">
            <v>10315</v>
          </cell>
        </row>
        <row r="52">
          <cell r="GK52">
            <v>533</v>
          </cell>
        </row>
      </sheetData>
      <sheetData sheetId="17">
        <row r="4">
          <cell r="GK4">
            <v>86</v>
          </cell>
        </row>
        <row r="5">
          <cell r="GK5">
            <v>86</v>
          </cell>
        </row>
        <row r="8">
          <cell r="GK8">
            <v>1</v>
          </cell>
        </row>
        <row r="9">
          <cell r="GK9">
            <v>1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FU19">
            <v>185</v>
          </cell>
          <cell r="FV19">
            <v>172</v>
          </cell>
          <cell r="FW19">
            <v>178</v>
          </cell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I19">
            <v>186</v>
          </cell>
          <cell r="GJ19">
            <v>164</v>
          </cell>
          <cell r="GK19">
            <v>174</v>
          </cell>
        </row>
        <row r="22">
          <cell r="GK22">
            <v>9790</v>
          </cell>
        </row>
        <row r="23">
          <cell r="GK23">
            <v>9750</v>
          </cell>
        </row>
        <row r="27">
          <cell r="GK27">
            <v>278</v>
          </cell>
        </row>
        <row r="28">
          <cell r="GK28">
            <v>256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FU41">
            <v>20403</v>
          </cell>
          <cell r="FV41">
            <v>19609</v>
          </cell>
          <cell r="FW41">
            <v>17526</v>
          </cell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I41">
            <v>24626</v>
          </cell>
          <cell r="GJ41">
            <v>17793</v>
          </cell>
          <cell r="GK41">
            <v>19540</v>
          </cell>
        </row>
      </sheetData>
      <sheetData sheetId="18">
        <row r="15">
          <cell r="GB15">
            <v>17</v>
          </cell>
          <cell r="GC15">
            <v>14</v>
          </cell>
          <cell r="GD15">
            <v>18</v>
          </cell>
          <cell r="GE15">
            <v>16</v>
          </cell>
          <cell r="GF15">
            <v>19</v>
          </cell>
          <cell r="GG15">
            <v>17</v>
          </cell>
          <cell r="GH15">
            <v>16</v>
          </cell>
          <cell r="GI15">
            <v>16</v>
          </cell>
          <cell r="GJ15">
            <v>17</v>
          </cell>
          <cell r="GK15">
            <v>18</v>
          </cell>
        </row>
        <row r="16">
          <cell r="GB16">
            <v>17</v>
          </cell>
          <cell r="GC16">
            <v>14</v>
          </cell>
          <cell r="GD16">
            <v>18</v>
          </cell>
          <cell r="GE16">
            <v>16</v>
          </cell>
          <cell r="GF16">
            <v>19</v>
          </cell>
          <cell r="GG16">
            <v>17</v>
          </cell>
          <cell r="GH16">
            <v>16</v>
          </cell>
          <cell r="GI16">
            <v>16</v>
          </cell>
          <cell r="GJ16">
            <v>17</v>
          </cell>
          <cell r="GK16">
            <v>18</v>
          </cell>
        </row>
        <row r="19"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FU19">
            <v>34</v>
          </cell>
          <cell r="FV19">
            <v>32</v>
          </cell>
          <cell r="FW19">
            <v>36</v>
          </cell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I19">
            <v>32</v>
          </cell>
          <cell r="GJ19">
            <v>34</v>
          </cell>
          <cell r="GK19">
            <v>36</v>
          </cell>
        </row>
        <row r="32">
          <cell r="GB32">
            <v>4395</v>
          </cell>
          <cell r="GC32">
            <v>2287</v>
          </cell>
          <cell r="GD32">
            <v>4533</v>
          </cell>
          <cell r="GE32">
            <v>4007</v>
          </cell>
          <cell r="GF32">
            <v>3686</v>
          </cell>
          <cell r="GG32">
            <v>4320</v>
          </cell>
          <cell r="GH32">
            <v>4349</v>
          </cell>
          <cell r="GI32">
            <v>4367</v>
          </cell>
          <cell r="GJ32">
            <v>4448</v>
          </cell>
          <cell r="GK32">
            <v>4759</v>
          </cell>
        </row>
        <row r="33">
          <cell r="GB33">
            <v>2970</v>
          </cell>
          <cell r="GC33">
            <v>3199</v>
          </cell>
          <cell r="GD33">
            <v>4202</v>
          </cell>
          <cell r="GE33">
            <v>3470</v>
          </cell>
          <cell r="GF33">
            <v>4314</v>
          </cell>
          <cell r="GG33">
            <v>4438</v>
          </cell>
          <cell r="GH33">
            <v>3436</v>
          </cell>
          <cell r="GI33">
            <v>4210</v>
          </cell>
          <cell r="GJ33">
            <v>4308</v>
          </cell>
          <cell r="GK33">
            <v>4014</v>
          </cell>
        </row>
        <row r="37">
          <cell r="GB37">
            <v>8</v>
          </cell>
          <cell r="GC37">
            <v>9</v>
          </cell>
          <cell r="GD37">
            <v>30</v>
          </cell>
          <cell r="GE37">
            <v>15</v>
          </cell>
          <cell r="GF37">
            <v>6</v>
          </cell>
          <cell r="GG37">
            <v>7</v>
          </cell>
          <cell r="GH37">
            <v>8</v>
          </cell>
          <cell r="GI37">
            <v>7</v>
          </cell>
          <cell r="GJ37">
            <v>6</v>
          </cell>
          <cell r="GK37">
            <v>8</v>
          </cell>
        </row>
        <row r="38">
          <cell r="GB38">
            <v>15</v>
          </cell>
          <cell r="GC38">
            <v>3</v>
          </cell>
          <cell r="GD38">
            <v>28</v>
          </cell>
          <cell r="GE38">
            <v>11</v>
          </cell>
          <cell r="GF38">
            <v>9</v>
          </cell>
          <cell r="GG38">
            <v>5</v>
          </cell>
          <cell r="GH38">
            <v>10</v>
          </cell>
          <cell r="GI38">
            <v>20</v>
          </cell>
          <cell r="GJ38">
            <v>10</v>
          </cell>
          <cell r="GK38">
            <v>9</v>
          </cell>
        </row>
        <row r="41"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FU41">
            <v>8652</v>
          </cell>
          <cell r="FV41">
            <v>7861</v>
          </cell>
          <cell r="FW41">
            <v>7733</v>
          </cell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I41">
            <v>8577</v>
          </cell>
          <cell r="GJ41">
            <v>8756</v>
          </cell>
          <cell r="GK41">
            <v>8773</v>
          </cell>
        </row>
        <row r="47">
          <cell r="GK47">
            <v>456526</v>
          </cell>
        </row>
        <row r="52">
          <cell r="GK52">
            <v>248600</v>
          </cell>
        </row>
      </sheetData>
      <sheetData sheetId="19"/>
      <sheetData sheetId="20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</row>
      </sheetData>
      <sheetData sheetId="21">
        <row r="4">
          <cell r="GK4">
            <v>666</v>
          </cell>
        </row>
        <row r="5">
          <cell r="GK5">
            <v>663</v>
          </cell>
        </row>
        <row r="19"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FU19">
            <v>1491</v>
          </cell>
          <cell r="FV19">
            <v>1368</v>
          </cell>
          <cell r="FW19">
            <v>1477</v>
          </cell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I19">
            <v>1426</v>
          </cell>
          <cell r="GJ19">
            <v>1264</v>
          </cell>
          <cell r="GK19">
            <v>1329</v>
          </cell>
        </row>
        <row r="22">
          <cell r="GK22">
            <v>77351</v>
          </cell>
        </row>
        <row r="23">
          <cell r="GK23">
            <v>79627</v>
          </cell>
        </row>
        <row r="27">
          <cell r="GK27">
            <v>1625</v>
          </cell>
        </row>
        <row r="28">
          <cell r="GK28">
            <v>1832</v>
          </cell>
        </row>
        <row r="41"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FU41">
            <v>184520</v>
          </cell>
          <cell r="FV41">
            <v>160682</v>
          </cell>
          <cell r="FW41">
            <v>178514</v>
          </cell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I41">
            <v>169547</v>
          </cell>
          <cell r="GJ41">
            <v>150326</v>
          </cell>
          <cell r="GK41">
            <v>156978</v>
          </cell>
        </row>
        <row r="47">
          <cell r="GK47">
            <v>235850</v>
          </cell>
        </row>
        <row r="52">
          <cell r="GK52">
            <v>116880</v>
          </cell>
        </row>
        <row r="70">
          <cell r="GK70">
            <v>79467</v>
          </cell>
        </row>
        <row r="71">
          <cell r="GK71">
            <v>160</v>
          </cell>
        </row>
      </sheetData>
      <sheetData sheetId="22">
        <row r="4">
          <cell r="GK4">
            <v>300</v>
          </cell>
        </row>
        <row r="5">
          <cell r="GK5">
            <v>300</v>
          </cell>
        </row>
        <row r="19"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FU19">
            <v>744</v>
          </cell>
          <cell r="FV19">
            <v>618</v>
          </cell>
          <cell r="FW19">
            <v>602</v>
          </cell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I19">
            <v>607</v>
          </cell>
          <cell r="GJ19">
            <v>591</v>
          </cell>
          <cell r="GK19">
            <v>600</v>
          </cell>
        </row>
        <row r="22">
          <cell r="GK22">
            <v>46038</v>
          </cell>
        </row>
        <row r="23">
          <cell r="GK23">
            <v>47859</v>
          </cell>
        </row>
        <row r="27">
          <cell r="GK27">
            <v>240</v>
          </cell>
        </row>
        <row r="28">
          <cell r="GK28">
            <v>269</v>
          </cell>
        </row>
        <row r="41"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FU41">
            <v>112678</v>
          </cell>
          <cell r="FV41">
            <v>83947</v>
          </cell>
          <cell r="FW41">
            <v>89265</v>
          </cell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I41">
            <v>100921</v>
          </cell>
          <cell r="GJ41">
            <v>85493</v>
          </cell>
          <cell r="GK41">
            <v>93897</v>
          </cell>
        </row>
      </sheetData>
      <sheetData sheetId="23">
        <row r="4">
          <cell r="GK4">
            <v>396</v>
          </cell>
        </row>
        <row r="5">
          <cell r="GK5">
            <v>396</v>
          </cell>
        </row>
        <row r="19"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FU19">
            <v>822</v>
          </cell>
          <cell r="FV19">
            <v>652</v>
          </cell>
          <cell r="FW19">
            <v>666</v>
          </cell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I19">
            <v>798</v>
          </cell>
          <cell r="GJ19">
            <v>676</v>
          </cell>
          <cell r="GK19">
            <v>792</v>
          </cell>
        </row>
        <row r="22">
          <cell r="GK22">
            <v>51391</v>
          </cell>
        </row>
        <row r="23">
          <cell r="GK23">
            <v>50474</v>
          </cell>
        </row>
        <row r="27">
          <cell r="GK27">
            <v>1766</v>
          </cell>
        </row>
        <row r="28">
          <cell r="GK28">
            <v>1904</v>
          </cell>
        </row>
        <row r="41"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FU41">
            <v>101481</v>
          </cell>
          <cell r="FV41">
            <v>78239</v>
          </cell>
          <cell r="FW41">
            <v>86741</v>
          </cell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I41">
            <v>109723</v>
          </cell>
          <cell r="GJ41">
            <v>84860</v>
          </cell>
          <cell r="GK41">
            <v>101865</v>
          </cell>
        </row>
        <row r="47">
          <cell r="GK47">
            <v>40176</v>
          </cell>
        </row>
        <row r="48">
          <cell r="GK48">
            <v>63529</v>
          </cell>
        </row>
        <row r="52">
          <cell r="GK52">
            <v>14182</v>
          </cell>
        </row>
        <row r="53">
          <cell r="GK53">
            <v>45921</v>
          </cell>
        </row>
      </sheetData>
      <sheetData sheetId="24"/>
      <sheetData sheetId="25"/>
      <sheetData sheetId="26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</row>
      </sheetData>
      <sheetData sheetId="27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I19">
            <v>0</v>
          </cell>
          <cell r="GJ19">
            <v>0</v>
          </cell>
          <cell r="GK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I41">
            <v>0</v>
          </cell>
          <cell r="GJ41">
            <v>0</v>
          </cell>
          <cell r="GK41">
            <v>0</v>
          </cell>
        </row>
      </sheetData>
      <sheetData sheetId="28">
        <row r="4">
          <cell r="GK4">
            <v>4</v>
          </cell>
        </row>
        <row r="5">
          <cell r="GK5">
            <v>4</v>
          </cell>
        </row>
        <row r="19"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FU19">
            <v>14</v>
          </cell>
          <cell r="FV19">
            <v>10</v>
          </cell>
          <cell r="FW19">
            <v>12</v>
          </cell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I19">
            <v>153</v>
          </cell>
          <cell r="GJ19">
            <v>10</v>
          </cell>
          <cell r="GK19">
            <v>8</v>
          </cell>
        </row>
        <row r="22">
          <cell r="GK22">
            <v>251</v>
          </cell>
        </row>
        <row r="23">
          <cell r="GK23">
            <v>235</v>
          </cell>
        </row>
        <row r="27">
          <cell r="GK27">
            <v>16</v>
          </cell>
        </row>
        <row r="28">
          <cell r="GK28">
            <v>31</v>
          </cell>
        </row>
        <row r="41"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FU41">
            <v>412</v>
          </cell>
          <cell r="FV41">
            <v>440</v>
          </cell>
          <cell r="FW41">
            <v>459</v>
          </cell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I41">
            <v>9652</v>
          </cell>
          <cell r="GJ41">
            <v>530</v>
          </cell>
          <cell r="GK41">
            <v>486</v>
          </cell>
        </row>
      </sheetData>
      <sheetData sheetId="29">
        <row r="19"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</row>
        <row r="41"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</row>
      </sheetData>
      <sheetData sheetId="30"/>
      <sheetData sheetId="31"/>
      <sheetData sheetId="32"/>
      <sheetData sheetId="33">
        <row r="19"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</row>
      </sheetData>
      <sheetData sheetId="34"/>
      <sheetData sheetId="35">
        <row r="4">
          <cell r="GK4">
            <v>46</v>
          </cell>
        </row>
        <row r="5">
          <cell r="GK5">
            <v>46</v>
          </cell>
        </row>
        <row r="19"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10</v>
          </cell>
          <cell r="FW19">
            <v>0</v>
          </cell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I19">
            <v>132</v>
          </cell>
          <cell r="GJ19">
            <v>126</v>
          </cell>
          <cell r="GK19">
            <v>92</v>
          </cell>
        </row>
        <row r="22">
          <cell r="GK22">
            <v>2576</v>
          </cell>
        </row>
        <row r="23">
          <cell r="GK23">
            <v>2722</v>
          </cell>
        </row>
        <row r="27">
          <cell r="GK27">
            <v>111</v>
          </cell>
        </row>
        <row r="28">
          <cell r="GK28">
            <v>68</v>
          </cell>
        </row>
        <row r="41"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FU41">
            <v>93</v>
          </cell>
          <cell r="FV41">
            <v>379</v>
          </cell>
          <cell r="FW41">
            <v>0</v>
          </cell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I41">
            <v>8069</v>
          </cell>
          <cell r="GJ41">
            <v>6754</v>
          </cell>
          <cell r="GK41">
            <v>5298</v>
          </cell>
        </row>
      </sheetData>
      <sheetData sheetId="36"/>
      <sheetData sheetId="37">
        <row r="4">
          <cell r="GK4">
            <v>54</v>
          </cell>
        </row>
        <row r="5">
          <cell r="GK5">
            <v>54</v>
          </cell>
        </row>
        <row r="15">
          <cell r="GB15">
            <v>22</v>
          </cell>
          <cell r="GC15">
            <v>20</v>
          </cell>
          <cell r="GD15">
            <v>51</v>
          </cell>
          <cell r="GE15">
            <v>2</v>
          </cell>
        </row>
        <row r="16">
          <cell r="GB16">
            <v>23</v>
          </cell>
          <cell r="GC16">
            <v>21</v>
          </cell>
          <cell r="GD16">
            <v>50</v>
          </cell>
          <cell r="GE16">
            <v>1</v>
          </cell>
        </row>
        <row r="19"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FU19">
            <v>472</v>
          </cell>
          <cell r="FV19">
            <v>166</v>
          </cell>
          <cell r="FW19">
            <v>222</v>
          </cell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I19">
            <v>102</v>
          </cell>
          <cell r="GJ19">
            <v>144</v>
          </cell>
          <cell r="GK19">
            <v>108</v>
          </cell>
        </row>
        <row r="22">
          <cell r="GK22">
            <v>3252</v>
          </cell>
        </row>
        <row r="23">
          <cell r="GK23">
            <v>3263</v>
          </cell>
        </row>
        <row r="27">
          <cell r="GK27">
            <v>76</v>
          </cell>
        </row>
        <row r="28">
          <cell r="GK28">
            <v>91</v>
          </cell>
        </row>
        <row r="32">
          <cell r="GB32">
            <v>1113</v>
          </cell>
          <cell r="GC32">
            <v>1097</v>
          </cell>
          <cell r="GD32">
            <v>2693</v>
          </cell>
          <cell r="GE32">
            <v>109</v>
          </cell>
        </row>
        <row r="33">
          <cell r="GB33">
            <v>1359</v>
          </cell>
          <cell r="GC33">
            <v>1277</v>
          </cell>
          <cell r="GD33">
            <v>2988</v>
          </cell>
          <cell r="GE33">
            <v>61</v>
          </cell>
        </row>
        <row r="37">
          <cell r="GB37">
            <v>19</v>
          </cell>
          <cell r="GC37">
            <v>24</v>
          </cell>
          <cell r="GD37">
            <v>62</v>
          </cell>
          <cell r="GE37">
            <v>5</v>
          </cell>
        </row>
        <row r="38">
          <cell r="GB38">
            <v>5</v>
          </cell>
          <cell r="GC38">
            <v>16</v>
          </cell>
          <cell r="GD38">
            <v>48</v>
          </cell>
          <cell r="GE38">
            <v>1</v>
          </cell>
        </row>
        <row r="41"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FU41">
            <v>29058</v>
          </cell>
          <cell r="FV41">
            <v>10075</v>
          </cell>
          <cell r="FW41">
            <v>13848</v>
          </cell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I41">
            <v>6223</v>
          </cell>
          <cell r="GJ41">
            <v>8120</v>
          </cell>
          <cell r="GK41">
            <v>6515</v>
          </cell>
        </row>
        <row r="47">
          <cell r="GK47">
            <v>173</v>
          </cell>
        </row>
        <row r="70">
          <cell r="GK70">
            <v>1081</v>
          </cell>
        </row>
        <row r="71">
          <cell r="GK71">
            <v>2182</v>
          </cell>
        </row>
      </sheetData>
      <sheetData sheetId="38">
        <row r="4">
          <cell r="GK4">
            <v>5</v>
          </cell>
        </row>
        <row r="5">
          <cell r="GK5">
            <v>5</v>
          </cell>
        </row>
        <row r="19"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FU19">
            <v>1</v>
          </cell>
          <cell r="FV19">
            <v>0</v>
          </cell>
          <cell r="FW19">
            <v>0</v>
          </cell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I19">
            <v>10</v>
          </cell>
          <cell r="GJ19">
            <v>20</v>
          </cell>
          <cell r="GK19">
            <v>10</v>
          </cell>
        </row>
        <row r="22">
          <cell r="GK22">
            <v>329</v>
          </cell>
        </row>
        <row r="23">
          <cell r="GK23">
            <v>316</v>
          </cell>
        </row>
        <row r="27">
          <cell r="GK27">
            <v>7</v>
          </cell>
        </row>
        <row r="28">
          <cell r="GK28">
            <v>14</v>
          </cell>
        </row>
        <row r="41"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FU41">
            <v>61</v>
          </cell>
          <cell r="FV41">
            <v>0</v>
          </cell>
          <cell r="FW41">
            <v>0</v>
          </cell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I41">
            <v>621</v>
          </cell>
          <cell r="GJ41">
            <v>1312</v>
          </cell>
          <cell r="GK41">
            <v>645</v>
          </cell>
        </row>
      </sheetData>
      <sheetData sheetId="39">
        <row r="19"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FU19">
            <v>124</v>
          </cell>
          <cell r="FV19">
            <v>120</v>
          </cell>
          <cell r="FW19">
            <v>122</v>
          </cell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</row>
        <row r="41"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FU41">
            <v>8050</v>
          </cell>
          <cell r="FV41">
            <v>7540</v>
          </cell>
          <cell r="FW41">
            <v>7891</v>
          </cell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</row>
      </sheetData>
      <sheetData sheetId="40">
        <row r="4">
          <cell r="GK4">
            <v>76</v>
          </cell>
        </row>
        <row r="5">
          <cell r="GK5">
            <v>76</v>
          </cell>
        </row>
        <row r="19"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FU19">
            <v>282</v>
          </cell>
          <cell r="FV19">
            <v>246</v>
          </cell>
          <cell r="FW19">
            <v>274</v>
          </cell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I19">
            <v>238</v>
          </cell>
          <cell r="GJ19">
            <v>222</v>
          </cell>
          <cell r="GK19">
            <v>152</v>
          </cell>
        </row>
        <row r="22">
          <cell r="GK22">
            <v>4348</v>
          </cell>
        </row>
        <row r="23">
          <cell r="GK23">
            <v>4616</v>
          </cell>
        </row>
        <row r="27">
          <cell r="GK27">
            <v>171</v>
          </cell>
        </row>
        <row r="28">
          <cell r="GK28">
            <v>156</v>
          </cell>
        </row>
        <row r="41"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FU41">
            <v>20000</v>
          </cell>
          <cell r="FV41">
            <v>15314</v>
          </cell>
          <cell r="FW41">
            <v>17814</v>
          </cell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I41">
            <v>16113</v>
          </cell>
          <cell r="GJ41">
            <v>13172</v>
          </cell>
          <cell r="GK41">
            <v>8964</v>
          </cell>
        </row>
      </sheetData>
      <sheetData sheetId="41"/>
      <sheetData sheetId="42"/>
      <sheetData sheetId="43">
        <row r="4">
          <cell r="GK4">
            <v>1140</v>
          </cell>
        </row>
        <row r="5">
          <cell r="GK5">
            <v>1135</v>
          </cell>
        </row>
        <row r="9">
          <cell r="GK9">
            <v>1</v>
          </cell>
        </row>
        <row r="15">
          <cell r="GB15">
            <v>81</v>
          </cell>
          <cell r="GC15">
            <v>57</v>
          </cell>
          <cell r="GD15">
            <v>88</v>
          </cell>
          <cell r="GE15">
            <v>28</v>
          </cell>
          <cell r="GF15">
            <v>137</v>
          </cell>
          <cell r="GG15">
            <v>129</v>
          </cell>
          <cell r="GH15">
            <v>124</v>
          </cell>
          <cell r="GI15">
            <v>138</v>
          </cell>
          <cell r="GJ15">
            <v>85</v>
          </cell>
          <cell r="GK15">
            <v>104</v>
          </cell>
        </row>
        <row r="16">
          <cell r="GB16">
            <v>80</v>
          </cell>
          <cell r="GC16">
            <v>57</v>
          </cell>
          <cell r="GD16">
            <v>89</v>
          </cell>
          <cell r="GE16">
            <v>28</v>
          </cell>
          <cell r="GF16">
            <v>137</v>
          </cell>
          <cell r="GG16">
            <v>129</v>
          </cell>
          <cell r="GH16">
            <v>125</v>
          </cell>
          <cell r="GI16">
            <v>137</v>
          </cell>
          <cell r="GJ16">
            <v>85</v>
          </cell>
          <cell r="GK16">
            <v>105</v>
          </cell>
        </row>
        <row r="19"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FU19">
            <v>2292</v>
          </cell>
          <cell r="FV19">
            <v>1989</v>
          </cell>
          <cell r="FW19">
            <v>1900</v>
          </cell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I19">
            <v>2422</v>
          </cell>
          <cell r="GJ19">
            <v>2271</v>
          </cell>
          <cell r="GK19">
            <v>2485</v>
          </cell>
        </row>
        <row r="22">
          <cell r="GK22">
            <v>69197</v>
          </cell>
        </row>
        <row r="23">
          <cell r="GK23">
            <v>69514</v>
          </cell>
        </row>
        <row r="27">
          <cell r="GK27">
            <v>1909</v>
          </cell>
        </row>
        <row r="28">
          <cell r="GK28">
            <v>1787</v>
          </cell>
        </row>
        <row r="32">
          <cell r="GB32">
            <v>4708</v>
          </cell>
          <cell r="GC32">
            <v>3190</v>
          </cell>
          <cell r="GD32">
            <v>5346</v>
          </cell>
          <cell r="GE32">
            <v>1792</v>
          </cell>
          <cell r="GF32">
            <v>9322</v>
          </cell>
          <cell r="GG32">
            <v>9063</v>
          </cell>
          <cell r="GH32">
            <v>8862</v>
          </cell>
          <cell r="GI32">
            <v>9764</v>
          </cell>
          <cell r="GJ32">
            <v>5492</v>
          </cell>
          <cell r="GK32">
            <v>6886</v>
          </cell>
        </row>
        <row r="33">
          <cell r="GB33">
            <v>4966</v>
          </cell>
          <cell r="GC33">
            <v>3571</v>
          </cell>
          <cell r="GD33">
            <v>5789</v>
          </cell>
          <cell r="GE33">
            <v>1890</v>
          </cell>
          <cell r="GF33">
            <v>9720</v>
          </cell>
          <cell r="GG33">
            <v>9250</v>
          </cell>
          <cell r="GH33">
            <v>8616</v>
          </cell>
          <cell r="GI33">
            <v>9458</v>
          </cell>
          <cell r="GJ33">
            <v>5610</v>
          </cell>
          <cell r="GK33">
            <v>6796</v>
          </cell>
        </row>
        <row r="37">
          <cell r="GB37">
            <v>89</v>
          </cell>
          <cell r="GC37">
            <v>62</v>
          </cell>
          <cell r="GD37">
            <v>69</v>
          </cell>
          <cell r="GE37">
            <v>28</v>
          </cell>
          <cell r="GF37">
            <v>153</v>
          </cell>
          <cell r="GG37">
            <v>116</v>
          </cell>
          <cell r="GH37">
            <v>138</v>
          </cell>
          <cell r="GI37">
            <v>159</v>
          </cell>
          <cell r="GJ37">
            <v>118</v>
          </cell>
          <cell r="GK37">
            <v>145</v>
          </cell>
        </row>
        <row r="38">
          <cell r="GB38">
            <v>68</v>
          </cell>
          <cell r="GC38">
            <v>52</v>
          </cell>
          <cell r="GD38">
            <v>52</v>
          </cell>
          <cell r="GE38">
            <v>16</v>
          </cell>
          <cell r="GF38">
            <v>137</v>
          </cell>
          <cell r="GG38">
            <v>128</v>
          </cell>
          <cell r="GH38">
            <v>119</v>
          </cell>
          <cell r="GI38">
            <v>211</v>
          </cell>
          <cell r="GJ38">
            <v>100</v>
          </cell>
          <cell r="GK38">
            <v>139</v>
          </cell>
        </row>
        <row r="41"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FU41">
            <v>142030</v>
          </cell>
          <cell r="FV41">
            <v>116082</v>
          </cell>
          <cell r="FW41">
            <v>112526</v>
          </cell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I41">
            <v>149061</v>
          </cell>
          <cell r="GJ41">
            <v>133893</v>
          </cell>
          <cell r="GK41">
            <v>152393</v>
          </cell>
        </row>
        <row r="70">
          <cell r="GK70">
            <v>26891</v>
          </cell>
        </row>
        <row r="71">
          <cell r="GK71">
            <v>42623</v>
          </cell>
        </row>
        <row r="73">
          <cell r="GK73">
            <v>2629</v>
          </cell>
        </row>
        <row r="74">
          <cell r="GK74">
            <v>4167</v>
          </cell>
        </row>
      </sheetData>
      <sheetData sheetId="44">
        <row r="19"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</row>
        <row r="41"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</row>
      </sheetData>
      <sheetData sheetId="45">
        <row r="4">
          <cell r="GK4">
            <v>239</v>
          </cell>
        </row>
        <row r="5">
          <cell r="GK5">
            <v>239</v>
          </cell>
        </row>
        <row r="19"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FU19">
            <v>438</v>
          </cell>
          <cell r="FV19">
            <v>428</v>
          </cell>
          <cell r="FW19">
            <v>460</v>
          </cell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I19">
            <v>359</v>
          </cell>
          <cell r="GJ19">
            <v>453</v>
          </cell>
          <cell r="GK19">
            <v>478</v>
          </cell>
        </row>
        <row r="22">
          <cell r="GK22">
            <v>12980</v>
          </cell>
        </row>
        <row r="23">
          <cell r="GK23">
            <v>13787</v>
          </cell>
        </row>
        <row r="27">
          <cell r="GK27">
            <v>479</v>
          </cell>
        </row>
        <row r="28">
          <cell r="GK28">
            <v>586</v>
          </cell>
        </row>
        <row r="41"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FU41">
            <v>26182</v>
          </cell>
          <cell r="FV41">
            <v>23208</v>
          </cell>
          <cell r="FW41">
            <v>27236</v>
          </cell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I41">
            <v>21656</v>
          </cell>
          <cell r="GJ41">
            <v>23265</v>
          </cell>
          <cell r="GK41">
            <v>26767</v>
          </cell>
        </row>
        <row r="47">
          <cell r="GK47">
            <v>528</v>
          </cell>
        </row>
        <row r="52">
          <cell r="GK52">
            <v>20</v>
          </cell>
        </row>
      </sheetData>
      <sheetData sheetId="46">
        <row r="4">
          <cell r="GK4">
            <v>258</v>
          </cell>
        </row>
        <row r="5">
          <cell r="GK5">
            <v>258</v>
          </cell>
        </row>
        <row r="19"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FU19">
            <v>498</v>
          </cell>
          <cell r="FV19">
            <v>410</v>
          </cell>
          <cell r="FW19">
            <v>452</v>
          </cell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I19">
            <v>442</v>
          </cell>
          <cell r="GJ19">
            <v>376</v>
          </cell>
          <cell r="GK19">
            <v>516</v>
          </cell>
        </row>
        <row r="22">
          <cell r="GK22">
            <v>15963</v>
          </cell>
        </row>
        <row r="23">
          <cell r="GK23">
            <v>15328</v>
          </cell>
        </row>
        <row r="27">
          <cell r="GK27">
            <v>541</v>
          </cell>
        </row>
        <row r="28">
          <cell r="GK28">
            <v>507</v>
          </cell>
        </row>
        <row r="41"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FU41">
            <v>31546</v>
          </cell>
          <cell r="FV41">
            <v>25283</v>
          </cell>
          <cell r="FW41">
            <v>28092</v>
          </cell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I41">
            <v>29179</v>
          </cell>
          <cell r="GJ41">
            <v>23578</v>
          </cell>
          <cell r="GK41">
            <v>31291</v>
          </cell>
        </row>
      </sheetData>
      <sheetData sheetId="47">
        <row r="15">
          <cell r="GB15">
            <v>78</v>
          </cell>
          <cell r="GC15">
            <v>65</v>
          </cell>
          <cell r="GD15">
            <v>85</v>
          </cell>
          <cell r="GE15">
            <v>80</v>
          </cell>
          <cell r="GF15">
            <v>92</v>
          </cell>
          <cell r="GG15">
            <v>89</v>
          </cell>
          <cell r="GH15">
            <v>93</v>
          </cell>
          <cell r="GI15">
            <v>93</v>
          </cell>
          <cell r="GJ15">
            <v>114</v>
          </cell>
          <cell r="GK15">
            <v>115</v>
          </cell>
        </row>
        <row r="16">
          <cell r="GB16">
            <v>78</v>
          </cell>
          <cell r="GC16">
            <v>65</v>
          </cell>
          <cell r="GD16">
            <v>85</v>
          </cell>
          <cell r="GE16">
            <v>80</v>
          </cell>
          <cell r="GF16">
            <v>92</v>
          </cell>
          <cell r="GG16">
            <v>89</v>
          </cell>
          <cell r="GH16">
            <v>93</v>
          </cell>
          <cell r="GI16">
            <v>93</v>
          </cell>
          <cell r="GJ16">
            <v>114</v>
          </cell>
          <cell r="GK16">
            <v>115</v>
          </cell>
        </row>
        <row r="19"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FU19">
            <v>182</v>
          </cell>
          <cell r="FV19">
            <v>178</v>
          </cell>
          <cell r="FW19">
            <v>186</v>
          </cell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I19">
            <v>186</v>
          </cell>
          <cell r="GJ19">
            <v>228</v>
          </cell>
          <cell r="GK19">
            <v>230</v>
          </cell>
        </row>
        <row r="32">
          <cell r="GB32">
            <v>3712</v>
          </cell>
          <cell r="GC32">
            <v>3611</v>
          </cell>
          <cell r="GD32">
            <v>4585</v>
          </cell>
          <cell r="GE32">
            <v>4957</v>
          </cell>
          <cell r="GF32">
            <v>4807</v>
          </cell>
          <cell r="GG32">
            <v>5645</v>
          </cell>
          <cell r="GH32">
            <v>6256</v>
          </cell>
          <cell r="GI32">
            <v>5796</v>
          </cell>
          <cell r="GJ32">
            <v>6082</v>
          </cell>
          <cell r="GK32">
            <v>6120</v>
          </cell>
        </row>
        <row r="33">
          <cell r="GB33">
            <v>3782</v>
          </cell>
          <cell r="GC33">
            <v>3248</v>
          </cell>
          <cell r="GD33">
            <v>5053</v>
          </cell>
          <cell r="GE33">
            <v>4132</v>
          </cell>
          <cell r="GF33">
            <v>5213</v>
          </cell>
          <cell r="GG33">
            <v>6120</v>
          </cell>
          <cell r="GH33">
            <v>5412</v>
          </cell>
          <cell r="GI33">
            <v>5658</v>
          </cell>
          <cell r="GJ33">
            <v>6175</v>
          </cell>
          <cell r="GK33">
            <v>5823</v>
          </cell>
        </row>
        <row r="37">
          <cell r="GB37">
            <v>24</v>
          </cell>
          <cell r="GC37">
            <v>23</v>
          </cell>
          <cell r="GD37">
            <v>38</v>
          </cell>
          <cell r="GE37">
            <v>52</v>
          </cell>
          <cell r="GF37">
            <v>76</v>
          </cell>
          <cell r="GG37">
            <v>46</v>
          </cell>
          <cell r="GH37">
            <v>88</v>
          </cell>
          <cell r="GI37">
            <v>91</v>
          </cell>
          <cell r="GJ37">
            <v>72</v>
          </cell>
          <cell r="GK37">
            <v>80</v>
          </cell>
        </row>
        <row r="38">
          <cell r="GB38">
            <v>43</v>
          </cell>
          <cell r="GC38">
            <v>31</v>
          </cell>
          <cell r="GD38">
            <v>48</v>
          </cell>
          <cell r="GE38">
            <v>61</v>
          </cell>
          <cell r="GF38">
            <v>72</v>
          </cell>
          <cell r="GG38">
            <v>58</v>
          </cell>
          <cell r="GH38">
            <v>91</v>
          </cell>
          <cell r="GI38">
            <v>76</v>
          </cell>
          <cell r="GJ38">
            <v>79</v>
          </cell>
          <cell r="GK38">
            <v>65</v>
          </cell>
        </row>
        <row r="41"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FU41">
            <v>11949</v>
          </cell>
          <cell r="FV41">
            <v>11006</v>
          </cell>
          <cell r="FW41">
            <v>11354</v>
          </cell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I41">
            <v>11454</v>
          </cell>
          <cell r="GJ41">
            <v>12257</v>
          </cell>
          <cell r="GK41">
            <v>11943</v>
          </cell>
        </row>
        <row r="47">
          <cell r="GK47">
            <v>1385</v>
          </cell>
        </row>
        <row r="52">
          <cell r="GK52">
            <v>1942</v>
          </cell>
        </row>
      </sheetData>
      <sheetData sheetId="48">
        <row r="4">
          <cell r="GK4">
            <v>3646</v>
          </cell>
        </row>
        <row r="5">
          <cell r="GK5">
            <v>3643</v>
          </cell>
        </row>
        <row r="9">
          <cell r="GK9">
            <v>6</v>
          </cell>
        </row>
        <row r="15">
          <cell r="GB15">
            <v>191</v>
          </cell>
          <cell r="GC15">
            <v>148</v>
          </cell>
          <cell r="GD15">
            <v>190</v>
          </cell>
          <cell r="GE15">
            <v>244</v>
          </cell>
          <cell r="GF15">
            <v>111</v>
          </cell>
          <cell r="GG15">
            <v>182</v>
          </cell>
          <cell r="GH15">
            <v>203</v>
          </cell>
          <cell r="GI15">
            <v>212</v>
          </cell>
          <cell r="GJ15">
            <v>136</v>
          </cell>
          <cell r="GK15">
            <v>120</v>
          </cell>
        </row>
        <row r="16">
          <cell r="GB16">
            <v>188</v>
          </cell>
          <cell r="GC16">
            <v>149</v>
          </cell>
          <cell r="GD16">
            <v>190</v>
          </cell>
          <cell r="GE16">
            <v>245</v>
          </cell>
          <cell r="GF16">
            <v>110</v>
          </cell>
          <cell r="GG16">
            <v>185</v>
          </cell>
          <cell r="GH16">
            <v>206</v>
          </cell>
          <cell r="GI16">
            <v>212</v>
          </cell>
          <cell r="GJ16">
            <v>136</v>
          </cell>
          <cell r="GK16">
            <v>119</v>
          </cell>
        </row>
        <row r="19"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FU19">
            <v>8856</v>
          </cell>
          <cell r="FV19">
            <v>7859</v>
          </cell>
          <cell r="FW19">
            <v>8373</v>
          </cell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I19">
            <v>9209</v>
          </cell>
          <cell r="GJ19">
            <v>7071</v>
          </cell>
          <cell r="GK19">
            <v>7534</v>
          </cell>
        </row>
        <row r="22">
          <cell r="GK22">
            <v>168570</v>
          </cell>
        </row>
        <row r="23">
          <cell r="GK23">
            <v>163039</v>
          </cell>
        </row>
        <row r="27">
          <cell r="GK27">
            <v>5089</v>
          </cell>
        </row>
        <row r="28">
          <cell r="GK28">
            <v>4960</v>
          </cell>
        </row>
        <row r="32">
          <cell r="GB32">
            <v>12102</v>
          </cell>
          <cell r="GC32">
            <v>9006</v>
          </cell>
          <cell r="GD32">
            <v>12038</v>
          </cell>
          <cell r="GE32">
            <v>14980</v>
          </cell>
          <cell r="GF32">
            <v>6317</v>
          </cell>
          <cell r="GG32">
            <v>11745</v>
          </cell>
          <cell r="GH32">
            <v>13428</v>
          </cell>
          <cell r="GI32">
            <v>13963</v>
          </cell>
          <cell r="GJ32">
            <v>8670</v>
          </cell>
          <cell r="GK32">
            <v>7652</v>
          </cell>
        </row>
        <row r="33">
          <cell r="GB33">
            <v>11189</v>
          </cell>
          <cell r="GC33">
            <v>9223</v>
          </cell>
          <cell r="GD33">
            <v>12205</v>
          </cell>
          <cell r="GE33">
            <v>15467</v>
          </cell>
          <cell r="GF33">
            <v>7085</v>
          </cell>
          <cell r="GG33">
            <v>12475</v>
          </cell>
          <cell r="GH33">
            <v>13463</v>
          </cell>
          <cell r="GI33">
            <v>14013</v>
          </cell>
          <cell r="GJ33">
            <v>8821</v>
          </cell>
          <cell r="GK33">
            <v>7507</v>
          </cell>
        </row>
        <row r="37">
          <cell r="GB37">
            <v>118</v>
          </cell>
          <cell r="GC37">
            <v>98</v>
          </cell>
          <cell r="GD37">
            <v>126</v>
          </cell>
          <cell r="GE37">
            <v>180</v>
          </cell>
          <cell r="GF37">
            <v>52</v>
          </cell>
          <cell r="GG37">
            <v>136</v>
          </cell>
          <cell r="GH37">
            <v>169</v>
          </cell>
          <cell r="GI37">
            <v>206</v>
          </cell>
          <cell r="GJ37">
            <v>105</v>
          </cell>
          <cell r="GK37">
            <v>78</v>
          </cell>
        </row>
        <row r="38">
          <cell r="GB38">
            <v>110</v>
          </cell>
          <cell r="GC38">
            <v>94</v>
          </cell>
          <cell r="GD38">
            <v>143</v>
          </cell>
          <cell r="GE38">
            <v>172</v>
          </cell>
          <cell r="GF38">
            <v>59</v>
          </cell>
          <cell r="GG38">
            <v>115</v>
          </cell>
          <cell r="GH38">
            <v>172</v>
          </cell>
          <cell r="GI38">
            <v>170</v>
          </cell>
          <cell r="GJ38">
            <v>82</v>
          </cell>
          <cell r="GK38">
            <v>86</v>
          </cell>
        </row>
        <row r="41"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FU41">
            <v>435022</v>
          </cell>
          <cell r="FV41">
            <v>364546</v>
          </cell>
          <cell r="FW41">
            <v>399248</v>
          </cell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I41">
            <v>477493</v>
          </cell>
          <cell r="GJ41">
            <v>325123</v>
          </cell>
          <cell r="GK41">
            <v>346768</v>
          </cell>
        </row>
        <row r="70">
          <cell r="GK70">
            <v>48117</v>
          </cell>
        </row>
        <row r="71">
          <cell r="GK71">
            <v>114922</v>
          </cell>
        </row>
        <row r="73">
          <cell r="GK73">
            <v>2215</v>
          </cell>
        </row>
        <row r="74">
          <cell r="GK74">
            <v>5292</v>
          </cell>
        </row>
      </sheetData>
      <sheetData sheetId="49">
        <row r="4">
          <cell r="GK4">
            <v>46</v>
          </cell>
        </row>
        <row r="5">
          <cell r="GK5">
            <v>46</v>
          </cell>
        </row>
        <row r="19"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FU19">
            <v>106</v>
          </cell>
          <cell r="FV19">
            <v>210</v>
          </cell>
          <cell r="FW19">
            <v>174</v>
          </cell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I19">
            <v>82</v>
          </cell>
          <cell r="GJ19">
            <v>114</v>
          </cell>
          <cell r="GK19">
            <v>92</v>
          </cell>
        </row>
        <row r="22">
          <cell r="GK22">
            <v>2948</v>
          </cell>
        </row>
        <row r="23">
          <cell r="GK23">
            <v>2904</v>
          </cell>
        </row>
        <row r="27">
          <cell r="GK27">
            <v>131</v>
          </cell>
        </row>
        <row r="28">
          <cell r="GK28">
            <v>113</v>
          </cell>
        </row>
        <row r="41"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FU41">
            <v>6907</v>
          </cell>
          <cell r="FV41">
            <v>13530</v>
          </cell>
          <cell r="FW41">
            <v>10955</v>
          </cell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I41">
            <v>5084</v>
          </cell>
          <cell r="GJ41">
            <v>7065</v>
          </cell>
          <cell r="GK41">
            <v>5852</v>
          </cell>
        </row>
      </sheetData>
      <sheetData sheetId="50"/>
      <sheetData sheetId="51">
        <row r="19"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FU19">
            <v>62</v>
          </cell>
          <cell r="FV19">
            <v>56</v>
          </cell>
          <cell r="FW19">
            <v>68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</row>
        <row r="41"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FU41">
            <v>3705</v>
          </cell>
          <cell r="FV41">
            <v>3054</v>
          </cell>
          <cell r="FW41">
            <v>3755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</row>
      </sheetData>
      <sheetData sheetId="52">
        <row r="4">
          <cell r="GK4">
            <v>31</v>
          </cell>
        </row>
        <row r="5">
          <cell r="GK5">
            <v>31</v>
          </cell>
        </row>
        <row r="19"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FU19">
            <v>50</v>
          </cell>
          <cell r="FV19">
            <v>0</v>
          </cell>
          <cell r="FW19">
            <v>0</v>
          </cell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62</v>
          </cell>
        </row>
        <row r="22">
          <cell r="GK22">
            <v>2173</v>
          </cell>
        </row>
        <row r="23">
          <cell r="GK23">
            <v>2198</v>
          </cell>
        </row>
        <row r="27">
          <cell r="GK27">
            <v>50</v>
          </cell>
        </row>
        <row r="28">
          <cell r="GK28">
            <v>72</v>
          </cell>
        </row>
        <row r="41"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FU41">
            <v>3543</v>
          </cell>
          <cell r="FV41">
            <v>0</v>
          </cell>
          <cell r="FW41">
            <v>0</v>
          </cell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I41">
            <v>4334</v>
          </cell>
          <cell r="GJ41">
            <v>4206</v>
          </cell>
          <cell r="GK41">
            <v>4371</v>
          </cell>
        </row>
        <row r="47">
          <cell r="GK47">
            <v>1284</v>
          </cell>
        </row>
        <row r="52">
          <cell r="GK52">
            <v>178</v>
          </cell>
        </row>
        <row r="53">
          <cell r="GK53">
            <v>3330</v>
          </cell>
        </row>
      </sheetData>
      <sheetData sheetId="53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</row>
      </sheetData>
      <sheetData sheetId="54">
        <row r="19"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0</v>
          </cell>
          <cell r="FW19">
            <v>0</v>
          </cell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</row>
        <row r="41"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FU41">
            <v>84</v>
          </cell>
          <cell r="FV41">
            <v>0</v>
          </cell>
          <cell r="FW41">
            <v>0</v>
          </cell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</row>
      </sheetData>
      <sheetData sheetId="55"/>
      <sheetData sheetId="56"/>
      <sheetData sheetId="57"/>
      <sheetData sheetId="58"/>
      <sheetData sheetId="59"/>
      <sheetData sheetId="60">
        <row r="16">
          <cell r="GG16">
            <v>1</v>
          </cell>
        </row>
        <row r="32">
          <cell r="GC32">
            <v>212</v>
          </cell>
        </row>
        <row r="33">
          <cell r="GF33">
            <v>106</v>
          </cell>
          <cell r="GG33">
            <v>137</v>
          </cell>
        </row>
      </sheetData>
      <sheetData sheetId="61">
        <row r="4">
          <cell r="GK4">
            <v>1</v>
          </cell>
        </row>
        <row r="5">
          <cell r="GK5">
            <v>1</v>
          </cell>
        </row>
        <row r="15">
          <cell r="GH15">
            <v>1</v>
          </cell>
        </row>
        <row r="16">
          <cell r="GH16">
            <v>1</v>
          </cell>
        </row>
        <row r="22">
          <cell r="GK22">
            <v>146</v>
          </cell>
        </row>
        <row r="23">
          <cell r="GK23">
            <v>102</v>
          </cell>
        </row>
        <row r="32">
          <cell r="GH32">
            <v>147</v>
          </cell>
        </row>
        <row r="33">
          <cell r="GH33">
            <v>138</v>
          </cell>
        </row>
      </sheetData>
      <sheetData sheetId="62">
        <row r="4">
          <cell r="GK4">
            <v>31</v>
          </cell>
        </row>
        <row r="5">
          <cell r="GK5">
            <v>31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54</v>
          </cell>
          <cell r="FT12">
            <v>60</v>
          </cell>
          <cell r="FU12">
            <v>66</v>
          </cell>
          <cell r="FV12">
            <v>64</v>
          </cell>
          <cell r="FW12">
            <v>64</v>
          </cell>
          <cell r="GB12">
            <v>56</v>
          </cell>
          <cell r="GC12">
            <v>56</v>
          </cell>
          <cell r="GD12">
            <v>62</v>
          </cell>
          <cell r="GE12">
            <v>58</v>
          </cell>
          <cell r="GF12">
            <v>62</v>
          </cell>
          <cell r="GG12">
            <v>60</v>
          </cell>
          <cell r="GH12">
            <v>64</v>
          </cell>
          <cell r="GI12">
            <v>64</v>
          </cell>
          <cell r="GJ12">
            <v>62</v>
          </cell>
          <cell r="GK12">
            <v>62</v>
          </cell>
        </row>
        <row r="19">
          <cell r="FW19">
            <v>64</v>
          </cell>
          <cell r="GK19">
            <v>62</v>
          </cell>
        </row>
        <row r="47">
          <cell r="GK47">
            <v>1525011</v>
          </cell>
        </row>
        <row r="52">
          <cell r="GK52">
            <v>621213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1828609</v>
          </cell>
          <cell r="FT64">
            <v>2048234</v>
          </cell>
          <cell r="FU64">
            <v>2171674</v>
          </cell>
          <cell r="FV64">
            <v>2219557</v>
          </cell>
          <cell r="FW64">
            <v>2170491</v>
          </cell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  <cell r="GI64">
            <v>3116922</v>
          </cell>
          <cell r="GJ64">
            <v>2932075</v>
          </cell>
          <cell r="GK64">
            <v>2146224</v>
          </cell>
        </row>
      </sheetData>
      <sheetData sheetId="63"/>
      <sheetData sheetId="64">
        <row r="4">
          <cell r="GK4">
            <v>23</v>
          </cell>
        </row>
        <row r="5">
          <cell r="GK5">
            <v>23</v>
          </cell>
        </row>
        <row r="12"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FR12">
            <v>42</v>
          </cell>
          <cell r="FS12">
            <v>40</v>
          </cell>
          <cell r="FT12">
            <v>44</v>
          </cell>
          <cell r="FU12">
            <v>46</v>
          </cell>
          <cell r="FV12">
            <v>40</v>
          </cell>
          <cell r="FW12">
            <v>46</v>
          </cell>
          <cell r="GB12">
            <v>40</v>
          </cell>
          <cell r="GC12">
            <v>41</v>
          </cell>
          <cell r="GD12">
            <v>42</v>
          </cell>
          <cell r="GE12">
            <v>44</v>
          </cell>
          <cell r="GF12">
            <v>46</v>
          </cell>
          <cell r="GG12">
            <v>38</v>
          </cell>
          <cell r="GH12">
            <v>44</v>
          </cell>
          <cell r="GI12">
            <v>42</v>
          </cell>
          <cell r="GJ12">
            <v>42</v>
          </cell>
          <cell r="GK12">
            <v>46</v>
          </cell>
        </row>
        <row r="19">
          <cell r="FW19">
            <v>46</v>
          </cell>
          <cell r="GK19">
            <v>46</v>
          </cell>
        </row>
        <row r="47">
          <cell r="GK47">
            <v>694370</v>
          </cell>
        </row>
        <row r="52">
          <cell r="GK52">
            <v>441694</v>
          </cell>
        </row>
        <row r="64"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FU64">
            <v>1383084</v>
          </cell>
          <cell r="FV64">
            <v>1247787</v>
          </cell>
          <cell r="FW64">
            <v>1480638</v>
          </cell>
          <cell r="GB64">
            <v>1210246</v>
          </cell>
          <cell r="GC64">
            <v>1012439</v>
          </cell>
          <cell r="GD64">
            <v>1389060</v>
          </cell>
          <cell r="GE64">
            <v>1440461</v>
          </cell>
          <cell r="GF64">
            <v>1463134</v>
          </cell>
          <cell r="GG64">
            <v>1245418</v>
          </cell>
          <cell r="GH64">
            <v>1364245</v>
          </cell>
          <cell r="GI64">
            <v>1235802</v>
          </cell>
          <cell r="GJ64">
            <v>1288535</v>
          </cell>
          <cell r="GK64">
            <v>1136064</v>
          </cell>
        </row>
      </sheetData>
      <sheetData sheetId="65">
        <row r="4">
          <cell r="GK4">
            <v>18</v>
          </cell>
        </row>
        <row r="5">
          <cell r="GK5">
            <v>18</v>
          </cell>
        </row>
        <row r="12"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  <cell r="FS12">
            <v>40</v>
          </cell>
          <cell r="FT12">
            <v>40</v>
          </cell>
          <cell r="FU12">
            <v>48</v>
          </cell>
          <cell r="FV12">
            <v>36</v>
          </cell>
          <cell r="FW12">
            <v>46</v>
          </cell>
          <cell r="GB12">
            <v>37</v>
          </cell>
          <cell r="GC12">
            <v>28</v>
          </cell>
          <cell r="GD12">
            <v>30</v>
          </cell>
          <cell r="GE12">
            <v>34</v>
          </cell>
          <cell r="GF12">
            <v>34</v>
          </cell>
          <cell r="GG12">
            <v>32</v>
          </cell>
          <cell r="GH12">
            <v>36</v>
          </cell>
          <cell r="GI12">
            <v>30</v>
          </cell>
          <cell r="GJ12">
            <v>30</v>
          </cell>
          <cell r="GK12">
            <v>36</v>
          </cell>
        </row>
        <row r="19">
          <cell r="FW19">
            <v>46</v>
          </cell>
          <cell r="GK19">
            <v>36</v>
          </cell>
        </row>
        <row r="47">
          <cell r="GK47">
            <v>51002</v>
          </cell>
        </row>
        <row r="64"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FU64">
            <v>25461</v>
          </cell>
          <cell r="FV64">
            <v>21292</v>
          </cell>
          <cell r="FW64">
            <v>26214</v>
          </cell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  <cell r="GI64">
            <v>41198</v>
          </cell>
          <cell r="GJ64">
            <v>36884</v>
          </cell>
          <cell r="GK64">
            <v>51002</v>
          </cell>
        </row>
      </sheetData>
      <sheetData sheetId="66">
        <row r="4">
          <cell r="GK4">
            <v>44</v>
          </cell>
        </row>
        <row r="5">
          <cell r="GK5">
            <v>44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GB12">
            <v>85</v>
          </cell>
          <cell r="GC12">
            <v>74</v>
          </cell>
          <cell r="GD12">
            <v>94</v>
          </cell>
          <cell r="GE12">
            <v>82</v>
          </cell>
          <cell r="GF12">
            <v>90</v>
          </cell>
          <cell r="GG12">
            <v>82</v>
          </cell>
          <cell r="GH12">
            <v>88</v>
          </cell>
          <cell r="GI12">
            <v>88</v>
          </cell>
          <cell r="GJ12">
            <v>80</v>
          </cell>
          <cell r="GK12">
            <v>88</v>
          </cell>
        </row>
        <row r="19">
          <cell r="FW19">
            <v>0</v>
          </cell>
          <cell r="GK19">
            <v>88</v>
          </cell>
        </row>
        <row r="47">
          <cell r="GK47">
            <v>61112</v>
          </cell>
        </row>
        <row r="52">
          <cell r="GK52">
            <v>1894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  <cell r="GI64">
            <v>98804</v>
          </cell>
          <cell r="GJ64">
            <v>92990</v>
          </cell>
          <cell r="GK64">
            <v>63006</v>
          </cell>
        </row>
      </sheetData>
      <sheetData sheetId="67"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</row>
        <row r="19">
          <cell r="FW19">
            <v>0</v>
          </cell>
          <cell r="GK19">
            <v>0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</row>
      </sheetData>
      <sheetData sheetId="68">
        <row r="4">
          <cell r="GK4">
            <v>144</v>
          </cell>
        </row>
        <row r="5">
          <cell r="GK5">
            <v>144</v>
          </cell>
        </row>
        <row r="12"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FR12">
            <v>232</v>
          </cell>
          <cell r="FS12">
            <v>214</v>
          </cell>
          <cell r="FT12">
            <v>212</v>
          </cell>
          <cell r="FU12">
            <v>272</v>
          </cell>
          <cell r="FV12">
            <v>252</v>
          </cell>
          <cell r="FW12">
            <v>300</v>
          </cell>
          <cell r="GB12">
            <v>268</v>
          </cell>
          <cell r="GC12">
            <v>238</v>
          </cell>
          <cell r="GD12">
            <v>252</v>
          </cell>
          <cell r="GE12">
            <v>254</v>
          </cell>
          <cell r="GF12">
            <v>270</v>
          </cell>
          <cell r="GG12">
            <v>252</v>
          </cell>
          <cell r="GH12">
            <v>254</v>
          </cell>
          <cell r="GI12">
            <v>266</v>
          </cell>
          <cell r="GJ12">
            <v>244</v>
          </cell>
          <cell r="GK12">
            <v>288</v>
          </cell>
        </row>
        <row r="19">
          <cell r="FW19">
            <v>300</v>
          </cell>
          <cell r="GK19">
            <v>288</v>
          </cell>
        </row>
        <row r="47">
          <cell r="GK47">
            <v>9218632</v>
          </cell>
        </row>
        <row r="52">
          <cell r="GK52">
            <v>8712223</v>
          </cell>
        </row>
        <row r="64"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FU64">
            <v>17691991</v>
          </cell>
          <cell r="FV64">
            <v>16515766</v>
          </cell>
          <cell r="FW64">
            <v>18366037</v>
          </cell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  <cell r="GI64">
            <v>16702317</v>
          </cell>
          <cell r="GJ64">
            <v>15110168</v>
          </cell>
          <cell r="GK64">
            <v>17930855</v>
          </cell>
        </row>
      </sheetData>
      <sheetData sheetId="69">
        <row r="4">
          <cell r="GK4">
            <v>131</v>
          </cell>
        </row>
        <row r="5">
          <cell r="GK5">
            <v>131</v>
          </cell>
        </row>
        <row r="12"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FR12">
            <v>222</v>
          </cell>
          <cell r="FS12">
            <v>214</v>
          </cell>
          <cell r="FT12">
            <v>208</v>
          </cell>
          <cell r="FU12">
            <v>232</v>
          </cell>
          <cell r="FV12">
            <v>196</v>
          </cell>
          <cell r="FW12">
            <v>248</v>
          </cell>
          <cell r="GB12">
            <v>244</v>
          </cell>
          <cell r="GC12">
            <v>246</v>
          </cell>
          <cell r="GD12">
            <v>234</v>
          </cell>
          <cell r="GE12">
            <v>228</v>
          </cell>
          <cell r="GF12">
            <v>260</v>
          </cell>
          <cell r="GG12">
            <v>236</v>
          </cell>
          <cell r="GH12">
            <v>238</v>
          </cell>
          <cell r="GI12">
            <v>252</v>
          </cell>
          <cell r="GJ12">
            <v>216</v>
          </cell>
          <cell r="GK12">
            <v>262</v>
          </cell>
        </row>
        <row r="15">
          <cell r="GK15">
            <v>19</v>
          </cell>
        </row>
        <row r="16">
          <cell r="GK16">
            <v>19</v>
          </cell>
        </row>
        <row r="19">
          <cell r="FW19">
            <v>292</v>
          </cell>
          <cell r="GK19">
            <v>300</v>
          </cell>
        </row>
        <row r="47">
          <cell r="GK47">
            <v>8036301</v>
          </cell>
        </row>
        <row r="48">
          <cell r="GK48">
            <v>34</v>
          </cell>
        </row>
        <row r="52">
          <cell r="GK52">
            <v>6705190</v>
          </cell>
        </row>
        <row r="53">
          <cell r="GK53">
            <v>661110</v>
          </cell>
        </row>
        <row r="64"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FU64">
            <v>12973523</v>
          </cell>
          <cell r="FV64">
            <v>12368540</v>
          </cell>
          <cell r="FW64">
            <v>12818408</v>
          </cell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  <cell r="GI64">
            <v>14168001</v>
          </cell>
          <cell r="GJ64">
            <v>12417362</v>
          </cell>
          <cell r="GK64">
            <v>15402635</v>
          </cell>
        </row>
      </sheetData>
      <sheetData sheetId="70"/>
      <sheetData sheetId="71"/>
      <sheetData sheetId="72"/>
      <sheetData sheetId="73">
        <row r="4">
          <cell r="GK4">
            <v>210</v>
          </cell>
        </row>
        <row r="5">
          <cell r="GK5">
            <v>210</v>
          </cell>
        </row>
        <row r="12"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  <cell r="FS12">
            <v>540</v>
          </cell>
          <cell r="FT12">
            <v>536</v>
          </cell>
          <cell r="FU12">
            <v>590</v>
          </cell>
          <cell r="FV12">
            <v>516</v>
          </cell>
          <cell r="FW12">
            <v>568</v>
          </cell>
          <cell r="GB12">
            <v>398</v>
          </cell>
          <cell r="GC12">
            <v>350</v>
          </cell>
          <cell r="GD12">
            <v>378</v>
          </cell>
          <cell r="GE12">
            <v>376</v>
          </cell>
          <cell r="GF12">
            <v>426</v>
          </cell>
          <cell r="GG12">
            <v>368</v>
          </cell>
          <cell r="GH12">
            <v>410</v>
          </cell>
          <cell r="GI12">
            <v>414</v>
          </cell>
          <cell r="GJ12">
            <v>372</v>
          </cell>
          <cell r="GK12">
            <v>420</v>
          </cell>
        </row>
        <row r="19">
          <cell r="FW19">
            <v>568</v>
          </cell>
          <cell r="GK19">
            <v>420</v>
          </cell>
        </row>
      </sheetData>
      <sheetData sheetId="74">
        <row r="12"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  <cell r="FS12">
            <v>0</v>
          </cell>
          <cell r="FT12">
            <v>1</v>
          </cell>
          <cell r="FU12">
            <v>0</v>
          </cell>
          <cell r="FV12">
            <v>0</v>
          </cell>
          <cell r="FW12">
            <v>0</v>
          </cell>
          <cell r="GB12">
            <v>0</v>
          </cell>
          <cell r="GC12">
            <v>3</v>
          </cell>
          <cell r="GD12">
            <v>0</v>
          </cell>
          <cell r="GE12">
            <v>0</v>
          </cell>
          <cell r="GF12">
            <v>6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</row>
        <row r="19">
          <cell r="FW19">
            <v>0</v>
          </cell>
          <cell r="GK19">
            <v>0</v>
          </cell>
        </row>
        <row r="64"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FU64">
            <v>0</v>
          </cell>
          <cell r="FV64">
            <v>0</v>
          </cell>
          <cell r="FW64">
            <v>0</v>
          </cell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</row>
      </sheetData>
      <sheetData sheetId="75">
        <row r="4">
          <cell r="GK4">
            <v>23</v>
          </cell>
        </row>
        <row r="5">
          <cell r="GK5">
            <v>23</v>
          </cell>
        </row>
        <row r="12"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  <cell r="FS12">
            <v>44</v>
          </cell>
          <cell r="FT12">
            <v>38</v>
          </cell>
          <cell r="FU12">
            <v>46</v>
          </cell>
          <cell r="FV12">
            <v>42</v>
          </cell>
          <cell r="FW12">
            <v>44</v>
          </cell>
          <cell r="GB12">
            <v>0</v>
          </cell>
          <cell r="GC12">
            <v>38</v>
          </cell>
          <cell r="GD12">
            <v>42</v>
          </cell>
          <cell r="GE12">
            <v>38</v>
          </cell>
          <cell r="GF12">
            <v>42</v>
          </cell>
          <cell r="GG12">
            <v>42</v>
          </cell>
          <cell r="GH12">
            <v>42</v>
          </cell>
          <cell r="GI12">
            <v>46</v>
          </cell>
          <cell r="GJ12">
            <v>34</v>
          </cell>
          <cell r="GK12">
            <v>46</v>
          </cell>
        </row>
        <row r="19">
          <cell r="FW19">
            <v>44</v>
          </cell>
          <cell r="GK19">
            <v>46</v>
          </cell>
        </row>
        <row r="47">
          <cell r="GK47">
            <v>6959</v>
          </cell>
        </row>
        <row r="52">
          <cell r="GK52">
            <v>4610</v>
          </cell>
        </row>
        <row r="64"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FU64">
            <v>235290</v>
          </cell>
          <cell r="FV64">
            <v>192711</v>
          </cell>
          <cell r="FW64">
            <v>227743</v>
          </cell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  <cell r="GI64">
            <v>183141</v>
          </cell>
          <cell r="GJ64">
            <v>114655</v>
          </cell>
          <cell r="GK64">
            <v>11569</v>
          </cell>
        </row>
      </sheetData>
      <sheetData sheetId="76">
        <row r="4">
          <cell r="GK4">
            <v>1</v>
          </cell>
        </row>
        <row r="8">
          <cell r="GK8">
            <v>1</v>
          </cell>
        </row>
        <row r="9">
          <cell r="GK9">
            <v>1</v>
          </cell>
        </row>
        <row r="12"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  <cell r="FS12">
            <v>83</v>
          </cell>
          <cell r="FT12">
            <v>91</v>
          </cell>
          <cell r="FU12">
            <v>99</v>
          </cell>
          <cell r="FV12">
            <v>76</v>
          </cell>
          <cell r="FW12">
            <v>94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2</v>
          </cell>
          <cell r="GH12">
            <v>0</v>
          </cell>
          <cell r="GI12">
            <v>0</v>
          </cell>
          <cell r="GJ12">
            <v>0</v>
          </cell>
          <cell r="GK12">
            <v>3</v>
          </cell>
        </row>
        <row r="19">
          <cell r="FW19">
            <v>94</v>
          </cell>
          <cell r="GK19">
            <v>3</v>
          </cell>
        </row>
        <row r="52">
          <cell r="GK52">
            <v>3500</v>
          </cell>
        </row>
        <row r="64"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FU64">
            <v>120693</v>
          </cell>
          <cell r="FV64">
            <v>94388</v>
          </cell>
          <cell r="FW64">
            <v>132947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  <cell r="GI64">
            <v>0</v>
          </cell>
          <cell r="GJ64">
            <v>0</v>
          </cell>
          <cell r="GK64">
            <v>3500</v>
          </cell>
        </row>
      </sheetData>
      <sheetData sheetId="77">
        <row r="4">
          <cell r="GK4">
            <v>24</v>
          </cell>
        </row>
        <row r="5">
          <cell r="GK5">
            <v>24</v>
          </cell>
        </row>
      </sheetData>
      <sheetData sheetId="78">
        <row r="4">
          <cell r="GK4">
            <v>797</v>
          </cell>
        </row>
        <row r="5">
          <cell r="GK5">
            <v>797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137103</v>
          </cell>
          <cell r="C21">
            <v>129608</v>
          </cell>
          <cell r="L21">
            <v>1351127</v>
          </cell>
          <cell r="M21">
            <v>1385714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268837</v>
          </cell>
          <cell r="I21">
            <v>2415973</v>
          </cell>
          <cell r="N21">
            <v>2684810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135822</v>
          </cell>
          <cell r="C22">
            <v>139060</v>
          </cell>
          <cell r="L22">
            <v>1301396</v>
          </cell>
          <cell r="M22">
            <v>1323615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285115</v>
          </cell>
          <cell r="I22">
            <v>2426258</v>
          </cell>
          <cell r="N22">
            <v>2711373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182334</v>
          </cell>
          <cell r="C23">
            <v>184603</v>
          </cell>
          <cell r="L23">
            <v>1758933</v>
          </cell>
          <cell r="M23">
            <v>1778471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367828</v>
          </cell>
          <cell r="I23">
            <v>3043039</v>
          </cell>
          <cell r="N23">
            <v>3410867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37" sqref="K37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25">
        <v>43739</v>
      </c>
      <c r="B2" s="10"/>
      <c r="C2" s="10"/>
      <c r="D2" s="459" t="s">
        <v>212</v>
      </c>
      <c r="E2" s="459" t="s">
        <v>198</v>
      </c>
      <c r="F2" s="5"/>
      <c r="G2" s="5"/>
      <c r="H2" s="5"/>
      <c r="I2" s="5"/>
      <c r="J2" s="5"/>
    </row>
    <row r="3" spans="1:14" ht="13.5" thickBot="1" x14ac:dyDescent="0.25">
      <c r="A3" s="331"/>
      <c r="B3" s="5" t="s">
        <v>0</v>
      </c>
      <c r="C3" s="5" t="s">
        <v>1</v>
      </c>
      <c r="D3" s="460"/>
      <c r="E3" s="461"/>
      <c r="F3" s="5" t="s">
        <v>2</v>
      </c>
      <c r="G3" s="5" t="s">
        <v>213</v>
      </c>
      <c r="H3" s="5" t="s">
        <v>199</v>
      </c>
      <c r="I3" s="5" t="s">
        <v>2</v>
      </c>
    </row>
    <row r="4" spans="1:14" ht="12.75" customHeight="1" x14ac:dyDescent="0.25">
      <c r="A4" s="49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2" t="s">
        <v>4</v>
      </c>
      <c r="B5" s="254">
        <f>'Major Airline Stats'!K4</f>
        <v>1332025</v>
      </c>
      <c r="C5" s="10">
        <f>'Major Airline Stats'!K5</f>
        <v>1350852</v>
      </c>
      <c r="D5" s="2">
        <f>'Major Airline Stats'!K6</f>
        <v>2682877</v>
      </c>
      <c r="E5" s="2">
        <f>'[1]Monthly Summary'!D5</f>
        <v>2486140</v>
      </c>
      <c r="F5" s="3">
        <f>(D5-E5)/E5</f>
        <v>7.913351621388981E-2</v>
      </c>
      <c r="G5" s="2">
        <f>+D5+'[2]Monthly Summary'!G5</f>
        <v>25995096</v>
      </c>
      <c r="H5" s="2">
        <f>'[1]Monthly Summary'!G5</f>
        <v>24639570</v>
      </c>
      <c r="I5" s="67">
        <f>(G5-H5)/H5</f>
        <v>5.5014190588553294E-2</v>
      </c>
      <c r="J5" s="2"/>
    </row>
    <row r="6" spans="1:14" x14ac:dyDescent="0.2">
      <c r="A6" s="52" t="s">
        <v>5</v>
      </c>
      <c r="B6" s="254">
        <f>'Regional Major'!M5</f>
        <v>303245</v>
      </c>
      <c r="C6" s="254">
        <f>'Regional Major'!M6</f>
        <v>298048</v>
      </c>
      <c r="D6" s="2">
        <f>B6+C6</f>
        <v>601293</v>
      </c>
      <c r="E6" s="2">
        <f>'[1]Monthly Summary'!D6</f>
        <v>633178</v>
      </c>
      <c r="F6" s="3">
        <f>(D6-E6)/E6</f>
        <v>-5.0357087580427617E-2</v>
      </c>
      <c r="G6" s="2">
        <f>+D6+'[2]Monthly Summary'!G6</f>
        <v>6346964</v>
      </c>
      <c r="H6" s="2">
        <f>'[1]Monthly Summary'!G6</f>
        <v>6514655</v>
      </c>
      <c r="I6" s="67">
        <f>(G6-H6)/H6</f>
        <v>-2.5740580276315476E-2</v>
      </c>
      <c r="K6" s="2"/>
    </row>
    <row r="7" spans="1:14" x14ac:dyDescent="0.2">
      <c r="A7" s="52" t="s">
        <v>6</v>
      </c>
      <c r="B7" s="2">
        <f>Charter!G5</f>
        <v>146</v>
      </c>
      <c r="C7" s="254">
        <f>Charter!G6</f>
        <v>102</v>
      </c>
      <c r="D7" s="2">
        <f>B7+C7</f>
        <v>248</v>
      </c>
      <c r="E7" s="2">
        <f>'[1]Monthly Summary'!D7</f>
        <v>336</v>
      </c>
      <c r="F7" s="3">
        <f>(D7-E7)/E7</f>
        <v>-0.26190476190476192</v>
      </c>
      <c r="G7" s="2">
        <f>+D7+'[2]Monthly Summary'!G7</f>
        <v>5443</v>
      </c>
      <c r="H7" s="2">
        <f>'[1]Monthly Summary'!G7</f>
        <v>4091</v>
      </c>
      <c r="I7" s="67">
        <f>(G7-H7)/H7</f>
        <v>0.33048154485455877</v>
      </c>
      <c r="K7" s="2"/>
    </row>
    <row r="8" spans="1:14" x14ac:dyDescent="0.2">
      <c r="A8" s="54" t="s">
        <v>7</v>
      </c>
      <c r="B8" s="121">
        <f>SUM(B5:B7)</f>
        <v>1635416</v>
      </c>
      <c r="C8" s="121">
        <f>SUM(C5:C7)</f>
        <v>1649002</v>
      </c>
      <c r="D8" s="121">
        <f>SUM(D5:D7)</f>
        <v>3284418</v>
      </c>
      <c r="E8" s="121">
        <f>SUM(E5:E7)</f>
        <v>3119654</v>
      </c>
      <c r="F8" s="73">
        <f>(D8-E8)/E8</f>
        <v>5.2814831388352683E-2</v>
      </c>
      <c r="G8" s="121">
        <f>SUM(G5:G7)</f>
        <v>32347503</v>
      </c>
      <c r="H8" s="121">
        <f>SUM(H5:H7)</f>
        <v>31158316</v>
      </c>
      <c r="I8" s="72">
        <f>(G8-H8)/H8</f>
        <v>3.8165958648086119E-2</v>
      </c>
    </row>
    <row r="9" spans="1:14" x14ac:dyDescent="0.2">
      <c r="A9" s="52"/>
      <c r="B9" s="97"/>
      <c r="C9" s="97"/>
      <c r="D9" s="97"/>
      <c r="E9" s="97"/>
      <c r="F9" s="4"/>
      <c r="G9" s="97"/>
      <c r="H9" s="97"/>
      <c r="I9" s="67"/>
    </row>
    <row r="10" spans="1:14" x14ac:dyDescent="0.2">
      <c r="A10" s="52" t="s">
        <v>8</v>
      </c>
      <c r="B10" s="255">
        <f>'Major Airline Stats'!K9+'Regional Major'!M10</f>
        <v>50029</v>
      </c>
      <c r="C10" s="255">
        <f>'Major Airline Stats'!K10+'Regional Major'!M11</f>
        <v>50275</v>
      </c>
      <c r="D10" s="98">
        <f>SUM(B10:C10)</f>
        <v>100304</v>
      </c>
      <c r="E10" s="98">
        <f>'[1]Monthly Summary'!D10</f>
        <v>106289</v>
      </c>
      <c r="F10" s="74">
        <f>(D10-E10)/E10</f>
        <v>-5.6308743143693135E-2</v>
      </c>
      <c r="G10" s="2">
        <f>+D10+'[2]Monthly Summary'!G10</f>
        <v>1019850</v>
      </c>
      <c r="H10" s="98">
        <f>'[1]Monthly Summary'!G10</f>
        <v>1065421</v>
      </c>
      <c r="I10" s="77">
        <f>(G10-H10)/H10</f>
        <v>-4.2772763067369615E-2</v>
      </c>
      <c r="J10" s="193"/>
    </row>
    <row r="11" spans="1:14" ht="15.75" thickBot="1" x14ac:dyDescent="0.3">
      <c r="A11" s="53" t="s">
        <v>13</v>
      </c>
      <c r="B11" s="234">
        <f>B10+B8</f>
        <v>1685445</v>
      </c>
      <c r="C11" s="234">
        <f>C10+C8</f>
        <v>1699277</v>
      </c>
      <c r="D11" s="234">
        <f>D10+D8</f>
        <v>3384722</v>
      </c>
      <c r="E11" s="234">
        <f>E10+E8</f>
        <v>3225943</v>
      </c>
      <c r="F11" s="75">
        <f>(D11-E11)/E11</f>
        <v>4.9219406542521056E-2</v>
      </c>
      <c r="G11" s="234">
        <f>G8+G10</f>
        <v>33367353</v>
      </c>
      <c r="H11" s="234">
        <f>H8+H10</f>
        <v>32223737</v>
      </c>
      <c r="I11" s="78">
        <f>(G11-H11)/H11</f>
        <v>3.5489862643801988E-2</v>
      </c>
      <c r="L11" s="97"/>
    </row>
    <row r="12" spans="1:14" ht="15" x14ac:dyDescent="0.25">
      <c r="A12" s="8"/>
      <c r="B12" s="101"/>
      <c r="C12" s="101"/>
      <c r="D12" s="101"/>
      <c r="E12" s="101"/>
      <c r="F12" s="236"/>
      <c r="G12" s="101"/>
      <c r="H12" s="101"/>
      <c r="I12" s="237"/>
      <c r="K12" s="97"/>
    </row>
    <row r="13" spans="1:14" ht="16.5" customHeight="1" x14ac:dyDescent="0.2">
      <c r="B13" s="10"/>
      <c r="C13" s="10"/>
      <c r="D13" s="459" t="s">
        <v>212</v>
      </c>
      <c r="E13" s="459" t="s">
        <v>198</v>
      </c>
      <c r="F13" s="5"/>
      <c r="G13" s="5"/>
      <c r="H13" s="5"/>
      <c r="I13" s="5"/>
    </row>
    <row r="14" spans="1:14" ht="13.5" thickBot="1" x14ac:dyDescent="0.25">
      <c r="A14" s="9"/>
      <c r="B14" s="5" t="s">
        <v>196</v>
      </c>
      <c r="C14" s="5" t="s">
        <v>197</v>
      </c>
      <c r="D14" s="460"/>
      <c r="E14" s="461"/>
      <c r="F14" s="5" t="s">
        <v>2</v>
      </c>
      <c r="G14" s="5" t="s">
        <v>213</v>
      </c>
      <c r="H14" s="5" t="s">
        <v>199</v>
      </c>
      <c r="I14" s="5" t="s">
        <v>2</v>
      </c>
    </row>
    <row r="15" spans="1:14" ht="15" x14ac:dyDescent="0.25">
      <c r="A15" s="46" t="s">
        <v>9</v>
      </c>
      <c r="B15" s="30"/>
      <c r="C15" s="30"/>
      <c r="D15" s="30"/>
      <c r="E15" s="30"/>
      <c r="F15" s="31"/>
      <c r="G15" s="30"/>
      <c r="H15" s="30"/>
      <c r="I15" s="224"/>
    </row>
    <row r="16" spans="1:14" x14ac:dyDescent="0.2">
      <c r="A16" s="52" t="s">
        <v>4</v>
      </c>
      <c r="B16" s="263">
        <f>'Major Airline Stats'!K15+'Major Airline Stats'!K19</f>
        <v>10076</v>
      </c>
      <c r="C16" s="263">
        <f>'Major Airline Stats'!K16+'Major Airline Stats'!K20</f>
        <v>10138</v>
      </c>
      <c r="D16" s="32">
        <f t="shared" ref="D16:D21" si="0">SUM(B16:C16)</f>
        <v>20214</v>
      </c>
      <c r="E16" s="2">
        <f>'[1]Monthly Summary'!D16</f>
        <v>19089</v>
      </c>
      <c r="F16" s="76">
        <f t="shared" ref="F16:F22" si="1">(D16-E16)/E16</f>
        <v>5.8934464875058934E-2</v>
      </c>
      <c r="G16" s="2">
        <f>+D16+'[2]Monthly Summary'!G16</f>
        <v>193311</v>
      </c>
      <c r="H16" s="2">
        <f>'[1]Monthly Summary'!G16</f>
        <v>187474</v>
      </c>
      <c r="I16" s="225">
        <f t="shared" ref="I16:I22" si="2">(G16-H16)/H16</f>
        <v>3.1134984051121757E-2</v>
      </c>
      <c r="N16" s="97"/>
    </row>
    <row r="17" spans="1:12" x14ac:dyDescent="0.2">
      <c r="A17" s="52" t="s">
        <v>5</v>
      </c>
      <c r="B17" s="32">
        <f>'Regional Major'!M15+'Regional Major'!M18</f>
        <v>5884</v>
      </c>
      <c r="C17" s="32">
        <f>'Regional Major'!M16+'Regional Major'!M19</f>
        <v>5883</v>
      </c>
      <c r="D17" s="32">
        <f>SUM(B17:C17)</f>
        <v>11767</v>
      </c>
      <c r="E17" s="2">
        <f>'[1]Monthly Summary'!D17</f>
        <v>12243</v>
      </c>
      <c r="F17" s="76">
        <f t="shared" si="1"/>
        <v>-3.8879359634076613E-2</v>
      </c>
      <c r="G17" s="2">
        <f>+D17+'[2]Monthly Summary'!G17</f>
        <v>119720</v>
      </c>
      <c r="H17" s="2">
        <f>'[1]Monthly Summary'!G17</f>
        <v>125460</v>
      </c>
      <c r="I17" s="225">
        <f t="shared" si="2"/>
        <v>-4.5751633986928102E-2</v>
      </c>
    </row>
    <row r="18" spans="1:12" x14ac:dyDescent="0.2">
      <c r="A18" s="52" t="s">
        <v>10</v>
      </c>
      <c r="B18" s="32">
        <f>Charter!G10</f>
        <v>1</v>
      </c>
      <c r="C18" s="32">
        <f>Charter!G11</f>
        <v>1</v>
      </c>
      <c r="D18" s="32">
        <f t="shared" si="0"/>
        <v>2</v>
      </c>
      <c r="E18" s="2">
        <f>'[1]Monthly Summary'!D18</f>
        <v>2</v>
      </c>
      <c r="F18" s="76">
        <f t="shared" si="1"/>
        <v>0</v>
      </c>
      <c r="G18" s="2">
        <f>+D18+'[2]Monthly Summary'!G18</f>
        <v>61</v>
      </c>
      <c r="H18" s="2">
        <f>'[1]Monthly Summary'!G18</f>
        <v>32</v>
      </c>
      <c r="I18" s="225">
        <f t="shared" si="2"/>
        <v>0.90625</v>
      </c>
    </row>
    <row r="19" spans="1:12" x14ac:dyDescent="0.2">
      <c r="A19" s="52" t="s">
        <v>11</v>
      </c>
      <c r="B19" s="32">
        <f>Cargo!O4</f>
        <v>644</v>
      </c>
      <c r="C19" s="32">
        <f>Cargo!O5</f>
        <v>643</v>
      </c>
      <c r="D19" s="32">
        <f t="shared" si="0"/>
        <v>1287</v>
      </c>
      <c r="E19" s="2">
        <f>'[1]Monthly Summary'!D19</f>
        <v>1452</v>
      </c>
      <c r="F19" s="76">
        <f t="shared" si="1"/>
        <v>-0.11363636363636363</v>
      </c>
      <c r="G19" s="2">
        <f>+D19+'[2]Monthly Summary'!G19</f>
        <v>11838</v>
      </c>
      <c r="H19" s="2">
        <f>'[1]Monthly Summary'!G19</f>
        <v>12784</v>
      </c>
      <c r="I19" s="225">
        <f t="shared" si="2"/>
        <v>-7.3998748435544437E-2</v>
      </c>
    </row>
    <row r="20" spans="1:12" x14ac:dyDescent="0.2">
      <c r="A20" s="52" t="s">
        <v>153</v>
      </c>
      <c r="B20" s="32">
        <f>'[3]General Avation'!$GK$4</f>
        <v>797</v>
      </c>
      <c r="C20" s="32">
        <f>'[3]General Avation'!$GK$5</f>
        <v>797</v>
      </c>
      <c r="D20" s="32">
        <f t="shared" si="0"/>
        <v>1594</v>
      </c>
      <c r="E20" s="2">
        <f>'[1]Monthly Summary'!D20</f>
        <v>1874</v>
      </c>
      <c r="F20" s="76">
        <f t="shared" si="1"/>
        <v>-0.14941302027748132</v>
      </c>
      <c r="G20" s="2">
        <f>+D20+'[2]Monthly Summary'!G20</f>
        <v>15806</v>
      </c>
      <c r="H20" s="2">
        <f>'[1]Monthly Summary'!G20</f>
        <v>17320</v>
      </c>
      <c r="I20" s="225">
        <f t="shared" si="2"/>
        <v>-8.7413394919168594E-2</v>
      </c>
      <c r="L20" s="97"/>
    </row>
    <row r="21" spans="1:12" ht="12.75" customHeight="1" x14ac:dyDescent="0.2">
      <c r="A21" s="52" t="s">
        <v>12</v>
      </c>
      <c r="B21" s="11">
        <f>'[3]Military '!$GK$4</f>
        <v>24</v>
      </c>
      <c r="C21" s="11">
        <f>'[3]Military '!$GK$5</f>
        <v>24</v>
      </c>
      <c r="D21" s="11">
        <f t="shared" si="0"/>
        <v>48</v>
      </c>
      <c r="E21" s="98">
        <f>'[1]Monthly Summary'!D21</f>
        <v>96</v>
      </c>
      <c r="F21" s="223">
        <f t="shared" si="1"/>
        <v>-0.5</v>
      </c>
      <c r="G21" s="2">
        <f>+D21+'[2]Monthly Summary'!G21</f>
        <v>829</v>
      </c>
      <c r="H21" s="98">
        <f>'[1]Monthly Summary'!G21</f>
        <v>985</v>
      </c>
      <c r="I21" s="226">
        <f t="shared" si="2"/>
        <v>-0.15837563451776648</v>
      </c>
    </row>
    <row r="22" spans="1:12" ht="15.75" thickBot="1" x14ac:dyDescent="0.3">
      <c r="A22" s="53" t="s">
        <v>28</v>
      </c>
      <c r="B22" s="235">
        <f>SUM(B16:B21)</f>
        <v>17426</v>
      </c>
      <c r="C22" s="235">
        <f>SUM(C16:C21)</f>
        <v>17486</v>
      </c>
      <c r="D22" s="235">
        <f>SUM(D16:D21)</f>
        <v>34912</v>
      </c>
      <c r="E22" s="235">
        <f>SUM(E16:E21)</f>
        <v>34756</v>
      </c>
      <c r="F22" s="232">
        <f t="shared" si="1"/>
        <v>4.4884336517435836E-3</v>
      </c>
      <c r="G22" s="235">
        <f>SUM(G16:G21)</f>
        <v>341565</v>
      </c>
      <c r="H22" s="235">
        <f>SUM(H16:H21)</f>
        <v>344055</v>
      </c>
      <c r="I22" s="233">
        <f t="shared" si="2"/>
        <v>-7.2372149801630554E-3</v>
      </c>
    </row>
    <row r="23" spans="1:12" x14ac:dyDescent="0.2">
      <c r="B23" s="97"/>
      <c r="C23" s="97"/>
      <c r="L23" s="2"/>
    </row>
    <row r="24" spans="1:12" ht="12.75" customHeight="1" x14ac:dyDescent="0.2">
      <c r="B24" s="10"/>
      <c r="C24" s="10"/>
      <c r="D24" s="459" t="s">
        <v>212</v>
      </c>
      <c r="E24" s="459" t="s">
        <v>198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60"/>
      <c r="E25" s="461"/>
      <c r="F25" s="5" t="s">
        <v>2</v>
      </c>
      <c r="G25" s="5" t="s">
        <v>213</v>
      </c>
      <c r="H25" s="5" t="s">
        <v>199</v>
      </c>
      <c r="I25" s="5" t="s">
        <v>2</v>
      </c>
    </row>
    <row r="26" spans="1:12" ht="15" x14ac:dyDescent="0.25">
      <c r="A26" s="50" t="s">
        <v>129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7" t="s">
        <v>15</v>
      </c>
      <c r="B27" s="14">
        <f>(Cargo!O16+'Major Airline Stats'!K28+'Regional Major'!M25)*0.00045359237</f>
        <v>10416.405407625909</v>
      </c>
      <c r="C27" s="14">
        <f>(Cargo!O21+'Major Airline Stats'!K33+'Regional Major'!M30)*0.00045359237</f>
        <v>8434.1831639226693</v>
      </c>
      <c r="D27" s="14">
        <f>(SUM(B27:C27)+('Cargo Summary'!E17*0.00045359237))</f>
        <v>18850.588571548578</v>
      </c>
      <c r="E27" s="2">
        <f>'[1]Monthly Summary'!D27</f>
        <v>19495.15013320413</v>
      </c>
      <c r="F27" s="79">
        <f>(D27-E27)/E27</f>
        <v>-3.3062662110908012E-2</v>
      </c>
      <c r="G27" s="2">
        <f>+D27+'[2]Monthly Summary'!G27</f>
        <v>168501.21799461488</v>
      </c>
      <c r="H27" s="2">
        <f>'[1]Monthly Summary'!G27</f>
        <v>177798.52393571578</v>
      </c>
      <c r="I27" s="81">
        <f>(G27-H27)/H27</f>
        <v>-5.2291243680191647E-2</v>
      </c>
    </row>
    <row r="28" spans="1:12" x14ac:dyDescent="0.2">
      <c r="A28" s="47" t="s">
        <v>16</v>
      </c>
      <c r="B28" s="14">
        <f>(Cargo!O17+'Major Airline Stats'!K29+'Regional Major'!M26)*0.00045359237</f>
        <v>1003.0455906986899</v>
      </c>
      <c r="C28" s="14">
        <f>(Cargo!O22+'Major Airline Stats'!K34+'Regional Major'!M31)*0.00045359237</f>
        <v>1373.11164731741</v>
      </c>
      <c r="D28" s="14">
        <f>SUM(B28:C28)</f>
        <v>2376.1572380160997</v>
      </c>
      <c r="E28" s="2">
        <f>'[1]Monthly Summary'!D28</f>
        <v>2248.9386395945703</v>
      </c>
      <c r="F28" s="79">
        <f>(D28-E28)/E28</f>
        <v>5.6568283447904037E-2</v>
      </c>
      <c r="G28" s="2">
        <f>+D28+'[2]Monthly Summary'!G28</f>
        <v>20771.336802122831</v>
      </c>
      <c r="H28" s="2">
        <f>'[1]Monthly Summary'!G28</f>
        <v>20934.814213825048</v>
      </c>
      <c r="I28" s="81">
        <f>(G28-H28)/H28</f>
        <v>-7.808878074220451E-3</v>
      </c>
    </row>
    <row r="29" spans="1:12" ht="15.75" thickBot="1" x14ac:dyDescent="0.3">
      <c r="A29" s="48" t="s">
        <v>62</v>
      </c>
      <c r="B29" s="39">
        <f>SUM(B27:B28)</f>
        <v>11419.450998324599</v>
      </c>
      <c r="C29" s="39">
        <f>SUM(C27:C28)</f>
        <v>9807.2948112400791</v>
      </c>
      <c r="D29" s="39">
        <f>SUM(D27:D28)</f>
        <v>21226.74580956468</v>
      </c>
      <c r="E29" s="39">
        <f>SUM(E27:E28)</f>
        <v>21744.088772798699</v>
      </c>
      <c r="F29" s="80">
        <f>(D29-E29)/E29</f>
        <v>-2.3792349665220383E-2</v>
      </c>
      <c r="G29" s="39">
        <f>SUM(G27:G28)</f>
        <v>189272.55479673771</v>
      </c>
      <c r="H29" s="39">
        <f>SUM(H27:H28)</f>
        <v>198733.33814954082</v>
      </c>
      <c r="I29" s="82">
        <f>(G29-H29)/H29</f>
        <v>-4.7605416589360391E-2</v>
      </c>
    </row>
    <row r="30" spans="1:12" ht="4.5" customHeight="1" thickBot="1" x14ac:dyDescent="0.3">
      <c r="A30" s="44"/>
      <c r="B30" s="332"/>
      <c r="C30" s="332"/>
      <c r="D30" s="332"/>
      <c r="E30" s="332"/>
      <c r="F30" s="236"/>
      <c r="G30" s="332"/>
      <c r="H30" s="332"/>
      <c r="I30" s="236"/>
    </row>
    <row r="31" spans="1:12" ht="13.5" thickBot="1" x14ac:dyDescent="0.25">
      <c r="B31" s="458" t="s">
        <v>149</v>
      </c>
      <c r="C31" s="457"/>
      <c r="D31" s="458" t="s">
        <v>156</v>
      </c>
      <c r="E31" s="457"/>
      <c r="F31" s="354"/>
      <c r="G31" s="355"/>
    </row>
    <row r="32" spans="1:12" x14ac:dyDescent="0.2">
      <c r="A32" s="336" t="s">
        <v>150</v>
      </c>
      <c r="B32" s="337">
        <f>C8-B33</f>
        <v>1036548</v>
      </c>
      <c r="C32" s="338">
        <f>B32/C8</f>
        <v>0.62859111147227231</v>
      </c>
      <c r="D32" s="339">
        <f>+B32+'[2]Monthly Summary'!$D$32</f>
        <v>10177820</v>
      </c>
      <c r="E32" s="340">
        <f>+D32/D34</f>
        <v>0.6302418653210371</v>
      </c>
      <c r="G32" s="2"/>
      <c r="I32" s="353"/>
    </row>
    <row r="33" spans="1:14" ht="13.5" thickBot="1" x14ac:dyDescent="0.25">
      <c r="A33" s="341" t="s">
        <v>151</v>
      </c>
      <c r="B33" s="342">
        <f>'Major Airline Stats'!K51+'Regional Major'!M45</f>
        <v>612454</v>
      </c>
      <c r="C33" s="343">
        <f>+B33/C8</f>
        <v>0.37140888852772769</v>
      </c>
      <c r="D33" s="344">
        <f>+B33+'[2]Monthly Summary'!$D$33</f>
        <v>5971250</v>
      </c>
      <c r="E33" s="345">
        <f>+D33/D34</f>
        <v>0.36975813467896296</v>
      </c>
      <c r="I33" s="353"/>
    </row>
    <row r="34" spans="1:14" ht="13.5" thickBot="1" x14ac:dyDescent="0.25">
      <c r="B34" s="267"/>
      <c r="D34" s="346">
        <f>SUM(D32:D33)</f>
        <v>16149070</v>
      </c>
    </row>
    <row r="35" spans="1:14" ht="13.5" thickBot="1" x14ac:dyDescent="0.25">
      <c r="B35" s="456" t="s">
        <v>226</v>
      </c>
      <c r="C35" s="457"/>
      <c r="D35" s="458" t="s">
        <v>214</v>
      </c>
      <c r="E35" s="457"/>
    </row>
    <row r="36" spans="1:14" x14ac:dyDescent="0.2">
      <c r="A36" s="336" t="s">
        <v>150</v>
      </c>
      <c r="B36" s="337">
        <f>'[1]Monthly Summary'!$B$32</f>
        <v>986307</v>
      </c>
      <c r="C36" s="338">
        <f>+B36/B38</f>
        <v>0.63166864241839693</v>
      </c>
      <c r="D36" s="339">
        <f>'[1]Monthly Summary'!$D$32</f>
        <v>9726972</v>
      </c>
      <c r="E36" s="340">
        <f>+D36/D38</f>
        <v>0.62536735696440526</v>
      </c>
    </row>
    <row r="37" spans="1:14" ht="13.5" thickBot="1" x14ac:dyDescent="0.25">
      <c r="A37" s="341" t="s">
        <v>151</v>
      </c>
      <c r="B37" s="342">
        <f>'[1]Monthly Summary'!$B$33</f>
        <v>575124</v>
      </c>
      <c r="C37" s="345">
        <f>+B37/B38</f>
        <v>0.36833135758160301</v>
      </c>
      <c r="D37" s="344">
        <f>'[1]Monthly Summary'!$D$33</f>
        <v>5827041</v>
      </c>
      <c r="E37" s="345">
        <f>+D37/D38</f>
        <v>0.37463264303559474</v>
      </c>
      <c r="M37" s="1"/>
    </row>
    <row r="38" spans="1:14" x14ac:dyDescent="0.2">
      <c r="B38" s="358">
        <f>+SUM(B36:B37)</f>
        <v>1561431</v>
      </c>
      <c r="D38" s="346">
        <f>SUM(D36:D37)</f>
        <v>15554013</v>
      </c>
    </row>
    <row r="39" spans="1:14" x14ac:dyDescent="0.2">
      <c r="A39" s="350" t="s">
        <v>152</v>
      </c>
    </row>
    <row r="40" spans="1:14" x14ac:dyDescent="0.2">
      <c r="A40" s="194" t="s">
        <v>154</v>
      </c>
      <c r="I40" s="2"/>
    </row>
    <row r="41" spans="1:14" x14ac:dyDescent="0.2">
      <c r="N41" s="351"/>
    </row>
    <row r="42" spans="1:14" x14ac:dyDescent="0.2">
      <c r="G42" s="2"/>
      <c r="N42" s="351"/>
    </row>
    <row r="43" spans="1:14" x14ac:dyDescent="0.2">
      <c r="B43" s="267"/>
      <c r="J43" s="2"/>
      <c r="N43" s="351"/>
    </row>
    <row r="44" spans="1:14" x14ac:dyDescent="0.2">
      <c r="B44" s="267"/>
      <c r="N44" s="351"/>
    </row>
    <row r="45" spans="1:14" x14ac:dyDescent="0.2">
      <c r="J45" s="2"/>
      <c r="N45" s="351"/>
    </row>
    <row r="46" spans="1:14" x14ac:dyDescent="0.2">
      <c r="B46" s="2"/>
      <c r="F46" s="267"/>
    </row>
    <row r="47" spans="1:14" x14ac:dyDescent="0.2">
      <c r="N47" s="351"/>
    </row>
    <row r="51" spans="12:12" x14ac:dyDescent="0.2">
      <c r="L51" s="35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3" stopIfTrue="1">
      <formula>"*.*"</formula>
    </cfRule>
  </conditionalFormatting>
  <conditionalFormatting sqref="B13:C13 I13:I14">
    <cfRule type="expression" dxfId="3" priority="8" stopIfTrue="1">
      <formula>"*.*"</formula>
    </cfRule>
  </conditionalFormatting>
  <conditionalFormatting sqref="B24:C24 I24:I25">
    <cfRule type="expression" dxfId="2" priority="7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2019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37"/>
  <sheetViews>
    <sheetView zoomScaleNormal="100" zoomScaleSheetLayoutView="100" workbookViewId="0">
      <selection activeCell="G18" sqref="G18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25">
        <v>43739</v>
      </c>
      <c r="B1" s="373" t="s">
        <v>18</v>
      </c>
      <c r="C1" s="455" t="s">
        <v>225</v>
      </c>
      <c r="D1" s="442" t="s">
        <v>162</v>
      </c>
      <c r="E1" s="372" t="s">
        <v>169</v>
      </c>
      <c r="F1" s="372" t="s">
        <v>168</v>
      </c>
      <c r="G1" s="372" t="s">
        <v>49</v>
      </c>
      <c r="H1" s="372" t="s">
        <v>116</v>
      </c>
      <c r="I1" s="372" t="s">
        <v>202</v>
      </c>
      <c r="J1" s="372" t="s">
        <v>207</v>
      </c>
      <c r="K1" s="372" t="s">
        <v>167</v>
      </c>
      <c r="L1" s="372" t="s">
        <v>161</v>
      </c>
      <c r="M1" s="372" t="s">
        <v>143</v>
      </c>
      <c r="N1" s="372" t="s">
        <v>21</v>
      </c>
    </row>
    <row r="2" spans="1:14" ht="15" x14ac:dyDescent="0.25">
      <c r="A2" s="492" t="s">
        <v>144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4"/>
    </row>
    <row r="3" spans="1:14" x14ac:dyDescent="0.2">
      <c r="A3" s="47" t="s">
        <v>29</v>
      </c>
      <c r="N3" s="40"/>
    </row>
    <row r="4" spans="1:14" x14ac:dyDescent="0.2">
      <c r="A4" s="47" t="s">
        <v>30</v>
      </c>
      <c r="B4" s="13">
        <f>[3]Delta!$GK$32</f>
        <v>88981</v>
      </c>
      <c r="C4" s="13">
        <f>'[3]Aer Lingus'!$GK$32</f>
        <v>4640</v>
      </c>
      <c r="D4" s="13">
        <f>[3]Pinnacle!$GK$32</f>
        <v>6886</v>
      </c>
      <c r="E4" s="13">
        <f>'[3]Sky West'!$GK$32</f>
        <v>7652</v>
      </c>
      <c r="F4" s="13">
        <f>'[3]Go Jet'!$GK$32</f>
        <v>0</v>
      </c>
      <c r="G4" s="13">
        <f>'[3]Sun Country'!$GK$32</f>
        <v>2076</v>
      </c>
      <c r="H4" s="13">
        <f>[3]Icelandair!$GK$32</f>
        <v>3642</v>
      </c>
      <c r="I4" s="13">
        <f>[3]KLM!$GK$32</f>
        <v>4759</v>
      </c>
      <c r="J4" s="13">
        <f>'[3]Sky Regional'!$GK$32</f>
        <v>6120</v>
      </c>
      <c r="K4" s="13">
        <f>[3]Condor!$GK$32</f>
        <v>0</v>
      </c>
      <c r="L4" s="13">
        <f>'[3]Air France'!$GK$32</f>
        <v>0</v>
      </c>
      <c r="M4" s="13">
        <f>'[3]Charter Misc'!$GK$32+[3]Ryan!$GK$32+[3]Omni!$GK$32</f>
        <v>0</v>
      </c>
      <c r="N4" s="242">
        <f>SUM(B4:M4)</f>
        <v>124756</v>
      </c>
    </row>
    <row r="5" spans="1:14" x14ac:dyDescent="0.2">
      <c r="A5" s="47" t="s">
        <v>31</v>
      </c>
      <c r="B5" s="7">
        <f>[3]Delta!$GK$33</f>
        <v>86613</v>
      </c>
      <c r="C5" s="7">
        <f>'[3]Aer Lingus'!$GK$33</f>
        <v>3591</v>
      </c>
      <c r="D5" s="7">
        <f>[3]Pinnacle!$GK$33</f>
        <v>6796</v>
      </c>
      <c r="E5" s="7">
        <f>'[3]Sky West'!$GK$33</f>
        <v>7507</v>
      </c>
      <c r="F5" s="7">
        <f>'[3]Go Jet'!$GK$33</f>
        <v>0</v>
      </c>
      <c r="G5" s="7">
        <f>'[3]Sun Country'!$GK$33</f>
        <v>2308</v>
      </c>
      <c r="H5" s="7">
        <f>[3]Icelandair!$GK$33</f>
        <v>2995</v>
      </c>
      <c r="I5" s="7">
        <f>[3]KLM!$GK$33</f>
        <v>4014</v>
      </c>
      <c r="J5" s="7">
        <f>'[3]Sky Regional'!$GK$33</f>
        <v>5823</v>
      </c>
      <c r="K5" s="7">
        <f>[3]Condor!$GK$33</f>
        <v>0</v>
      </c>
      <c r="L5" s="7">
        <f>'[3]Air France'!$GK$33</f>
        <v>0</v>
      </c>
      <c r="M5" s="7">
        <f>'[3]Charter Misc'!$GK$33++[3]Ryan!$GK$33+[3]Omni!$GK$33</f>
        <v>0</v>
      </c>
      <c r="N5" s="243">
        <f>SUM(B5:M5)</f>
        <v>119647</v>
      </c>
    </row>
    <row r="6" spans="1:14" ht="15" x14ac:dyDescent="0.25">
      <c r="A6" s="45" t="s">
        <v>7</v>
      </c>
      <c r="B6" s="25">
        <f t="shared" ref="B6:M6" si="0">SUM(B4:B5)</f>
        <v>175594</v>
      </c>
      <c r="C6" s="25">
        <f t="shared" si="0"/>
        <v>8231</v>
      </c>
      <c r="D6" s="25">
        <f t="shared" si="0"/>
        <v>13682</v>
      </c>
      <c r="E6" s="25">
        <f t="shared" si="0"/>
        <v>15159</v>
      </c>
      <c r="F6" s="25">
        <f t="shared" ref="F6" si="1">SUM(F4:F5)</f>
        <v>0</v>
      </c>
      <c r="G6" s="25">
        <f t="shared" si="0"/>
        <v>4384</v>
      </c>
      <c r="H6" s="25">
        <f t="shared" si="0"/>
        <v>6637</v>
      </c>
      <c r="I6" s="25">
        <f t="shared" ref="I6" si="2">SUM(I4:I5)</f>
        <v>8773</v>
      </c>
      <c r="J6" s="25">
        <f t="shared" ref="J6" si="3">SUM(J4:J5)</f>
        <v>11943</v>
      </c>
      <c r="K6" s="25">
        <f t="shared" ref="K6" si="4">SUM(K4:K5)</f>
        <v>0</v>
      </c>
      <c r="L6" s="25">
        <f t="shared" si="0"/>
        <v>0</v>
      </c>
      <c r="M6" s="25">
        <f t="shared" si="0"/>
        <v>0</v>
      </c>
      <c r="N6" s="244">
        <f>SUM(B6:M6)</f>
        <v>244403</v>
      </c>
    </row>
    <row r="7" spans="1:14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42"/>
    </row>
    <row r="8" spans="1:14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242">
        <f>SUM(B8:M8)</f>
        <v>0</v>
      </c>
    </row>
    <row r="9" spans="1:14" x14ac:dyDescent="0.2">
      <c r="A9" s="47" t="s">
        <v>30</v>
      </c>
      <c r="B9" s="13">
        <f>[3]Delta!$GK$37</f>
        <v>2502</v>
      </c>
      <c r="C9" s="13">
        <f>'[3]Aer Lingus'!$GK$37</f>
        <v>15</v>
      </c>
      <c r="D9" s="13">
        <f>[3]Pinnacle!$GK$37</f>
        <v>145</v>
      </c>
      <c r="E9" s="13">
        <f>'[3]Sky West'!$GK$37</f>
        <v>78</v>
      </c>
      <c r="F9" s="13">
        <f>'[3]Go Jet'!$GK$37</f>
        <v>0</v>
      </c>
      <c r="G9" s="13">
        <f>'[3]Sun Country'!$GK$37</f>
        <v>37</v>
      </c>
      <c r="H9" s="13">
        <f>[3]Icelandair!$GK$37</f>
        <v>104</v>
      </c>
      <c r="I9" s="13">
        <f>[3]KLM!$GK$37</f>
        <v>8</v>
      </c>
      <c r="J9" s="13">
        <f>'[3]Sky Regional'!$GK$37</f>
        <v>80</v>
      </c>
      <c r="K9" s="13">
        <f>[3]Condor!$GK$37</f>
        <v>0</v>
      </c>
      <c r="L9" s="13">
        <f>'[3]Air France'!$GK$37</f>
        <v>0</v>
      </c>
      <c r="M9" s="13">
        <f>'[3]Charter Misc'!$GK$37+[3]Ryan!$GK$37+[3]Omni!$GK$37</f>
        <v>0</v>
      </c>
      <c r="N9" s="242">
        <f>SUM(B9:M9)</f>
        <v>2969</v>
      </c>
    </row>
    <row r="10" spans="1:14" x14ac:dyDescent="0.2">
      <c r="A10" s="47" t="s">
        <v>33</v>
      </c>
      <c r="B10" s="7">
        <f>[3]Delta!$GK$38</f>
        <v>2220</v>
      </c>
      <c r="C10" s="7">
        <f>'[3]Aer Lingus'!$GK$38</f>
        <v>12</v>
      </c>
      <c r="D10" s="7">
        <f>[3]Pinnacle!$GK$38</f>
        <v>139</v>
      </c>
      <c r="E10" s="7">
        <f>'[3]Sky West'!$GK$38</f>
        <v>86</v>
      </c>
      <c r="F10" s="7">
        <f>'[3]Go Jet'!$GK$38</f>
        <v>0</v>
      </c>
      <c r="G10" s="7">
        <f>'[3]Sun Country'!$GK$38</f>
        <v>36</v>
      </c>
      <c r="H10" s="7">
        <f>[3]Icelandair!$GK$38</f>
        <v>76</v>
      </c>
      <c r="I10" s="7">
        <f>[3]KLM!$GK$38</f>
        <v>9</v>
      </c>
      <c r="J10" s="7">
        <f>'[3]Sky Regional'!$GK$38</f>
        <v>65</v>
      </c>
      <c r="K10" s="7">
        <f>[3]Condor!$GK$38</f>
        <v>0</v>
      </c>
      <c r="L10" s="7">
        <f>'[3]Air France'!$GK$38</f>
        <v>0</v>
      </c>
      <c r="M10" s="7">
        <f>'[3]Charter Misc'!$GK$38+[3]Ryan!$GK$38+[3]Omni!$GK$38</f>
        <v>0</v>
      </c>
      <c r="N10" s="243">
        <f>SUM(B10:M10)</f>
        <v>2643</v>
      </c>
    </row>
    <row r="11" spans="1:14" ht="15.75" thickBot="1" x14ac:dyDescent="0.3">
      <c r="A11" s="48" t="s">
        <v>34</v>
      </c>
      <c r="B11" s="245">
        <f t="shared" ref="B11:G11" si="5">SUM(B9:B10)</f>
        <v>4722</v>
      </c>
      <c r="C11" s="245">
        <f t="shared" si="5"/>
        <v>27</v>
      </c>
      <c r="D11" s="245">
        <f t="shared" si="5"/>
        <v>284</v>
      </c>
      <c r="E11" s="245">
        <f t="shared" si="5"/>
        <v>164</v>
      </c>
      <c r="F11" s="245">
        <f t="shared" ref="F11" si="6">SUM(F9:F10)</f>
        <v>0</v>
      </c>
      <c r="G11" s="245">
        <f t="shared" si="5"/>
        <v>73</v>
      </c>
      <c r="H11" s="245">
        <f t="shared" ref="H11:M11" si="7">SUM(H9:H10)</f>
        <v>180</v>
      </c>
      <c r="I11" s="245">
        <f t="shared" ref="I11" si="8">SUM(I9:I10)</f>
        <v>17</v>
      </c>
      <c r="J11" s="245">
        <f t="shared" ref="J11" si="9">SUM(J9:J10)</f>
        <v>145</v>
      </c>
      <c r="K11" s="245">
        <f t="shared" si="7"/>
        <v>0</v>
      </c>
      <c r="L11" s="245">
        <f t="shared" si="7"/>
        <v>0</v>
      </c>
      <c r="M11" s="245">
        <f t="shared" si="7"/>
        <v>0</v>
      </c>
      <c r="N11" s="246">
        <f>SUM(B11:M11)</f>
        <v>5612</v>
      </c>
    </row>
    <row r="12" spans="1:14" ht="15" x14ac:dyDescent="0.25">
      <c r="A12" s="330"/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7"/>
    </row>
    <row r="13" spans="1:14" ht="39" thickBot="1" x14ac:dyDescent="0.25">
      <c r="B13" s="373" t="s">
        <v>18</v>
      </c>
      <c r="C13" s="455" t="s">
        <v>225</v>
      </c>
      <c r="D13" s="442" t="s">
        <v>162</v>
      </c>
      <c r="E13" s="373" t="s">
        <v>100</v>
      </c>
      <c r="F13" s="372" t="s">
        <v>168</v>
      </c>
      <c r="G13" s="373" t="s">
        <v>142</v>
      </c>
      <c r="H13" s="373" t="s">
        <v>116</v>
      </c>
      <c r="I13" s="372" t="s">
        <v>202</v>
      </c>
      <c r="J13" s="372" t="s">
        <v>207</v>
      </c>
      <c r="K13" s="372" t="s">
        <v>167</v>
      </c>
      <c r="L13" s="373" t="s">
        <v>161</v>
      </c>
      <c r="M13" s="373" t="s">
        <v>143</v>
      </c>
      <c r="N13" s="372" t="s">
        <v>145</v>
      </c>
    </row>
    <row r="14" spans="1:14" ht="15" x14ac:dyDescent="0.25">
      <c r="A14" s="495" t="s">
        <v>146</v>
      </c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7"/>
    </row>
    <row r="15" spans="1:14" x14ac:dyDescent="0.2">
      <c r="A15" s="47" t="s">
        <v>29</v>
      </c>
      <c r="N15" s="40"/>
    </row>
    <row r="16" spans="1:14" x14ac:dyDescent="0.2">
      <c r="A16" s="47" t="s">
        <v>30</v>
      </c>
      <c r="B16" s="13">
        <f>SUM([3]Delta!$GB$32:$GK$32)</f>
        <v>896884</v>
      </c>
      <c r="C16" s="13">
        <f>SUM('[3]Aer Lingus'!$GB$32:$GK$32)</f>
        <v>16659</v>
      </c>
      <c r="D16" s="13">
        <f>SUM([3]Pinnacle!$GB$32:$GK$32)</f>
        <v>64425</v>
      </c>
      <c r="E16" s="13">
        <f>SUM('[3]Sky West'!$GB$32:$GK$32)</f>
        <v>109901</v>
      </c>
      <c r="F16" s="13">
        <f>SUM('[3]Go Jet'!$GB$32:$GK$32)</f>
        <v>5012</v>
      </c>
      <c r="G16" s="13">
        <f>SUM('[3]Sun Country'!$GB$32:$GK$32)</f>
        <v>122229</v>
      </c>
      <c r="H16" s="13">
        <f>SUM([3]Icelandair!$GB$32:$GK$32)</f>
        <v>37485</v>
      </c>
      <c r="I16" s="13">
        <f>SUM([3]KLM!$GB$32:$GK$32)</f>
        <v>41151</v>
      </c>
      <c r="J16" s="13">
        <f>SUM('[3]Sky Regional'!$GB$32:$GK$32)</f>
        <v>51571</v>
      </c>
      <c r="K16" s="13">
        <f>SUM([3]Condor!$GB$32:$GK$32)</f>
        <v>13214</v>
      </c>
      <c r="L16" s="13">
        <f>SUM('[3]Air France'!$GB$32:$GK$32)</f>
        <v>37221</v>
      </c>
      <c r="M16" s="13">
        <f>SUM('[3]Charter Misc'!$GB$32:$GK$32)+SUM([3]Ryan!$GB$32:$GK$32)+SUM([3]Omni!$GB$32:$GK$32)</f>
        <v>359</v>
      </c>
      <c r="N16" s="242">
        <f>SUM(B16:M16)</f>
        <v>1396111</v>
      </c>
    </row>
    <row r="17" spans="1:17" x14ac:dyDescent="0.2">
      <c r="A17" s="47" t="s">
        <v>31</v>
      </c>
      <c r="B17" s="7">
        <f>SUM([3]Delta!$GB$33:$GK$33)</f>
        <v>883453</v>
      </c>
      <c r="C17" s="7">
        <f>SUM('[3]Aer Lingus'!$GB$33:$GK$33)</f>
        <v>15771</v>
      </c>
      <c r="D17" s="7">
        <f>SUM([3]Pinnacle!$GB$33:$GK$33)</f>
        <v>65666</v>
      </c>
      <c r="E17" s="7">
        <f>SUM('[3]Sky West'!$GB$33:$GK$33)</f>
        <v>111448</v>
      </c>
      <c r="F17" s="7">
        <f>SUM('[3]Go Jet'!$GB$33:$GK$33)</f>
        <v>5685</v>
      </c>
      <c r="G17" s="7">
        <f>SUM('[3]Sun Country'!$GB$33:$GK$33)</f>
        <v>115765</v>
      </c>
      <c r="H17" s="7">
        <f>SUM([3]Icelandair!$GB$33:$GK$33)</f>
        <v>37095</v>
      </c>
      <c r="I17" s="7">
        <f>SUM([3]KLM!$GB$33:$GK$33)</f>
        <v>38561</v>
      </c>
      <c r="J17" s="7">
        <f>SUM('[3]Sky Regional'!$GB$33:$GK$33)</f>
        <v>50616</v>
      </c>
      <c r="K17" s="7">
        <f>SUM([3]Condor!$GB$33:$GK$33)</f>
        <v>12888</v>
      </c>
      <c r="L17" s="7">
        <f>SUM('[3]Air France'!$GB$33:$GK$33)</f>
        <v>34725</v>
      </c>
      <c r="M17" s="7">
        <f>SUM('[3]Charter Misc'!$GB$33:$GK$33)++SUM([3]Ryan!$GB$33:$GK$33)+SUM([3]Omni!$GB$33:$GK$33)</f>
        <v>381</v>
      </c>
      <c r="N17" s="243">
        <f>SUM(B17:M17)</f>
        <v>1372054</v>
      </c>
    </row>
    <row r="18" spans="1:17" ht="15" x14ac:dyDescent="0.25">
      <c r="A18" s="45" t="s">
        <v>7</v>
      </c>
      <c r="B18" s="25">
        <f t="shared" ref="B18:M18" si="10">SUM(B16:B17)</f>
        <v>1780337</v>
      </c>
      <c r="C18" s="25">
        <f t="shared" si="10"/>
        <v>32430</v>
      </c>
      <c r="D18" s="25">
        <f t="shared" si="10"/>
        <v>130091</v>
      </c>
      <c r="E18" s="25">
        <f t="shared" si="10"/>
        <v>221349</v>
      </c>
      <c r="F18" s="25">
        <f t="shared" ref="F18" si="11">SUM(F16:F17)</f>
        <v>10697</v>
      </c>
      <c r="G18" s="25">
        <f t="shared" si="10"/>
        <v>237994</v>
      </c>
      <c r="H18" s="25">
        <f t="shared" si="10"/>
        <v>74580</v>
      </c>
      <c r="I18" s="25">
        <f t="shared" ref="I18" si="12">SUM(I16:I17)</f>
        <v>79712</v>
      </c>
      <c r="J18" s="25">
        <f t="shared" ref="J18" si="13">SUM(J16:J17)</f>
        <v>102187</v>
      </c>
      <c r="K18" s="25">
        <f t="shared" ref="K18" si="14">SUM(K16:K17)</f>
        <v>26102</v>
      </c>
      <c r="L18" s="25">
        <f t="shared" si="10"/>
        <v>71946</v>
      </c>
      <c r="M18" s="25">
        <f t="shared" si="10"/>
        <v>740</v>
      </c>
      <c r="N18" s="244">
        <f>SUM(B18:M18)</f>
        <v>2768165</v>
      </c>
      <c r="Q18" s="267"/>
    </row>
    <row r="19" spans="1:17" x14ac:dyDescent="0.2">
      <c r="A19" s="4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242"/>
      <c r="Q19" s="97"/>
    </row>
    <row r="20" spans="1:17" x14ac:dyDescent="0.2">
      <c r="A20" s="47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242">
        <f>SUM(B20:M20)</f>
        <v>0</v>
      </c>
    </row>
    <row r="21" spans="1:17" x14ac:dyDescent="0.2">
      <c r="A21" s="47" t="s">
        <v>30</v>
      </c>
      <c r="B21" s="13">
        <f>SUM([3]Delta!$GB$37:$GK$37)</f>
        <v>23417</v>
      </c>
      <c r="C21" s="13">
        <f>SUM('[3]Aer Lingus'!$GB$37:$GK$37)</f>
        <v>123</v>
      </c>
      <c r="D21" s="13">
        <f>SUM([3]Pinnacle!$GB$37:$GK$37)</f>
        <v>1077</v>
      </c>
      <c r="E21" s="13">
        <f>SUM('[3]Sky West'!$GB$37:$GK$37)</f>
        <v>1268</v>
      </c>
      <c r="F21" s="13">
        <f>SUM('[3]Go Jet'!$GB$37:$GK$37)</f>
        <v>110</v>
      </c>
      <c r="G21" s="13">
        <f>SUM('[3]Sun Country'!$GB$37:$GK$37)</f>
        <v>867</v>
      </c>
      <c r="H21" s="13">
        <f>SUM([3]Icelandair!$GB$37:$GK$37)</f>
        <v>422</v>
      </c>
      <c r="I21" s="13">
        <f>SUM([3]KLM!$GB$37:$GK$37)</f>
        <v>104</v>
      </c>
      <c r="J21" s="13">
        <f>SUM('[3]Sky Regional'!$GB$37:$GK$37)</f>
        <v>590</v>
      </c>
      <c r="K21" s="13">
        <f>SUM([3]Condor!$GB$37:$GK$37)</f>
        <v>23</v>
      </c>
      <c r="L21" s="13">
        <f>SUM('[3]Air France'!$GB$37:$GK$37)</f>
        <v>24</v>
      </c>
      <c r="M21" s="13">
        <f>SUM('[3]Charter Misc'!$GB$37:$GK$37)++SUM([3]Ryan!$GB$37:$GK$37)+SUM([3]Omni!$GB$37:$GK$37)</f>
        <v>0</v>
      </c>
      <c r="N21" s="242">
        <f>SUM(B21:M21)</f>
        <v>28025</v>
      </c>
    </row>
    <row r="22" spans="1:17" x14ac:dyDescent="0.2">
      <c r="A22" s="47" t="s">
        <v>33</v>
      </c>
      <c r="B22" s="7">
        <f>SUM([3]Delta!$GB$38:$GK$38)</f>
        <v>22934</v>
      </c>
      <c r="C22" s="7">
        <f>SUM('[3]Aer Lingus'!$GB$38:$GK$38)</f>
        <v>89</v>
      </c>
      <c r="D22" s="7">
        <f>SUM([3]Pinnacle!$GB$38:$GK$38)</f>
        <v>1022</v>
      </c>
      <c r="E22" s="7">
        <f>SUM('[3]Sky West'!$GB$38:$GK$38)</f>
        <v>1203</v>
      </c>
      <c r="F22" s="7">
        <f>SUM('[3]Go Jet'!$GB$38:$GK$38)</f>
        <v>70</v>
      </c>
      <c r="G22" s="7">
        <f>SUM('[3]Sun Country'!$GB$38:$GK$38)</f>
        <v>997</v>
      </c>
      <c r="H22" s="7">
        <f>SUM([3]Icelandair!$GB$38:$GK$38)</f>
        <v>426</v>
      </c>
      <c r="I22" s="7">
        <f>SUM([3]KLM!$GB$38:$GK$38)</f>
        <v>120</v>
      </c>
      <c r="J22" s="7">
        <f>SUM('[3]Sky Regional'!$GB$38:$GK$38)</f>
        <v>624</v>
      </c>
      <c r="K22" s="7">
        <f>SUM([3]Condor!$GB$38:$GK$38)</f>
        <v>12</v>
      </c>
      <c r="L22" s="7">
        <f>SUM('[3]Air France'!$GB$38:$GK$38)</f>
        <v>19</v>
      </c>
      <c r="M22" s="7">
        <f>SUM('[3]Charter Misc'!$GB$38:$GK$38)++SUM([3]Ryan!$GB$38:$GK$38)+SUM([3]Omni!$GB$38:$GK$38)</f>
        <v>0</v>
      </c>
      <c r="N22" s="243">
        <f>SUM(B22:M22)</f>
        <v>27516</v>
      </c>
    </row>
    <row r="23" spans="1:17" ht="15.75" thickBot="1" x14ac:dyDescent="0.3">
      <c r="A23" s="48" t="s">
        <v>34</v>
      </c>
      <c r="B23" s="245">
        <f t="shared" ref="B23:M23" si="15">SUM(B21:B22)</f>
        <v>46351</v>
      </c>
      <c r="C23" s="245">
        <f t="shared" si="15"/>
        <v>212</v>
      </c>
      <c r="D23" s="245">
        <f t="shared" si="15"/>
        <v>2099</v>
      </c>
      <c r="E23" s="245">
        <f t="shared" si="15"/>
        <v>2471</v>
      </c>
      <c r="F23" s="245">
        <f t="shared" ref="F23" si="16">SUM(F21:F22)</f>
        <v>180</v>
      </c>
      <c r="G23" s="245">
        <f t="shared" si="15"/>
        <v>1864</v>
      </c>
      <c r="H23" s="245">
        <f t="shared" si="15"/>
        <v>848</v>
      </c>
      <c r="I23" s="245">
        <f t="shared" ref="I23" si="17">SUM(I21:I22)</f>
        <v>224</v>
      </c>
      <c r="J23" s="245">
        <f t="shared" ref="J23" si="18">SUM(J21:J22)</f>
        <v>1214</v>
      </c>
      <c r="K23" s="245">
        <f t="shared" ref="K23" si="19">SUM(K21:K22)</f>
        <v>35</v>
      </c>
      <c r="L23" s="245">
        <f t="shared" si="15"/>
        <v>43</v>
      </c>
      <c r="M23" s="245">
        <f t="shared" si="15"/>
        <v>0</v>
      </c>
      <c r="N23" s="246">
        <f>SUM(B23:M23)</f>
        <v>55541</v>
      </c>
    </row>
    <row r="25" spans="1:17" ht="39" thickBot="1" x14ac:dyDescent="0.25">
      <c r="B25" s="373" t="s">
        <v>18</v>
      </c>
      <c r="C25" s="455" t="s">
        <v>225</v>
      </c>
      <c r="D25" s="442" t="s">
        <v>162</v>
      </c>
      <c r="E25" s="373" t="s">
        <v>100</v>
      </c>
      <c r="F25" s="372" t="s">
        <v>168</v>
      </c>
      <c r="G25" s="373" t="s">
        <v>142</v>
      </c>
      <c r="H25" s="373" t="s">
        <v>116</v>
      </c>
      <c r="I25" s="372" t="s">
        <v>202</v>
      </c>
      <c r="J25" s="372" t="s">
        <v>207</v>
      </c>
      <c r="K25" s="372" t="s">
        <v>167</v>
      </c>
      <c r="L25" s="373" t="s">
        <v>161</v>
      </c>
      <c r="M25" s="373" t="s">
        <v>143</v>
      </c>
      <c r="N25" s="372" t="s">
        <v>21</v>
      </c>
    </row>
    <row r="26" spans="1:17" ht="15" x14ac:dyDescent="0.25">
      <c r="A26" s="498" t="s">
        <v>147</v>
      </c>
      <c r="B26" s="499"/>
      <c r="C26" s="499"/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500"/>
    </row>
    <row r="27" spans="1:17" x14ac:dyDescent="0.2">
      <c r="A27" s="47" t="s">
        <v>22</v>
      </c>
      <c r="B27" s="13">
        <f>[3]Delta!$GK$15</f>
        <v>560</v>
      </c>
      <c r="C27" s="13">
        <f>'[3]Aer Lingus'!$GK$15</f>
        <v>31</v>
      </c>
      <c r="D27" s="13">
        <f>[3]Pinnacle!$GK$15</f>
        <v>104</v>
      </c>
      <c r="E27" s="13">
        <f>'[3]Sky West'!$GK$15</f>
        <v>120</v>
      </c>
      <c r="F27" s="13">
        <f>'[3]Go Jet'!$GK$15</f>
        <v>0</v>
      </c>
      <c r="G27" s="13">
        <f>'[3]Sun Country'!$GK$15</f>
        <v>21</v>
      </c>
      <c r="H27" s="13">
        <f>[3]Icelandair!$GK$15</f>
        <v>25</v>
      </c>
      <c r="I27" s="13">
        <f>[3]KLM!$GK$15</f>
        <v>18</v>
      </c>
      <c r="J27" s="13">
        <f>'[3]Sky Regional'!$GK$15</f>
        <v>115</v>
      </c>
      <c r="K27" s="13">
        <f>[3]Condor!$GK$15</f>
        <v>0</v>
      </c>
      <c r="L27" s="13">
        <f>'[3]Air France'!$GK$15</f>
        <v>0</v>
      </c>
      <c r="M27" s="13">
        <f>'[3]Charter Misc'!$GK$15+[3]Ryan!$GK$15+[3]Omni!$GK$15</f>
        <v>0</v>
      </c>
      <c r="N27" s="242">
        <f>SUM(B27:M27)</f>
        <v>994</v>
      </c>
    </row>
    <row r="28" spans="1:17" x14ac:dyDescent="0.2">
      <c r="A28" s="47" t="s">
        <v>23</v>
      </c>
      <c r="B28" s="13">
        <f>[3]Delta!$GK$16</f>
        <v>560</v>
      </c>
      <c r="C28" s="13">
        <f>'[3]Aer Lingus'!$GK$16</f>
        <v>31</v>
      </c>
      <c r="D28" s="13">
        <f>[3]Pinnacle!$GK$16</f>
        <v>105</v>
      </c>
      <c r="E28" s="13">
        <f>'[3]Sky West'!$GK$16</f>
        <v>119</v>
      </c>
      <c r="F28" s="13">
        <f>'[3]Go Jet'!$GK$16</f>
        <v>0</v>
      </c>
      <c r="G28" s="13">
        <f>'[3]Sun Country'!$GK$16</f>
        <v>19</v>
      </c>
      <c r="H28" s="13">
        <f>[3]Icelandair!$GK$16</f>
        <v>25</v>
      </c>
      <c r="I28" s="13">
        <f>[3]KLM!$GK$16</f>
        <v>18</v>
      </c>
      <c r="J28" s="13">
        <f>'[3]Sky Regional'!$GK$16</f>
        <v>115</v>
      </c>
      <c r="K28" s="13">
        <f>[3]Condor!$GK$16</f>
        <v>0</v>
      </c>
      <c r="L28" s="13">
        <f>'[3]Air France'!$GK$16</f>
        <v>0</v>
      </c>
      <c r="M28" s="13">
        <f>'[3]Charter Misc'!$GK$16+[3]Ryan!$GK$16+[3]Omni!$GK$16</f>
        <v>0</v>
      </c>
      <c r="N28" s="242">
        <f>SUM(B28:M28)</f>
        <v>992</v>
      </c>
    </row>
    <row r="29" spans="1:17" x14ac:dyDescent="0.2">
      <c r="A29" s="4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242"/>
    </row>
    <row r="30" spans="1:17" ht="15.75" thickBot="1" x14ac:dyDescent="0.3">
      <c r="A30" s="48" t="s">
        <v>28</v>
      </c>
      <c r="B30" s="328">
        <f t="shared" ref="B30:H30" si="20">SUM(B27:B28)</f>
        <v>1120</v>
      </c>
      <c r="C30" s="328">
        <f t="shared" si="20"/>
        <v>62</v>
      </c>
      <c r="D30" s="328">
        <f t="shared" si="20"/>
        <v>209</v>
      </c>
      <c r="E30" s="328">
        <f>SUM(E27:E28)</f>
        <v>239</v>
      </c>
      <c r="F30" s="328">
        <f>SUM(F27:F28)</f>
        <v>0</v>
      </c>
      <c r="G30" s="328">
        <f t="shared" si="20"/>
        <v>40</v>
      </c>
      <c r="H30" s="328">
        <f t="shared" si="20"/>
        <v>50</v>
      </c>
      <c r="I30" s="328">
        <f t="shared" ref="I30" si="21">SUM(I27:I28)</f>
        <v>36</v>
      </c>
      <c r="J30" s="328">
        <f t="shared" ref="J30" si="22">SUM(J27:J28)</f>
        <v>230</v>
      </c>
      <c r="K30" s="328">
        <f>SUM(K27:K28)</f>
        <v>0</v>
      </c>
      <c r="L30" s="328">
        <f>SUM(L27:L28)</f>
        <v>0</v>
      </c>
      <c r="M30" s="328">
        <f>SUM(M27:M28)</f>
        <v>0</v>
      </c>
      <c r="N30" s="329">
        <f>SUM(B30:M30)</f>
        <v>1986</v>
      </c>
    </row>
    <row r="31" spans="1:17" ht="15" x14ac:dyDescent="0.25">
      <c r="A31" s="330"/>
    </row>
    <row r="32" spans="1:17" ht="39" thickBot="1" x14ac:dyDescent="0.25">
      <c r="B32" s="373" t="s">
        <v>18</v>
      </c>
      <c r="C32" s="455" t="s">
        <v>225</v>
      </c>
      <c r="D32" s="442" t="s">
        <v>162</v>
      </c>
      <c r="E32" s="373" t="s">
        <v>100</v>
      </c>
      <c r="F32" s="372" t="s">
        <v>168</v>
      </c>
      <c r="G32" s="373" t="s">
        <v>142</v>
      </c>
      <c r="H32" s="373" t="s">
        <v>116</v>
      </c>
      <c r="I32" s="372" t="s">
        <v>202</v>
      </c>
      <c r="J32" s="372" t="s">
        <v>207</v>
      </c>
      <c r="K32" s="372" t="s">
        <v>167</v>
      </c>
      <c r="L32" s="373" t="s">
        <v>161</v>
      </c>
      <c r="M32" s="373" t="s">
        <v>143</v>
      </c>
      <c r="N32" s="372" t="s">
        <v>145</v>
      </c>
    </row>
    <row r="33" spans="1:14" ht="15" x14ac:dyDescent="0.25">
      <c r="A33" s="501" t="s">
        <v>148</v>
      </c>
      <c r="B33" s="502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  <c r="N33" s="503"/>
    </row>
    <row r="34" spans="1:14" x14ac:dyDescent="0.2">
      <c r="A34" s="47" t="s">
        <v>22</v>
      </c>
      <c r="B34" s="13">
        <f>SUM([3]Delta!$GB$15:$GK$15)</f>
        <v>5391</v>
      </c>
      <c r="C34" s="13">
        <f>SUM('[3]Aer Lingus'!$GB$15:$GK$15)</f>
        <v>114</v>
      </c>
      <c r="D34" s="13">
        <f>SUM([3]Pinnacle!$GB$15:$GK$15)</f>
        <v>971</v>
      </c>
      <c r="E34" s="13">
        <f>SUM('[3]Sky West'!$GB$15:$GK$15)</f>
        <v>1737</v>
      </c>
      <c r="F34" s="13">
        <f>SUM('[3]Go Jet'!$GB$15:$GK$15)</f>
        <v>95</v>
      </c>
      <c r="G34" s="13">
        <f>SUM('[3]Sun Country'!$GB$15:$GK$15)</f>
        <v>881</v>
      </c>
      <c r="H34" s="13">
        <f>SUM([3]Icelandair!$GB$15:$GK$15)</f>
        <v>221</v>
      </c>
      <c r="I34" s="13">
        <f>SUM([3]KLM!$GB$15:$GK$15)</f>
        <v>168</v>
      </c>
      <c r="J34" s="13">
        <f>SUM('[3]Sky Regional'!$GB$15:$GK$15)</f>
        <v>904</v>
      </c>
      <c r="K34" s="13">
        <f>SUM([3]Condor!$GB$15:$GK$15)</f>
        <v>54</v>
      </c>
      <c r="L34" s="13">
        <f>SUM('[3]Air France'!$GB$15:$GK$15)</f>
        <v>140</v>
      </c>
      <c r="M34" s="13">
        <f>SUM('[3]Charter Misc'!$GB$15:$GK$15)+SUM([3]Ryan!$GB$15:$GK$15)+SUM([3]Omni!$GB$15:$GK$15)</f>
        <v>1</v>
      </c>
      <c r="N34" s="242">
        <f>SUM(B34:M34)</f>
        <v>10677</v>
      </c>
    </row>
    <row r="35" spans="1:14" x14ac:dyDescent="0.2">
      <c r="A35" s="47" t="s">
        <v>23</v>
      </c>
      <c r="B35" s="13">
        <f>SUM([3]Delta!$GB$16:$GK$16)</f>
        <v>5411</v>
      </c>
      <c r="C35" s="13">
        <f>SUM('[3]Aer Lingus'!$GB$16:$GK$16)</f>
        <v>114</v>
      </c>
      <c r="D35" s="13">
        <f>SUM([3]Pinnacle!$GB$16:$GK$16)</f>
        <v>972</v>
      </c>
      <c r="E35" s="13">
        <f>SUM('[3]Sky West'!$GB$16:$GK$16)</f>
        <v>1740</v>
      </c>
      <c r="F35" s="13">
        <f>SUM('[3]Go Jet'!$GB$16:$GK$16)</f>
        <v>95</v>
      </c>
      <c r="G35" s="13">
        <f>SUM('[3]Sun Country'!$GB$16:$GK$16)</f>
        <v>875</v>
      </c>
      <c r="H35" s="13">
        <f>SUM([3]Icelandair!$GB$16:$GK$16)</f>
        <v>221</v>
      </c>
      <c r="I35" s="13">
        <f>SUM([3]KLM!$GB$16:$GK$16)</f>
        <v>168</v>
      </c>
      <c r="J35" s="13">
        <f>SUM('[3]Sky Regional'!$GB$16:$GK$16)</f>
        <v>904</v>
      </c>
      <c r="K35" s="13">
        <f>SUM([3]Condor!$GB$16:$GK$16)</f>
        <v>54</v>
      </c>
      <c r="L35" s="13">
        <f>SUM('[3]Air France'!$GB$16:$GK$16)</f>
        <v>140</v>
      </c>
      <c r="M35" s="13">
        <f>SUM('[3]Charter Misc'!$GB$16:$GK$16)+SUM([3]Ryan!$GB$16:$GK$16)+SUM([3]Omni!$GB$16:$GK$16)</f>
        <v>2</v>
      </c>
      <c r="N35" s="242">
        <f>SUM(B35:M35)</f>
        <v>10696</v>
      </c>
    </row>
    <row r="36" spans="1:14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242"/>
    </row>
    <row r="37" spans="1:14" ht="15.75" thickBot="1" x14ac:dyDescent="0.3">
      <c r="A37" s="48" t="s">
        <v>28</v>
      </c>
      <c r="B37" s="328">
        <f t="shared" ref="B37:H37" si="23">+SUM(B34:B35)</f>
        <v>10802</v>
      </c>
      <c r="C37" s="328">
        <f t="shared" si="23"/>
        <v>228</v>
      </c>
      <c r="D37" s="328">
        <f t="shared" si="23"/>
        <v>1943</v>
      </c>
      <c r="E37" s="328">
        <f>+SUM(E34:E35)</f>
        <v>3477</v>
      </c>
      <c r="F37" s="328">
        <f>+SUM(F34:F35)</f>
        <v>190</v>
      </c>
      <c r="G37" s="328">
        <f t="shared" si="23"/>
        <v>1756</v>
      </c>
      <c r="H37" s="328">
        <f t="shared" si="23"/>
        <v>442</v>
      </c>
      <c r="I37" s="328">
        <f t="shared" ref="I37" si="24">+SUM(I34:I35)</f>
        <v>336</v>
      </c>
      <c r="J37" s="328">
        <f t="shared" ref="J37" si="25">+SUM(J34:J35)</f>
        <v>1808</v>
      </c>
      <c r="K37" s="328">
        <f>+SUM(K34:K35)</f>
        <v>108</v>
      </c>
      <c r="L37" s="328">
        <f>+SUM(L34:L35)</f>
        <v>280</v>
      </c>
      <c r="M37" s="328">
        <f>+SUM(M34:M35)</f>
        <v>3</v>
      </c>
      <c r="N37" s="329">
        <f>SUM(B37:M37)</f>
        <v>21373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2" orientation="landscape" r:id="rId1"/>
  <headerFooter alignWithMargins="0">
    <oddHeader>&amp;LSchedule 9&amp;CMinneapolis-St. Paul International Airport
&amp;"Arial,Bold"International Detail&amp;"Arial,Regular"
&amp;"Arial,Bold"October 2019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8"/>
  <sheetViews>
    <sheetView zoomScaleNormal="100" zoomScaleSheetLayoutView="115" workbookViewId="0">
      <pane ySplit="2" topLeftCell="A42" activePane="bottomLeft" state="frozen"/>
      <selection pane="bottomLeft" activeCell="D37" sqref="D37"/>
    </sheetView>
  </sheetViews>
  <sheetFormatPr defaultRowHeight="12.75" x14ac:dyDescent="0.2"/>
  <cols>
    <col min="1" max="1" width="3.42578125" customWidth="1"/>
    <col min="2" max="2" width="14.42578125" bestFit="1" customWidth="1"/>
    <col min="3" max="3" width="9.85546875" style="2" bestFit="1" customWidth="1"/>
    <col min="4" max="4" width="9.140625" style="2" bestFit="1" customWidth="1"/>
    <col min="5" max="5" width="9.28515625" style="3" bestFit="1" customWidth="1"/>
    <col min="6" max="6" width="8.7109375" style="192" bestFit="1" customWidth="1"/>
    <col min="7" max="7" width="8.7109375" style="2" bestFit="1" customWidth="1"/>
    <col min="8" max="8" width="9" style="3" bestFit="1" customWidth="1"/>
    <col min="9" max="9" width="8.85546875" style="3" bestFit="1" customWidth="1"/>
    <col min="10" max="10" width="4.140625" style="3" customWidth="1"/>
    <col min="11" max="11" width="14.42578125" style="196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8" s="9" customFormat="1" ht="26.25" thickBot="1" x14ac:dyDescent="0.25">
      <c r="A1" s="507" t="s">
        <v>135</v>
      </c>
      <c r="B1" s="508"/>
      <c r="C1" s="381" t="s">
        <v>220</v>
      </c>
      <c r="D1" s="382" t="s">
        <v>203</v>
      </c>
      <c r="E1" s="229" t="s">
        <v>98</v>
      </c>
      <c r="F1" s="228" t="s">
        <v>221</v>
      </c>
      <c r="G1" s="382" t="s">
        <v>204</v>
      </c>
      <c r="H1" s="227" t="s">
        <v>99</v>
      </c>
      <c r="I1" s="229" t="s">
        <v>140</v>
      </c>
      <c r="J1" s="513" t="s">
        <v>139</v>
      </c>
      <c r="K1" s="514"/>
      <c r="L1" s="379" t="s">
        <v>222</v>
      </c>
      <c r="M1" s="380" t="s">
        <v>205</v>
      </c>
      <c r="N1" s="298" t="s">
        <v>99</v>
      </c>
      <c r="O1" s="415" t="s">
        <v>223</v>
      </c>
      <c r="P1" s="230" t="s">
        <v>206</v>
      </c>
      <c r="Q1" s="413" t="s">
        <v>99</v>
      </c>
      <c r="R1" s="416" t="s">
        <v>140</v>
      </c>
    </row>
    <row r="2" spans="1:18" s="9" customFormat="1" ht="13.5" customHeight="1" thickBot="1" x14ac:dyDescent="0.25">
      <c r="A2" s="509">
        <v>43739</v>
      </c>
      <c r="B2" s="510"/>
      <c r="C2" s="511" t="s">
        <v>9</v>
      </c>
      <c r="D2" s="512"/>
      <c r="E2" s="512"/>
      <c r="F2" s="512"/>
      <c r="G2" s="512"/>
      <c r="H2" s="512"/>
      <c r="I2" s="383"/>
      <c r="J2" s="509">
        <f>+A2</f>
        <v>43739</v>
      </c>
      <c r="K2" s="510"/>
      <c r="L2" s="504" t="s">
        <v>141</v>
      </c>
      <c r="M2" s="505"/>
      <c r="N2" s="505"/>
      <c r="O2" s="505"/>
      <c r="P2" s="505"/>
      <c r="Q2" s="505"/>
      <c r="R2" s="506"/>
    </row>
    <row r="3" spans="1:18" x14ac:dyDescent="0.2">
      <c r="A3" s="299"/>
      <c r="B3" s="300"/>
      <c r="C3" s="301"/>
      <c r="D3" s="302"/>
      <c r="E3" s="303"/>
      <c r="F3" s="356"/>
      <c r="G3" s="302"/>
      <c r="H3" s="411"/>
      <c r="I3" s="303"/>
      <c r="J3" s="304"/>
      <c r="K3" s="300"/>
      <c r="L3" s="310"/>
      <c r="N3" s="67"/>
      <c r="O3" s="299"/>
      <c r="P3" s="305"/>
      <c r="Q3" s="305"/>
      <c r="R3" s="300"/>
    </row>
    <row r="4" spans="1:18" x14ac:dyDescent="0.2">
      <c r="A4" s="306" t="s">
        <v>225</v>
      </c>
      <c r="B4" s="40"/>
      <c r="C4" s="307">
        <f>'[3]Aer Lingus'!$GK$19</f>
        <v>62</v>
      </c>
      <c r="D4" s="150">
        <f>'[3]Aer Lingus'!$FW$19</f>
        <v>0</v>
      </c>
      <c r="E4" s="309" t="e">
        <f>(C4-D4)/D4</f>
        <v>#DIV/0!</v>
      </c>
      <c r="F4" s="150">
        <f>SUM('[3]Aer Lingus'!$GB$19:$GK$19)</f>
        <v>228</v>
      </c>
      <c r="G4" s="150">
        <f>SUM('[3]Aer Lingus'!$FN$19:$FW$19)</f>
        <v>0</v>
      </c>
      <c r="H4" s="308" t="e">
        <f>(F4-G4)/G4</f>
        <v>#DIV/0!</v>
      </c>
      <c r="I4" s="309">
        <f>F4/$F$69</f>
        <v>7.2836236666656015E-4</v>
      </c>
      <c r="J4" s="306" t="s">
        <v>225</v>
      </c>
      <c r="K4" s="40"/>
      <c r="L4" s="307">
        <f>'[3]Aer Lingus'!$GK$41</f>
        <v>8231</v>
      </c>
      <c r="M4" s="150">
        <f>'[3]Aer Lingus'!$FW$41</f>
        <v>0</v>
      </c>
      <c r="N4" s="309" t="e">
        <f>(L4-M4)/M4</f>
        <v>#DIV/0!</v>
      </c>
      <c r="O4" s="307">
        <f>SUM('[3]Aer Lingus'!$GB$41:$GK$41)</f>
        <v>32430</v>
      </c>
      <c r="P4" s="150">
        <f>SUM('[3]Aer Lingus'!$FN$41:$FW$41)</f>
        <v>0</v>
      </c>
      <c r="Q4" s="308" t="e">
        <f>(O4-P4)/P4</f>
        <v>#DIV/0!</v>
      </c>
      <c r="R4" s="309">
        <f>O4/$O$69</f>
        <v>1.0027190599485624E-3</v>
      </c>
    </row>
    <row r="5" spans="1:18" x14ac:dyDescent="0.2">
      <c r="A5" s="38"/>
      <c r="B5" s="40"/>
      <c r="C5" s="310"/>
      <c r="D5" s="446"/>
      <c r="E5" s="67"/>
      <c r="F5" s="447"/>
      <c r="G5" s="446"/>
      <c r="H5" s="448"/>
      <c r="I5" s="67"/>
      <c r="J5" s="449"/>
      <c r="K5" s="40"/>
      <c r="L5" s="310"/>
      <c r="N5" s="67"/>
      <c r="O5" s="38"/>
      <c r="P5" s="450"/>
      <c r="Q5" s="450"/>
      <c r="R5" s="40"/>
    </row>
    <row r="6" spans="1:18" ht="14.1" customHeight="1" x14ac:dyDescent="0.2">
      <c r="A6" s="306" t="s">
        <v>101</v>
      </c>
      <c r="B6" s="40"/>
      <c r="C6" s="307">
        <f>SUM(C7:C9)</f>
        <v>230</v>
      </c>
      <c r="D6" s="150">
        <f>SUM(D7:D9)</f>
        <v>186</v>
      </c>
      <c r="E6" s="309">
        <f>(C6-D6)/D6</f>
        <v>0.23655913978494625</v>
      </c>
      <c r="F6" s="307">
        <f>SUM(F7:F9)</f>
        <v>1808</v>
      </c>
      <c r="G6" s="150">
        <f>SUM(G7:G9)</f>
        <v>1734</v>
      </c>
      <c r="H6" s="308">
        <f>(F6-G6)/G6</f>
        <v>4.2675893886966548E-2</v>
      </c>
      <c r="I6" s="309">
        <f>F6/$F$69</f>
        <v>5.7757857847944771E-3</v>
      </c>
      <c r="J6" s="306" t="s">
        <v>101</v>
      </c>
      <c r="K6" s="40"/>
      <c r="L6" s="307">
        <f>SUM(L7:L9)</f>
        <v>11943</v>
      </c>
      <c r="M6" s="150">
        <f>SUM(M7:M9)</f>
        <v>11354</v>
      </c>
      <c r="N6" s="309">
        <f>(L6-M6)/M6</f>
        <v>5.1875990840232519E-2</v>
      </c>
      <c r="O6" s="307">
        <f>SUM(O7:O9)</f>
        <v>102187</v>
      </c>
      <c r="P6" s="150">
        <f>SUM(P7:P9)</f>
        <v>100588</v>
      </c>
      <c r="Q6" s="308">
        <f>(O6-P6)/P6</f>
        <v>1.589652841293196E-2</v>
      </c>
      <c r="R6" s="309">
        <f>O6/$O$69</f>
        <v>3.1595699222622185E-3</v>
      </c>
    </row>
    <row r="7" spans="1:18" ht="14.1" customHeight="1" x14ac:dyDescent="0.2">
      <c r="A7" s="306"/>
      <c r="B7" s="364" t="s">
        <v>101</v>
      </c>
      <c r="C7" s="310">
        <f>+[3]AirCanada!$GK$19</f>
        <v>0</v>
      </c>
      <c r="D7" s="2">
        <f>+[3]AirCanada!$FW$19</f>
        <v>0</v>
      </c>
      <c r="E7" s="67" t="e">
        <f>(C7-D7)/D7</f>
        <v>#DIV/0!</v>
      </c>
      <c r="F7" s="254">
        <f>SUM([3]AirCanada!$GB$19:$GK$19)</f>
        <v>0</v>
      </c>
      <c r="G7" s="254">
        <f>SUM([3]AirCanada!$FN$19:$FW$19)</f>
        <v>0</v>
      </c>
      <c r="H7" s="369" t="e">
        <f>(F7-G7)/G7</f>
        <v>#DIV/0!</v>
      </c>
      <c r="I7" s="67">
        <f>F7/$F$69</f>
        <v>0</v>
      </c>
      <c r="J7" s="306"/>
      <c r="K7" s="364" t="s">
        <v>101</v>
      </c>
      <c r="L7" s="368">
        <f>+[3]AirCanada!$GK$41</f>
        <v>0</v>
      </c>
      <c r="M7" s="254">
        <f>+[3]AirCanada!$FW$41</f>
        <v>0</v>
      </c>
      <c r="N7" s="370" t="e">
        <f>(L7-M7)/M7</f>
        <v>#DIV/0!</v>
      </c>
      <c r="O7" s="368">
        <f>SUM([3]AirCanada!$GB$41:$GK$41)</f>
        <v>0</v>
      </c>
      <c r="P7" s="254">
        <f>SUM([3]AirCanada!$FN$41:$FW$41)</f>
        <v>0</v>
      </c>
      <c r="Q7" s="369" t="e">
        <f>(O7-P7)/P7</f>
        <v>#DIV/0!</v>
      </c>
      <c r="R7" s="370">
        <f>O7/$O$69</f>
        <v>0</v>
      </c>
    </row>
    <row r="8" spans="1:18" ht="14.1" customHeight="1" x14ac:dyDescent="0.2">
      <c r="A8" s="306"/>
      <c r="B8" s="364" t="s">
        <v>170</v>
      </c>
      <c r="C8" s="310">
        <f>'[3]Air Georgian'!$GK$19</f>
        <v>0</v>
      </c>
      <c r="D8" s="2">
        <f>'[3]Air Georgian'!$FW$19</f>
        <v>0</v>
      </c>
      <c r="E8" s="67" t="e">
        <f>(C8-D8)/D8</f>
        <v>#DIV/0!</v>
      </c>
      <c r="F8" s="254">
        <f>SUM('[3]Air Georgian'!$GB$19:$GK$19)</f>
        <v>0</v>
      </c>
      <c r="G8" s="254">
        <f>SUM('[3]Air Georgian'!$FN$19:$FW$19)</f>
        <v>0</v>
      </c>
      <c r="H8" s="369" t="e">
        <f>(F8-G8)/G8</f>
        <v>#DIV/0!</v>
      </c>
      <c r="I8" s="67">
        <f>F8/$F$69</f>
        <v>0</v>
      </c>
      <c r="J8" s="306"/>
      <c r="K8" s="364" t="s">
        <v>170</v>
      </c>
      <c r="L8" s="310">
        <f>'[3]Air Georgian'!$GK$41</f>
        <v>0</v>
      </c>
      <c r="M8" s="2">
        <f>'[3]Air Georgian'!$FW$41</f>
        <v>0</v>
      </c>
      <c r="N8" s="67" t="e">
        <f>(L8-M8)/M8</f>
        <v>#DIV/0!</v>
      </c>
      <c r="O8" s="310">
        <f>SUM('[3]Air Georgian'!$GB$41:$GK$41)</f>
        <v>0</v>
      </c>
      <c r="P8" s="2">
        <f>SUM('[3]Air Georgian'!$FN$41:$FW$41)</f>
        <v>0</v>
      </c>
      <c r="Q8" s="3" t="e">
        <f>(O8-P8)/P8</f>
        <v>#DIV/0!</v>
      </c>
      <c r="R8" s="67">
        <f>O8/$O$69</f>
        <v>0</v>
      </c>
    </row>
    <row r="9" spans="1:18" ht="14.1" customHeight="1" x14ac:dyDescent="0.2">
      <c r="A9" s="306"/>
      <c r="B9" s="364" t="s">
        <v>200</v>
      </c>
      <c r="C9" s="310">
        <f>'[3]Sky Regional'!$GK$19</f>
        <v>230</v>
      </c>
      <c r="D9" s="2">
        <f>'[3]Sky Regional'!$FW$19</f>
        <v>186</v>
      </c>
      <c r="E9" s="67">
        <f>(C9-D9)/D9</f>
        <v>0.23655913978494625</v>
      </c>
      <c r="F9" s="254">
        <f>SUM('[3]Sky Regional'!$GB$19:$GK$19)</f>
        <v>1808</v>
      </c>
      <c r="G9" s="254">
        <f>SUM('[3]Sky Regional'!$FN$19:$FW$19)</f>
        <v>1734</v>
      </c>
      <c r="H9" s="369">
        <f>(F9-G9)/G9</f>
        <v>4.2675893886966548E-2</v>
      </c>
      <c r="I9" s="67">
        <f>F9/$F$69</f>
        <v>5.7757857847944771E-3</v>
      </c>
      <c r="J9" s="306"/>
      <c r="K9" s="364" t="s">
        <v>200</v>
      </c>
      <c r="L9" s="310">
        <f>'[3]Sky Regional'!$GK$41</f>
        <v>11943</v>
      </c>
      <c r="M9" s="2">
        <f>'[3]Sky Regional'!$FW$41</f>
        <v>11354</v>
      </c>
      <c r="N9" s="67">
        <f>(L9-M9)/M9</f>
        <v>5.1875990840232519E-2</v>
      </c>
      <c r="O9" s="310">
        <f>SUM('[3]Sky Regional'!$GB$41:$GK$41)</f>
        <v>102187</v>
      </c>
      <c r="P9" s="2">
        <f>SUM('[3]Sky Regional'!$FN$41:$FW$41)</f>
        <v>100588</v>
      </c>
      <c r="Q9" s="3">
        <f>(O9-P9)/P9</f>
        <v>1.589652841293196E-2</v>
      </c>
      <c r="R9" s="67">
        <f>O9/$O$69</f>
        <v>3.1595699222622185E-3</v>
      </c>
    </row>
    <row r="10" spans="1:18" ht="14.1" customHeight="1" x14ac:dyDescent="0.2">
      <c r="A10" s="306"/>
      <c r="B10" s="40"/>
      <c r="C10" s="307"/>
      <c r="D10" s="150"/>
      <c r="E10" s="309"/>
      <c r="F10" s="150"/>
      <c r="G10" s="150"/>
      <c r="H10" s="308"/>
      <c r="I10" s="309"/>
      <c r="J10" s="306"/>
      <c r="K10" s="40"/>
      <c r="L10" s="310"/>
      <c r="N10" s="67"/>
      <c r="O10" s="310"/>
      <c r="P10" s="2"/>
      <c r="Q10" s="3"/>
      <c r="R10" s="67"/>
    </row>
    <row r="11" spans="1:18" ht="14.1" customHeight="1" x14ac:dyDescent="0.2">
      <c r="A11" s="306" t="s">
        <v>184</v>
      </c>
      <c r="B11" s="40"/>
      <c r="C11" s="307">
        <f>'[3]Air Choice One'!$GK$19</f>
        <v>216</v>
      </c>
      <c r="D11" s="150">
        <f>'[3]Air Choice One'!$FW$19</f>
        <v>202</v>
      </c>
      <c r="E11" s="309">
        <f>(C11-D11)/D11</f>
        <v>6.9306930693069313E-2</v>
      </c>
      <c r="F11" s="150">
        <f>SUM('[3]Air Choice One'!$GB$19:$GK$19)</f>
        <v>2024</v>
      </c>
      <c r="G11" s="150">
        <f>SUM('[3]Air Choice One'!$FN$19:$FW$19)</f>
        <v>1974</v>
      </c>
      <c r="H11" s="308">
        <f>(F11-G11)/G11</f>
        <v>2.5329280648429583E-2</v>
      </c>
      <c r="I11" s="309">
        <f>F11/$F$69</f>
        <v>6.4658132900575344E-3</v>
      </c>
      <c r="J11" s="306" t="s">
        <v>184</v>
      </c>
      <c r="K11" s="40"/>
      <c r="L11" s="307">
        <f>'[3]Air Choice One'!$GK$41</f>
        <v>889</v>
      </c>
      <c r="M11" s="150">
        <f>'[3]Air Choice One'!$FW$41</f>
        <v>850</v>
      </c>
      <c r="N11" s="309">
        <f>(L11-M11)/M11</f>
        <v>4.5882352941176471E-2</v>
      </c>
      <c r="O11" s="307">
        <f>SUM('[3]Air Choice One'!$GB$41:$GK$41)</f>
        <v>8653</v>
      </c>
      <c r="P11" s="150">
        <f>SUM('[3]Air Choice One'!$FN$41:$FW$41)</f>
        <v>8324</v>
      </c>
      <c r="Q11" s="308">
        <f>(O11-P11)/P11</f>
        <v>3.9524267179240749E-2</v>
      </c>
      <c r="R11" s="309">
        <f>O11/$O$69</f>
        <v>2.6754634676950077E-4</v>
      </c>
    </row>
    <row r="12" spans="1:18" ht="14.1" customHeight="1" x14ac:dyDescent="0.2">
      <c r="A12" s="306"/>
      <c r="B12" s="40"/>
      <c r="C12" s="307"/>
      <c r="D12" s="150"/>
      <c r="E12" s="309"/>
      <c r="F12" s="150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161</v>
      </c>
      <c r="B13" s="40"/>
      <c r="C13" s="307">
        <f>'[3]Air France'!$GK$19</f>
        <v>0</v>
      </c>
      <c r="D13" s="150">
        <f>'[3]Air France'!$FW$19</f>
        <v>0</v>
      </c>
      <c r="E13" s="309" t="e">
        <f>(C13-D13)/D13</f>
        <v>#DIV/0!</v>
      </c>
      <c r="F13" s="150">
        <f>SUM('[3]Air France'!$GB$19:$GK$19)</f>
        <v>280</v>
      </c>
      <c r="G13" s="150">
        <f>SUM('[3]Air France'!$FN$19:$FW$19)</f>
        <v>252</v>
      </c>
      <c r="H13" s="308">
        <f>(F13-G13)/G13</f>
        <v>0.1111111111111111</v>
      </c>
      <c r="I13" s="309">
        <f>F13/$F$69</f>
        <v>8.9448009941507395E-4</v>
      </c>
      <c r="J13" s="306" t="s">
        <v>161</v>
      </c>
      <c r="K13" s="40"/>
      <c r="L13" s="307">
        <f>'[3]Air France'!$GK$41</f>
        <v>0</v>
      </c>
      <c r="M13" s="150">
        <f>'[3]Air France'!$FW$41</f>
        <v>0</v>
      </c>
      <c r="N13" s="309" t="e">
        <f>(L13-M13)/M13</f>
        <v>#DIV/0!</v>
      </c>
      <c r="O13" s="307">
        <f>SUM('[3]Air France'!$GB$41:$GK$41)</f>
        <v>71946</v>
      </c>
      <c r="P13" s="150">
        <f>SUM('[3]Air France'!$FN$41:$FW$41)</f>
        <v>56040</v>
      </c>
      <c r="Q13" s="308">
        <f>(O13-P13)/P13</f>
        <v>0.28383297644539612</v>
      </c>
      <c r="R13" s="309">
        <f>O13/$O$69</f>
        <v>2.2245336258729345E-3</v>
      </c>
    </row>
    <row r="14" spans="1:18" ht="14.1" customHeight="1" x14ac:dyDescent="0.2">
      <c r="A14" s="306"/>
      <c r="B14" s="40"/>
      <c r="C14" s="307"/>
      <c r="D14" s="150"/>
      <c r="E14" s="309"/>
      <c r="F14" s="150"/>
      <c r="G14" s="150"/>
      <c r="H14" s="308"/>
      <c r="I14" s="309"/>
      <c r="J14" s="306"/>
      <c r="K14" s="40"/>
      <c r="L14" s="310"/>
      <c r="N14" s="67"/>
      <c r="O14" s="310"/>
      <c r="P14" s="2"/>
      <c r="Q14" s="3"/>
      <c r="R14" s="67"/>
    </row>
    <row r="15" spans="1:18" ht="14.1" customHeight="1" x14ac:dyDescent="0.2">
      <c r="A15" s="306" t="s">
        <v>131</v>
      </c>
      <c r="B15" s="40"/>
      <c r="C15" s="307">
        <f>SUM(C16:C18)</f>
        <v>248</v>
      </c>
      <c r="D15" s="150">
        <f>SUM(D16:D18)</f>
        <v>248</v>
      </c>
      <c r="E15" s="309">
        <f>(C15-D15)/D15</f>
        <v>0</v>
      </c>
      <c r="F15" s="150">
        <f>SUM(F16:F18)</f>
        <v>2669</v>
      </c>
      <c r="G15" s="150">
        <f>SUM(G16:G18)</f>
        <v>3002</v>
      </c>
      <c r="H15" s="308">
        <f>(F15-G15)/G15</f>
        <v>-0.11092604930046636</v>
      </c>
      <c r="I15" s="309">
        <f>F15/$F$69</f>
        <v>8.526312090495829E-3</v>
      </c>
      <c r="J15" s="306" t="s">
        <v>131</v>
      </c>
      <c r="K15" s="40"/>
      <c r="L15" s="307">
        <f>SUM(L16:L18)</f>
        <v>26390</v>
      </c>
      <c r="M15" s="150">
        <f>SUM(M16:M18)</f>
        <v>27841</v>
      </c>
      <c r="N15" s="309">
        <f>(L15-M15)/M15</f>
        <v>-5.2117380841205416E-2</v>
      </c>
      <c r="O15" s="307">
        <f>SUM(O16:O18)</f>
        <v>288685</v>
      </c>
      <c r="P15" s="150">
        <f>SUM(P16:P18)</f>
        <v>301439</v>
      </c>
      <c r="Q15" s="308">
        <f>(O15-P15)/P15</f>
        <v>-4.2310384522241645E-2</v>
      </c>
      <c r="R15" s="309">
        <f>O15/$O$69</f>
        <v>8.9259929639608614E-3</v>
      </c>
    </row>
    <row r="16" spans="1:18" ht="14.1" customHeight="1" x14ac:dyDescent="0.2">
      <c r="A16" s="306"/>
      <c r="B16" s="364" t="s">
        <v>131</v>
      </c>
      <c r="C16" s="368">
        <f>[3]Alaska!$GK$19</f>
        <v>186</v>
      </c>
      <c r="D16" s="254">
        <f>[3]Alaska!$FW$19</f>
        <v>126</v>
      </c>
      <c r="E16" s="370">
        <f>(C16-D16)/D16</f>
        <v>0.47619047619047616</v>
      </c>
      <c r="F16" s="254">
        <f>SUM([3]Alaska!$GB$19:$GK$19)</f>
        <v>1931</v>
      </c>
      <c r="G16" s="254">
        <f>SUM([3]Alaska!$FN$19:$FW$19)</f>
        <v>1194</v>
      </c>
      <c r="H16" s="369">
        <f>(F16-G16)/G16</f>
        <v>0.61725293132328307</v>
      </c>
      <c r="I16" s="370">
        <f>F16/$F$69</f>
        <v>6.1687181141803849E-3</v>
      </c>
      <c r="J16" s="306"/>
      <c r="K16" s="364" t="s">
        <v>131</v>
      </c>
      <c r="L16" s="368">
        <f>[3]Alaska!$GK$41</f>
        <v>22019</v>
      </c>
      <c r="M16" s="254">
        <f>[3]Alaska!$FW$41</f>
        <v>19950</v>
      </c>
      <c r="N16" s="370">
        <f>(L16-M16)/M16</f>
        <v>0.10370927318295739</v>
      </c>
      <c r="O16" s="368">
        <f>SUM([3]Alaska!$GB$41:$GK$41)</f>
        <v>238976</v>
      </c>
      <c r="P16" s="254">
        <f>SUM([3]Alaska!$FN$41:$FW$41)</f>
        <v>183723</v>
      </c>
      <c r="Q16" s="369">
        <f>(O16-P16)/P16</f>
        <v>0.30074078912275543</v>
      </c>
      <c r="R16" s="370">
        <f>O16/$O$69</f>
        <v>7.3890160367026713E-3</v>
      </c>
    </row>
    <row r="17" spans="1:20" ht="14.1" customHeight="1" x14ac:dyDescent="0.2">
      <c r="A17" s="306"/>
      <c r="B17" s="364" t="s">
        <v>100</v>
      </c>
      <c r="C17" s="310">
        <f>'[3]Sky West_AS'!$GK$19</f>
        <v>62</v>
      </c>
      <c r="D17" s="2">
        <f>'[3]Sky West_AS'!$FW$19</f>
        <v>0</v>
      </c>
      <c r="E17" s="67" t="e">
        <f>(C17-D17)/D17</f>
        <v>#DIV/0!</v>
      </c>
      <c r="F17" s="2">
        <f>SUM('[3]Sky West_AS'!$GB$19:$GK$19)</f>
        <v>726</v>
      </c>
      <c r="G17" s="2">
        <f>SUM('[3]Sky West_AS'!$FN$19:$FW$19)</f>
        <v>694</v>
      </c>
      <c r="H17" s="3">
        <f>(F17-G17)/G17</f>
        <v>4.6109510086455328E-2</v>
      </c>
      <c r="I17" s="67">
        <f>F17/$F$69</f>
        <v>2.3192591149119417E-3</v>
      </c>
      <c r="J17" s="306"/>
      <c r="K17" s="364" t="s">
        <v>100</v>
      </c>
      <c r="L17" s="310">
        <f>'[3]Sky West_AS'!$GK$41</f>
        <v>4371</v>
      </c>
      <c r="M17" s="2">
        <f>'[3]Sky West_AS'!$FW$41</f>
        <v>0</v>
      </c>
      <c r="N17" s="67" t="e">
        <f>(L17-M17)/M17</f>
        <v>#DIV/0!</v>
      </c>
      <c r="O17" s="310">
        <f>SUM('[3]Sky West_AS'!$GB$41:$GK$41)</f>
        <v>48890</v>
      </c>
      <c r="P17" s="2">
        <f>SUM('[3]Sky West_AS'!$FN$41:$FW$41)</f>
        <v>45980</v>
      </c>
      <c r="Q17" s="3">
        <f>(O17-P17)/P17</f>
        <v>6.3288386254893428E-2</v>
      </c>
      <c r="R17" s="370">
        <f>O17/$O$69</f>
        <v>1.5116538649671666E-3</v>
      </c>
    </row>
    <row r="18" spans="1:20" ht="14.1" customHeight="1" x14ac:dyDescent="0.2">
      <c r="A18" s="306"/>
      <c r="B18" s="364" t="s">
        <v>201</v>
      </c>
      <c r="C18" s="310">
        <f>[3]Horizon_AS!$GK$19</f>
        <v>0</v>
      </c>
      <c r="D18" s="2">
        <f>[3]Horizon_AS!$FW$19</f>
        <v>122</v>
      </c>
      <c r="E18" s="67">
        <f>(C18-D18)/D18</f>
        <v>-1</v>
      </c>
      <c r="F18" s="2">
        <f>SUM([3]Horizon_AS!$GB$19:$GK$19)</f>
        <v>12</v>
      </c>
      <c r="G18" s="2">
        <f>SUM([3]Horizon_AS!$FN$19:$FW$19)</f>
        <v>1114</v>
      </c>
      <c r="H18" s="3">
        <f>(F18-G18)/G18</f>
        <v>-0.98922800718132853</v>
      </c>
      <c r="I18" s="67">
        <f>F18/$F$69</f>
        <v>3.833486140350317E-5</v>
      </c>
      <c r="J18" s="306"/>
      <c r="K18" s="364" t="s">
        <v>201</v>
      </c>
      <c r="L18" s="310">
        <f>[3]Horizon_AS!$GK$41</f>
        <v>0</v>
      </c>
      <c r="M18" s="2">
        <f>[3]Horizon_AS!$FW$41</f>
        <v>7891</v>
      </c>
      <c r="N18" s="67">
        <f>(L18-M18)/M18</f>
        <v>-1</v>
      </c>
      <c r="O18" s="310">
        <f>SUM([3]Horizon_AS!$GB$41:$GK$41)</f>
        <v>819</v>
      </c>
      <c r="P18" s="2">
        <f>SUM([3]Horizon_AS!$FN$41:$FW$41)</f>
        <v>71736</v>
      </c>
      <c r="Q18" s="3">
        <f>(O18-P18)/P18</f>
        <v>-0.98858313817330212</v>
      </c>
      <c r="R18" s="370">
        <f>O18/$O$69</f>
        <v>2.5323062291022897E-5</v>
      </c>
    </row>
    <row r="19" spans="1:20" ht="14.1" customHeight="1" x14ac:dyDescent="0.2">
      <c r="A19" s="306"/>
      <c r="B19" s="40"/>
      <c r="C19" s="307"/>
      <c r="D19" s="165"/>
      <c r="E19" s="309"/>
      <c r="F19" s="165"/>
      <c r="G19" s="165"/>
      <c r="H19" s="308"/>
      <c r="I19" s="309"/>
      <c r="J19" s="306"/>
      <c r="K19" s="40"/>
      <c r="L19" s="141"/>
      <c r="M19" s="97"/>
      <c r="N19" s="67"/>
      <c r="O19" s="141"/>
      <c r="P19" s="97"/>
      <c r="Q19" s="3"/>
      <c r="R19" s="67"/>
    </row>
    <row r="20" spans="1:20" ht="14.1" customHeight="1" x14ac:dyDescent="0.2">
      <c r="A20" s="306" t="s">
        <v>17</v>
      </c>
      <c r="B20" s="311"/>
      <c r="C20" s="307">
        <f>SUM(C21:C27)</f>
        <v>1714</v>
      </c>
      <c r="D20" s="150">
        <f>SUM(D21:D27)</f>
        <v>1807</v>
      </c>
      <c r="E20" s="309">
        <f t="shared" ref="E20:E27" si="0">(C20-D20)/D20</f>
        <v>-5.1466519092418374E-2</v>
      </c>
      <c r="F20" s="307">
        <f>SUM(F21:F27)</f>
        <v>16370</v>
      </c>
      <c r="G20" s="150">
        <f>SUM(G21:G27)</f>
        <v>17371</v>
      </c>
      <c r="H20" s="308">
        <f t="shared" ref="H20:H27" si="1">(F20-G20)/G20</f>
        <v>-5.7624776927062346E-2</v>
      </c>
      <c r="I20" s="309">
        <f t="shared" ref="I20:I27" si="2">F20/$F$69</f>
        <v>5.2295140097945572E-2</v>
      </c>
      <c r="J20" s="306" t="s">
        <v>17</v>
      </c>
      <c r="K20" s="311"/>
      <c r="L20" s="307">
        <f>SUM(L21:L27)</f>
        <v>178870</v>
      </c>
      <c r="M20" s="150">
        <f>SUM(M21:M27)</f>
        <v>186153</v>
      </c>
      <c r="N20" s="309">
        <f t="shared" ref="N20:N27" si="3">(L20-M20)/M20</f>
        <v>-3.9123731554151692E-2</v>
      </c>
      <c r="O20" s="307">
        <f>SUM(O21:O27)</f>
        <v>1728975</v>
      </c>
      <c r="P20" s="150">
        <f>SUM(P21:P27)</f>
        <v>1789843</v>
      </c>
      <c r="Q20" s="308">
        <f t="shared" ref="Q20:Q27" si="4">(O20-P20)/P20</f>
        <v>-3.4007452050263627E-2</v>
      </c>
      <c r="R20" s="309">
        <f t="shared" ref="R20:R27" si="5">O20/$O$69</f>
        <v>5.345902518268781E-2</v>
      </c>
    </row>
    <row r="21" spans="1:20" ht="14.1" customHeight="1" x14ac:dyDescent="0.2">
      <c r="A21" s="38"/>
      <c r="B21" s="40" t="s">
        <v>17</v>
      </c>
      <c r="C21" s="310">
        <f>[3]American!$GK$19</f>
        <v>1228</v>
      </c>
      <c r="D21" s="2">
        <f>[3]American!$FW$19</f>
        <v>1267</v>
      </c>
      <c r="E21" s="67">
        <f t="shared" si="0"/>
        <v>-3.0781373322809787E-2</v>
      </c>
      <c r="F21" s="2">
        <f>SUM([3]American!$GB$19:$GK$19)</f>
        <v>11908</v>
      </c>
      <c r="G21" s="2">
        <f>SUM([3]American!$FN$19:$FW$19)</f>
        <v>12055</v>
      </c>
      <c r="H21" s="3">
        <f t="shared" si="1"/>
        <v>-1.2194110327664869E-2</v>
      </c>
      <c r="I21" s="67">
        <f t="shared" si="2"/>
        <v>3.8040960799409641E-2</v>
      </c>
      <c r="J21" s="38"/>
      <c r="K21" s="40" t="s">
        <v>17</v>
      </c>
      <c r="L21" s="310">
        <f>[3]American!$GK$41</f>
        <v>151617</v>
      </c>
      <c r="M21" s="2">
        <f>[3]American!$FW$41</f>
        <v>154703</v>
      </c>
      <c r="N21" s="67">
        <f t="shared" si="3"/>
        <v>-1.9947900170003169E-2</v>
      </c>
      <c r="O21" s="310">
        <f>SUM([3]American!$GB$41:$GK$41)</f>
        <v>1472844</v>
      </c>
      <c r="P21" s="2">
        <f>SUM([3]American!$FN$41:$FW$41)</f>
        <v>1487652</v>
      </c>
      <c r="Q21" s="3">
        <f t="shared" si="4"/>
        <v>-9.9539408410031383E-3</v>
      </c>
      <c r="R21" s="67">
        <f t="shared" si="5"/>
        <v>4.5539585295432637E-2</v>
      </c>
    </row>
    <row r="22" spans="1:20" ht="14.1" customHeight="1" x14ac:dyDescent="0.2">
      <c r="A22" s="38"/>
      <c r="B22" s="364" t="s">
        <v>171</v>
      </c>
      <c r="C22" s="310">
        <f>'[3]American Eagle'!$GK$19</f>
        <v>8</v>
      </c>
      <c r="D22" s="2">
        <f>'[3]American Eagle'!$FW$19</f>
        <v>12</v>
      </c>
      <c r="E22" s="67">
        <f t="shared" si="0"/>
        <v>-0.33333333333333331</v>
      </c>
      <c r="F22" s="2">
        <f>SUM('[3]American Eagle'!$GB$19:$GK$19)</f>
        <v>840</v>
      </c>
      <c r="G22" s="2">
        <f>SUM('[3]American Eagle'!$FN$19:$FW$19)</f>
        <v>390</v>
      </c>
      <c r="H22" s="3">
        <f t="shared" si="1"/>
        <v>1.1538461538461537</v>
      </c>
      <c r="I22" s="67">
        <f t="shared" si="2"/>
        <v>2.6834402982452215E-3</v>
      </c>
      <c r="J22" s="38"/>
      <c r="K22" s="364" t="s">
        <v>171</v>
      </c>
      <c r="L22" s="310">
        <f>'[3]American Eagle'!$GK$41</f>
        <v>486</v>
      </c>
      <c r="M22" s="2">
        <f>'[3]American Eagle'!$FW$41</f>
        <v>459</v>
      </c>
      <c r="N22" s="67">
        <f t="shared" si="3"/>
        <v>5.8823529411764705E-2</v>
      </c>
      <c r="O22" s="310">
        <f>SUM('[3]American Eagle'!$GB$41:$GK$41)</f>
        <v>55198</v>
      </c>
      <c r="P22" s="2">
        <f>SUM('[3]American Eagle'!$FN$41:$FW$41)</f>
        <v>23484</v>
      </c>
      <c r="Q22" s="3">
        <f t="shared" si="4"/>
        <v>1.3504513711463124</v>
      </c>
      <c r="R22" s="67">
        <f t="shared" si="5"/>
        <v>1.7066940077410035E-3</v>
      </c>
    </row>
    <row r="23" spans="1:20" ht="14.1" customHeight="1" x14ac:dyDescent="0.2">
      <c r="A23" s="38"/>
      <c r="B23" s="364" t="s">
        <v>52</v>
      </c>
      <c r="C23" s="310">
        <f>[3]Republic!$GK$19</f>
        <v>478</v>
      </c>
      <c r="D23" s="2">
        <f>[3]Republic!$FW$19</f>
        <v>460</v>
      </c>
      <c r="E23" s="67">
        <f t="shared" si="0"/>
        <v>3.9130434782608699E-2</v>
      </c>
      <c r="F23" s="2">
        <f>SUM([3]Republic!$GB$19:$GK$19)</f>
        <v>3620</v>
      </c>
      <c r="G23" s="2">
        <f>SUM([3]Republic!$FN$19:$FW$19)</f>
        <v>4223</v>
      </c>
      <c r="H23" s="3">
        <f t="shared" si="1"/>
        <v>-0.14278948614728865</v>
      </c>
      <c r="I23" s="67">
        <f t="shared" si="2"/>
        <v>1.1564349856723456E-2</v>
      </c>
      <c r="J23" s="38"/>
      <c r="K23" s="312" t="s">
        <v>52</v>
      </c>
      <c r="L23" s="310">
        <f>[3]Republic!$GK$41</f>
        <v>26767</v>
      </c>
      <c r="M23" s="2">
        <f>[3]Republic!$FW$41</f>
        <v>27236</v>
      </c>
      <c r="N23" s="67">
        <f t="shared" si="3"/>
        <v>-1.7219856072844764E-2</v>
      </c>
      <c r="O23" s="310">
        <f>SUM([3]Republic!$GB$41:$GK$41)</f>
        <v>200891</v>
      </c>
      <c r="P23" s="2">
        <f>SUM([3]Republic!$FN$41:$FW$41)</f>
        <v>239678</v>
      </c>
      <c r="Q23" s="3">
        <f t="shared" si="4"/>
        <v>-0.16182962140872337</v>
      </c>
      <c r="R23" s="67">
        <f t="shared" si="5"/>
        <v>6.2114472609351417E-3</v>
      </c>
    </row>
    <row r="24" spans="1:20" ht="14.1" customHeight="1" x14ac:dyDescent="0.2">
      <c r="A24" s="38"/>
      <c r="B24" s="364" t="s">
        <v>188</v>
      </c>
      <c r="C24" s="310">
        <f>[3]PSA!$GK$19</f>
        <v>0</v>
      </c>
      <c r="D24" s="2">
        <f>[3]PSA!$FW$19</f>
        <v>0</v>
      </c>
      <c r="E24" s="67" t="e">
        <f t="shared" si="0"/>
        <v>#DIV/0!</v>
      </c>
      <c r="F24" s="2">
        <f>SUM([3]PSA!$GB$19:$GK$19)</f>
        <v>0</v>
      </c>
      <c r="G24" s="2">
        <f>SUM([3]PSA!$FN$19:$FW$19)</f>
        <v>178</v>
      </c>
      <c r="H24" s="3">
        <f t="shared" si="1"/>
        <v>-1</v>
      </c>
      <c r="I24" s="67">
        <f t="shared" si="2"/>
        <v>0</v>
      </c>
      <c r="J24" s="38"/>
      <c r="K24" s="364" t="s">
        <v>188</v>
      </c>
      <c r="L24" s="310">
        <f>[3]PSA!$GK$41</f>
        <v>0</v>
      </c>
      <c r="M24" s="2">
        <f>[3]PSA!$FW$41</f>
        <v>0</v>
      </c>
      <c r="N24" s="67" t="e">
        <f t="shared" si="3"/>
        <v>#DIV/0!</v>
      </c>
      <c r="O24" s="310">
        <f>SUM([3]PSA!$GB$41:$GK$41)</f>
        <v>0</v>
      </c>
      <c r="P24" s="2">
        <f>SUM([3]PSA!$FN$41:$FW$41)</f>
        <v>7565</v>
      </c>
      <c r="Q24" s="3">
        <f t="shared" si="4"/>
        <v>-1</v>
      </c>
      <c r="R24" s="67">
        <f t="shared" si="5"/>
        <v>0</v>
      </c>
    </row>
    <row r="25" spans="1:20" ht="14.1" customHeight="1" x14ac:dyDescent="0.2">
      <c r="A25" s="38"/>
      <c r="B25" s="364" t="s">
        <v>100</v>
      </c>
      <c r="C25" s="310">
        <f>'[3]Sky West_AA'!$GK$19</f>
        <v>0</v>
      </c>
      <c r="D25" s="2">
        <f>'[3]Sky West_AA'!$FW$19</f>
        <v>68</v>
      </c>
      <c r="E25" s="67">
        <f>(C25-D25)/D25</f>
        <v>-1</v>
      </c>
      <c r="F25" s="2">
        <f>SUM('[3]Sky West_AA'!$GB$19:$GK$19)</f>
        <v>0</v>
      </c>
      <c r="G25" s="2">
        <f>SUM('[3]Sky West_AA'!$FN$19:$FW$19)</f>
        <v>525</v>
      </c>
      <c r="H25" s="3">
        <f>(F25-G25)/G25</f>
        <v>-1</v>
      </c>
      <c r="I25" s="67">
        <f t="shared" si="2"/>
        <v>0</v>
      </c>
      <c r="J25" s="38"/>
      <c r="K25" s="364" t="s">
        <v>100</v>
      </c>
      <c r="L25" s="310">
        <f>'[3]Sky West_AA'!$GK$41</f>
        <v>0</v>
      </c>
      <c r="M25" s="2">
        <f>'[3]Sky West_AA'!$FW$41</f>
        <v>3755</v>
      </c>
      <c r="N25" s="67">
        <f>(L25-M25)/M25</f>
        <v>-1</v>
      </c>
      <c r="O25" s="310">
        <f>SUM('[3]Sky West_AA'!$GB$41:$GK$41)</f>
        <v>0</v>
      </c>
      <c r="P25" s="2">
        <f>SUM('[3]Sky West_AA'!$FN$41:$FW$41)</f>
        <v>31464</v>
      </c>
      <c r="Q25" s="3">
        <f>(O25-P25)/P25</f>
        <v>-1</v>
      </c>
      <c r="R25" s="370">
        <f t="shared" si="5"/>
        <v>0</v>
      </c>
    </row>
    <row r="26" spans="1:20" ht="14.1" customHeight="1" x14ac:dyDescent="0.2">
      <c r="A26" s="38"/>
      <c r="B26" s="364" t="s">
        <v>51</v>
      </c>
      <c r="C26" s="310">
        <f>[3]MESA!$GK$19</f>
        <v>0</v>
      </c>
      <c r="D26" s="2">
        <f>[3]MESA!$FW$19</f>
        <v>0</v>
      </c>
      <c r="E26" s="67" t="e">
        <f t="shared" si="0"/>
        <v>#DIV/0!</v>
      </c>
      <c r="F26" s="2">
        <f>SUM([3]MESA!$GB$19:$GK$19)</f>
        <v>0</v>
      </c>
      <c r="G26" s="2">
        <f>SUM([3]MESA!$FN$19:$FW$19)</f>
        <v>0</v>
      </c>
      <c r="H26" s="3" t="e">
        <f t="shared" si="1"/>
        <v>#DIV/0!</v>
      </c>
      <c r="I26" s="67">
        <f t="shared" si="2"/>
        <v>0</v>
      </c>
      <c r="J26" s="38"/>
      <c r="K26" s="364" t="s">
        <v>51</v>
      </c>
      <c r="L26" s="310">
        <f>[3]MESA!$GK$41</f>
        <v>0</v>
      </c>
      <c r="M26" s="2">
        <f>[3]MESA!$FW$41</f>
        <v>0</v>
      </c>
      <c r="N26" s="67" t="e">
        <f t="shared" si="3"/>
        <v>#DIV/0!</v>
      </c>
      <c r="O26" s="310">
        <f>SUM([3]MESA!$GB$41:$GK$41)</f>
        <v>0</v>
      </c>
      <c r="P26" s="2">
        <f>SUM([3]MESA!$FN$41:$FW$41)</f>
        <v>0</v>
      </c>
      <c r="Q26" s="3" t="e">
        <f t="shared" si="4"/>
        <v>#DIV/0!</v>
      </c>
      <c r="R26" s="67">
        <f t="shared" si="5"/>
        <v>0</v>
      </c>
    </row>
    <row r="27" spans="1:20" ht="14.1" customHeight="1" x14ac:dyDescent="0.2">
      <c r="A27" s="38"/>
      <c r="B27" s="364" t="s">
        <v>50</v>
      </c>
      <c r="C27" s="310">
        <f>'[3]Air Wisconsin'!$GK$19</f>
        <v>0</v>
      </c>
      <c r="D27" s="2">
        <f>'[3]Air Wisconsin'!$FW$19</f>
        <v>0</v>
      </c>
      <c r="E27" s="67" t="e">
        <f t="shared" si="0"/>
        <v>#DIV/0!</v>
      </c>
      <c r="F27" s="2">
        <f>SUM('[3]Air Wisconsin'!$GB$19:$GK$19)</f>
        <v>2</v>
      </c>
      <c r="G27" s="2">
        <f>SUM('[3]Air Wisconsin'!$FN$19:$FW$19)</f>
        <v>0</v>
      </c>
      <c r="H27" s="352" t="e">
        <f t="shared" si="1"/>
        <v>#DIV/0!</v>
      </c>
      <c r="I27" s="67">
        <f t="shared" si="2"/>
        <v>6.3891435672505275E-6</v>
      </c>
      <c r="J27" s="38"/>
      <c r="K27" s="312" t="s">
        <v>50</v>
      </c>
      <c r="L27" s="310">
        <f>'[3]Air Wisconsin'!$GK$41</f>
        <v>0</v>
      </c>
      <c r="M27" s="2">
        <f>'[3]Air Wisconsin'!$FW$41</f>
        <v>0</v>
      </c>
      <c r="N27" s="67" t="e">
        <f t="shared" si="3"/>
        <v>#DIV/0!</v>
      </c>
      <c r="O27" s="310">
        <f>SUM('[3]Air Wisconsin'!$GB$41:$GK$41)</f>
        <v>42</v>
      </c>
      <c r="P27" s="2">
        <f>SUM('[3]Air Wisconsin'!$FN$41:$FW$41)</f>
        <v>0</v>
      </c>
      <c r="Q27" s="3" t="e">
        <f t="shared" si="4"/>
        <v>#DIV/0!</v>
      </c>
      <c r="R27" s="67">
        <f t="shared" si="5"/>
        <v>1.2986185790268153E-6</v>
      </c>
    </row>
    <row r="28" spans="1:20" ht="14.1" customHeight="1" x14ac:dyDescent="0.2">
      <c r="A28" s="38"/>
      <c r="B28" s="40"/>
      <c r="C28" s="310"/>
      <c r="E28" s="67"/>
      <c r="F28" s="2"/>
      <c r="I28" s="67"/>
      <c r="J28" s="38"/>
      <c r="K28" s="40"/>
      <c r="L28" s="310"/>
      <c r="N28" s="67"/>
      <c r="O28" s="310"/>
      <c r="P28" s="2"/>
      <c r="Q28" s="3"/>
      <c r="R28" s="67"/>
      <c r="T28" s="2"/>
    </row>
    <row r="29" spans="1:20" ht="14.1" customHeight="1" x14ac:dyDescent="0.2">
      <c r="A29" s="306" t="s">
        <v>185</v>
      </c>
      <c r="B29" s="40"/>
      <c r="C29" s="307">
        <f>'[3]Boutique Air'!$GK$19</f>
        <v>166</v>
      </c>
      <c r="D29" s="150">
        <f>'[3]Boutique Air'!$FW$19</f>
        <v>164</v>
      </c>
      <c r="E29" s="309">
        <f>(C29-D29)/D29</f>
        <v>1.2195121951219513E-2</v>
      </c>
      <c r="F29" s="150">
        <f>SUM('[3]Boutique Air'!$GB$19:$GK$19)</f>
        <v>1499</v>
      </c>
      <c r="G29" s="150">
        <f>SUM('[3]Boutique Air'!$FN$19:$FW$19)</f>
        <v>1524</v>
      </c>
      <c r="H29" s="308">
        <f>(F29-G29)/G29</f>
        <v>-1.6404199475065617E-2</v>
      </c>
      <c r="I29" s="309">
        <f>F29/$F$69</f>
        <v>4.7886631036542704E-3</v>
      </c>
      <c r="J29" s="306" t="s">
        <v>185</v>
      </c>
      <c r="K29" s="40"/>
      <c r="L29" s="307">
        <f>'[3]Boutique Air'!$GK$41</f>
        <v>958</v>
      </c>
      <c r="M29" s="150">
        <f>'[3]Boutique Air'!$FW$41</f>
        <v>933</v>
      </c>
      <c r="N29" s="309">
        <f>(L29-M29)/M29</f>
        <v>2.6795284030010719E-2</v>
      </c>
      <c r="O29" s="307">
        <f>SUM('[3]Boutique Air'!$GB$41:$GK$41)</f>
        <v>7880</v>
      </c>
      <c r="P29" s="150">
        <f>SUM('[3]Boutique Air'!$FN$41:$FW$41)</f>
        <v>8294</v>
      </c>
      <c r="Q29" s="308">
        <f>(O29-P29)/P29</f>
        <v>-4.9915601639739571E-2</v>
      </c>
      <c r="R29" s="309">
        <f>O29/$O$69</f>
        <v>2.4364558101741201E-4</v>
      </c>
      <c r="T29" s="2"/>
    </row>
    <row r="30" spans="1:20" ht="14.1" customHeight="1" x14ac:dyDescent="0.2">
      <c r="A30" s="38"/>
      <c r="B30" s="40"/>
      <c r="C30" s="310"/>
      <c r="E30" s="67"/>
      <c r="F30" s="2"/>
      <c r="I30" s="67"/>
      <c r="J30" s="38"/>
      <c r="K30" s="40"/>
      <c r="L30" s="310"/>
      <c r="N30" s="67"/>
      <c r="O30" s="310"/>
      <c r="P30" s="2"/>
      <c r="Q30" s="3"/>
      <c r="R30" s="67"/>
      <c r="T30" s="2"/>
    </row>
    <row r="31" spans="1:20" ht="14.1" customHeight="1" x14ac:dyDescent="0.2">
      <c r="A31" s="306" t="s">
        <v>167</v>
      </c>
      <c r="B31" s="40"/>
      <c r="C31" s="307">
        <f>[3]Condor!$GK$19</f>
        <v>0</v>
      </c>
      <c r="D31" s="150">
        <f>[3]Condor!$FW$19</f>
        <v>0</v>
      </c>
      <c r="E31" s="309" t="e">
        <f>(C31-D31)/D31</f>
        <v>#DIV/0!</v>
      </c>
      <c r="F31" s="150">
        <f>SUM([3]Condor!$GB$19:$GK$19)</f>
        <v>108</v>
      </c>
      <c r="G31" s="150">
        <f>SUM([3]Condor!$FN$19:$FW$19)</f>
        <v>121</v>
      </c>
      <c r="H31" s="308">
        <f>(F31-G31)/G31</f>
        <v>-0.10743801652892562</v>
      </c>
      <c r="I31" s="309">
        <f>F31/$F$69</f>
        <v>3.4501375263152852E-4</v>
      </c>
      <c r="J31" s="306" t="s">
        <v>167</v>
      </c>
      <c r="K31" s="40"/>
      <c r="L31" s="307">
        <f>[3]Condor!$GK$41</f>
        <v>0</v>
      </c>
      <c r="M31" s="150">
        <f>[3]Condor!$FW$41</f>
        <v>0</v>
      </c>
      <c r="N31" s="309" t="e">
        <f>(L31-M31)/M31</f>
        <v>#DIV/0!</v>
      </c>
      <c r="O31" s="307">
        <f>SUM([3]Condor!$GB$41:$GK$41)</f>
        <v>26102</v>
      </c>
      <c r="P31" s="150">
        <f>SUM([3]Condor!$FN$41:$FW$41)</f>
        <v>28840</v>
      </c>
      <c r="Q31" s="308">
        <f>(O31-P31)/P31</f>
        <v>-9.4937586685159503E-2</v>
      </c>
      <c r="R31" s="309">
        <f>O31/$O$69</f>
        <v>8.0706052737518884E-4</v>
      </c>
      <c r="T31" s="2"/>
    </row>
    <row r="32" spans="1:20" ht="14.1" customHeight="1" x14ac:dyDescent="0.2">
      <c r="A32" s="38"/>
      <c r="B32" s="40"/>
      <c r="C32" s="310"/>
      <c r="E32" s="67"/>
      <c r="F32" s="2"/>
      <c r="I32" s="67"/>
      <c r="J32" s="38"/>
      <c r="K32" s="40"/>
      <c r="L32" s="310"/>
      <c r="N32" s="67"/>
      <c r="O32" s="310"/>
      <c r="P32" s="2"/>
      <c r="Q32" s="3"/>
      <c r="R32" s="67"/>
      <c r="T32" s="2"/>
    </row>
    <row r="33" spans="1:21" ht="14.1" customHeight="1" x14ac:dyDescent="0.2">
      <c r="A33" s="306" t="s">
        <v>18</v>
      </c>
      <c r="B33" s="311"/>
      <c r="C33" s="307">
        <f>SUM(C34:C40)</f>
        <v>23500</v>
      </c>
      <c r="D33" s="150">
        <f>SUM(D34:D40)</f>
        <v>23150</v>
      </c>
      <c r="E33" s="309">
        <f t="shared" ref="E33:E40" si="6">(C33-D33)/D33</f>
        <v>1.511879049676026E-2</v>
      </c>
      <c r="F33" s="165">
        <f>SUM(F34:F40)</f>
        <v>230390</v>
      </c>
      <c r="G33" s="165">
        <f>SUM(G34:G40)</f>
        <v>230102</v>
      </c>
      <c r="H33" s="308">
        <f>(F33-G33)/G33</f>
        <v>1.2516188472938088E-3</v>
      </c>
      <c r="I33" s="309">
        <f t="shared" ref="I33:I40" si="7">F33/$F$69</f>
        <v>0.73599739322942459</v>
      </c>
      <c r="J33" s="306" t="s">
        <v>18</v>
      </c>
      <c r="K33" s="311"/>
      <c r="L33" s="307">
        <f>SUM(L34:L40)</f>
        <v>2347949</v>
      </c>
      <c r="M33" s="150">
        <f>SUM(M34:M40)</f>
        <v>2236068</v>
      </c>
      <c r="N33" s="309">
        <f t="shared" ref="N33:N40" si="8">(L33-M33)/M33</f>
        <v>5.0034703774661592E-2</v>
      </c>
      <c r="O33" s="307">
        <f>SUM(O34:O40)</f>
        <v>23025266</v>
      </c>
      <c r="P33" s="150">
        <f>SUM(P34:P40)</f>
        <v>22224888</v>
      </c>
      <c r="Q33" s="308">
        <f t="shared" ref="Q33:Q40" si="9">(O33-P33)/P33</f>
        <v>3.6012689917717472E-2</v>
      </c>
      <c r="R33" s="309">
        <f t="shared" ref="R33:R40" si="10">O33/$O$69</f>
        <v>0.71192948130082001</v>
      </c>
      <c r="S33" s="353"/>
    </row>
    <row r="34" spans="1:21" ht="14.1" customHeight="1" x14ac:dyDescent="0.2">
      <c r="A34" s="38"/>
      <c r="B34" s="40" t="s">
        <v>18</v>
      </c>
      <c r="C34" s="310">
        <f>[3]Delta!$GK$19</f>
        <v>13373</v>
      </c>
      <c r="D34" s="2">
        <f>[3]Delta!$FW$19</f>
        <v>12655</v>
      </c>
      <c r="E34" s="67">
        <f t="shared" si="6"/>
        <v>5.6736467799288821E-2</v>
      </c>
      <c r="F34" s="2">
        <f>SUM([3]Delta!$GB$19:$GK$19)</f>
        <v>126530</v>
      </c>
      <c r="G34" s="2">
        <f>SUM([3]Delta!$FN$19:$FW$19)</f>
        <v>122161</v>
      </c>
      <c r="H34" s="3">
        <f t="shared" ref="H34:H40" si="11">(F34-G34)/G34</f>
        <v>3.576427828848814E-2</v>
      </c>
      <c r="I34" s="67">
        <f t="shared" si="7"/>
        <v>0.40420916778210464</v>
      </c>
      <c r="J34" s="38"/>
      <c r="K34" s="40" t="s">
        <v>18</v>
      </c>
      <c r="L34" s="310">
        <f>[3]Delta!$GK$41</f>
        <v>1842273</v>
      </c>
      <c r="M34" s="2">
        <f>[3]Delta!$FW$41</f>
        <v>1710446</v>
      </c>
      <c r="N34" s="67">
        <f t="shared" si="8"/>
        <v>7.7071711120959091E-2</v>
      </c>
      <c r="O34" s="310">
        <f>SUM([3]Delta!$GB$41:$GK$41)</f>
        <v>17638197</v>
      </c>
      <c r="P34" s="2">
        <f>SUM([3]Delta!$FN$41:$FW$41)</f>
        <v>16784834</v>
      </c>
      <c r="Q34" s="3">
        <f t="shared" si="9"/>
        <v>5.0841313056774945E-2</v>
      </c>
      <c r="R34" s="67">
        <f t="shared" si="10"/>
        <v>0.54536405535083421</v>
      </c>
      <c r="T34" s="2"/>
    </row>
    <row r="35" spans="1:21" ht="14.1" customHeight="1" x14ac:dyDescent="0.2">
      <c r="A35" s="38"/>
      <c r="B35" s="312" t="s">
        <v>120</v>
      </c>
      <c r="C35" s="310">
        <f>[3]Compass!$GK$19</f>
        <v>0</v>
      </c>
      <c r="D35" s="2">
        <f>[3]Compass!$FW$19</f>
        <v>0</v>
      </c>
      <c r="E35" s="67" t="e">
        <f t="shared" si="6"/>
        <v>#DIV/0!</v>
      </c>
      <c r="F35" s="2">
        <f>SUM([3]Compass!$GB$19:$GK$19)</f>
        <v>0</v>
      </c>
      <c r="G35" s="2">
        <f>SUM([3]Compass!$FN$19:$FW$19)</f>
        <v>2</v>
      </c>
      <c r="H35" s="3">
        <f t="shared" si="11"/>
        <v>-1</v>
      </c>
      <c r="I35" s="67">
        <f t="shared" si="7"/>
        <v>0</v>
      </c>
      <c r="J35" s="38"/>
      <c r="K35" s="312" t="s">
        <v>120</v>
      </c>
      <c r="L35" s="310">
        <f>[3]Compass!$GK$41</f>
        <v>0</v>
      </c>
      <c r="M35" s="2">
        <f>[3]Compass!$FW$41</f>
        <v>0</v>
      </c>
      <c r="N35" s="67" t="e">
        <f t="shared" si="8"/>
        <v>#DIV/0!</v>
      </c>
      <c r="O35" s="310">
        <f>SUM([3]Compass!$GB$41:$GK$41)</f>
        <v>0</v>
      </c>
      <c r="P35" s="2">
        <f>SUM([3]Compass!$FN$41:$FW$41)</f>
        <v>0</v>
      </c>
      <c r="Q35" s="3" t="e">
        <f t="shared" si="9"/>
        <v>#DIV/0!</v>
      </c>
      <c r="R35" s="67">
        <f t="shared" si="10"/>
        <v>0</v>
      </c>
      <c r="S35" s="2"/>
      <c r="T35" s="2"/>
    </row>
    <row r="36" spans="1:21" ht="14.1" customHeight="1" x14ac:dyDescent="0.2">
      <c r="A36" s="38"/>
      <c r="B36" s="40" t="s">
        <v>163</v>
      </c>
      <c r="C36" s="310">
        <f>[3]Pinnacle!$GK$19</f>
        <v>2485</v>
      </c>
      <c r="D36" s="2">
        <f>[3]Pinnacle!$FW$19</f>
        <v>1900</v>
      </c>
      <c r="E36" s="67">
        <f t="shared" si="6"/>
        <v>0.30789473684210528</v>
      </c>
      <c r="F36" s="2">
        <f>SUM([3]Pinnacle!$GB$19:$GK$19)</f>
        <v>22296</v>
      </c>
      <c r="G36" s="2">
        <f>SUM([3]Pinnacle!$FN$19:$FW$19)</f>
        <v>20340</v>
      </c>
      <c r="H36" s="3">
        <f t="shared" si="11"/>
        <v>9.6165191740412978E-2</v>
      </c>
      <c r="I36" s="67">
        <f t="shared" si="7"/>
        <v>7.1226172487708891E-2</v>
      </c>
      <c r="J36" s="38"/>
      <c r="K36" s="40" t="s">
        <v>163</v>
      </c>
      <c r="L36" s="310">
        <f>[3]Pinnacle!$GK$41</f>
        <v>152393</v>
      </c>
      <c r="M36" s="2">
        <f>[3]Pinnacle!$FW$41</f>
        <v>112526</v>
      </c>
      <c r="N36" s="67">
        <f t="shared" si="8"/>
        <v>0.35429145264205608</v>
      </c>
      <c r="O36" s="310">
        <f>SUM([3]Pinnacle!$GB$41:$GK$41)</f>
        <v>1366833</v>
      </c>
      <c r="P36" s="2">
        <f>SUM([3]Pinnacle!$FN$41:$FW$41)</f>
        <v>1198289</v>
      </c>
      <c r="Q36" s="3">
        <f t="shared" si="9"/>
        <v>0.14065388232721823</v>
      </c>
      <c r="R36" s="67">
        <f t="shared" si="10"/>
        <v>4.2261779243499026E-2</v>
      </c>
    </row>
    <row r="37" spans="1:21" ht="14.1" customHeight="1" x14ac:dyDescent="0.2">
      <c r="A37" s="38"/>
      <c r="B37" s="40" t="s">
        <v>159</v>
      </c>
      <c r="C37" s="310">
        <f>'[3]Go Jet'!$GK$19</f>
        <v>108</v>
      </c>
      <c r="D37" s="2">
        <f>'[3]Go Jet'!$FW$19</f>
        <v>222</v>
      </c>
      <c r="E37" s="67">
        <f t="shared" si="6"/>
        <v>-0.51351351351351349</v>
      </c>
      <c r="F37" s="2">
        <f>SUM('[3]Go Jet'!$GB$19:$GK$19)</f>
        <v>1708</v>
      </c>
      <c r="G37" s="2">
        <f>SUM('[3]Go Jet'!$FN$19:$FW$19)</f>
        <v>5274</v>
      </c>
      <c r="H37" s="3">
        <f>(F37-G37)/G37</f>
        <v>-0.67614713689799011</v>
      </c>
      <c r="I37" s="67">
        <f t="shared" si="7"/>
        <v>5.4563286064319505E-3</v>
      </c>
      <c r="J37" s="38"/>
      <c r="K37" s="40" t="s">
        <v>159</v>
      </c>
      <c r="L37" s="310">
        <f>'[3]Go Jet'!$GK$41</f>
        <v>6515</v>
      </c>
      <c r="M37" s="2">
        <f>'[3]Go Jet'!$FW$41</f>
        <v>13848</v>
      </c>
      <c r="N37" s="67">
        <f t="shared" si="8"/>
        <v>-0.52953495089543612</v>
      </c>
      <c r="O37" s="310">
        <f>SUM('[3]Go Jet'!$GB$41:$GK$41)</f>
        <v>99414</v>
      </c>
      <c r="P37" s="2">
        <f>SUM('[3]Go Jet'!$FN$41:$FW$41)</f>
        <v>312733</v>
      </c>
      <c r="Q37" s="3">
        <f>(O37-P37)/P37</f>
        <v>-0.68211221713090719</v>
      </c>
      <c r="R37" s="67">
        <f t="shared" si="10"/>
        <v>3.0738301765564718E-3</v>
      </c>
      <c r="S37" s="285"/>
      <c r="T37" s="193"/>
    </row>
    <row r="38" spans="1:21" ht="14.1" customHeight="1" x14ac:dyDescent="0.2">
      <c r="A38" s="38"/>
      <c r="B38" s="40" t="s">
        <v>100</v>
      </c>
      <c r="C38" s="310">
        <f>'[3]Sky West'!$GK$19</f>
        <v>7534</v>
      </c>
      <c r="D38" s="2">
        <f>'[3]Sky West'!$FW$19</f>
        <v>8373</v>
      </c>
      <c r="E38" s="67">
        <f t="shared" si="6"/>
        <v>-0.10020303356025319</v>
      </c>
      <c r="F38" s="2">
        <f>SUM('[3]Sky West'!$GB$19:$GK$19)</f>
        <v>79534</v>
      </c>
      <c r="G38" s="2">
        <f>SUM('[3]Sky West'!$FN$19:$FW$19)</f>
        <v>80895</v>
      </c>
      <c r="H38" s="3">
        <f t="shared" si="11"/>
        <v>-1.6824278385561529E-2</v>
      </c>
      <c r="I38" s="67">
        <f t="shared" si="7"/>
        <v>0.25407707223885173</v>
      </c>
      <c r="J38" s="38"/>
      <c r="K38" s="40" t="s">
        <v>100</v>
      </c>
      <c r="L38" s="310">
        <f>'[3]Sky West'!$GK$41</f>
        <v>346768</v>
      </c>
      <c r="M38" s="2">
        <f>'[3]Sky West'!$FW$41</f>
        <v>399248</v>
      </c>
      <c r="N38" s="67">
        <f t="shared" si="8"/>
        <v>-0.13144712058670299</v>
      </c>
      <c r="O38" s="310">
        <f>SUM('[3]Sky West'!$GB$41:$GK$41)</f>
        <v>3904188</v>
      </c>
      <c r="P38" s="2">
        <f>SUM('[3]Sky West'!$FN$41:$FW$41)</f>
        <v>3855621</v>
      </c>
      <c r="Q38" s="3">
        <f t="shared" si="9"/>
        <v>1.2596414429737777E-2</v>
      </c>
      <c r="R38" s="67">
        <f t="shared" si="10"/>
        <v>0.12071550173365581</v>
      </c>
    </row>
    <row r="39" spans="1:21" ht="14.1" customHeight="1" x14ac:dyDescent="0.2">
      <c r="A39" s="38"/>
      <c r="B39" s="40" t="s">
        <v>134</v>
      </c>
      <c r="C39" s="310">
        <f>'[3]Shuttle America_Delta'!$GK$19</f>
        <v>0</v>
      </c>
      <c r="D39" s="2">
        <f>'[3]Shuttle America_Delta'!$FW$19</f>
        <v>0</v>
      </c>
      <c r="E39" s="67" t="e">
        <f t="shared" si="6"/>
        <v>#DIV/0!</v>
      </c>
      <c r="F39" s="2">
        <f>SUM('[3]Shuttle America_Delta'!$GB$19:$GK$19)</f>
        <v>322</v>
      </c>
      <c r="G39" s="2">
        <f>SUM('[3]Shuttle America_Delta'!$FN$19:$FW$19)</f>
        <v>78</v>
      </c>
      <c r="H39" s="3">
        <f t="shared" si="11"/>
        <v>3.1282051282051282</v>
      </c>
      <c r="I39" s="67">
        <f t="shared" si="7"/>
        <v>1.0286521143273351E-3</v>
      </c>
      <c r="J39" s="38"/>
      <c r="K39" s="40" t="s">
        <v>134</v>
      </c>
      <c r="L39" s="310">
        <f>'[3]Shuttle America_Delta'!$GK$41</f>
        <v>0</v>
      </c>
      <c r="M39" s="2">
        <f>'[3]Shuttle America_Delta'!$FW$41</f>
        <v>0</v>
      </c>
      <c r="N39" s="67" t="e">
        <f t="shared" si="8"/>
        <v>#DIV/0!</v>
      </c>
      <c r="O39" s="310">
        <f>SUM('[3]Shuttle America_Delta'!$GB$41:$GK$41)</f>
        <v>16634</v>
      </c>
      <c r="P39" s="2">
        <f>SUM('[3]Shuttle America_Delta'!$FN$41:$FW$41)</f>
        <v>4612</v>
      </c>
      <c r="Q39" s="3">
        <f t="shared" si="9"/>
        <v>2.6066782307025154</v>
      </c>
      <c r="R39" s="67">
        <f t="shared" si="10"/>
        <v>5.1431479627457252E-4</v>
      </c>
    </row>
    <row r="40" spans="1:21" ht="14.1" customHeight="1" x14ac:dyDescent="0.2">
      <c r="A40" s="38"/>
      <c r="B40" s="364" t="s">
        <v>172</v>
      </c>
      <c r="C40" s="310">
        <f>'[3]Atlantic Southeast'!$GK$19</f>
        <v>0</v>
      </c>
      <c r="D40" s="2">
        <f>'[3]Atlantic Southeast'!$FW$19</f>
        <v>0</v>
      </c>
      <c r="E40" s="67" t="e">
        <f t="shared" si="6"/>
        <v>#DIV/0!</v>
      </c>
      <c r="F40" s="2">
        <f>SUM('[3]Atlantic Southeast'!$GB$19:$GK$19)</f>
        <v>0</v>
      </c>
      <c r="G40" s="2">
        <f>SUM('[3]Atlantic Southeast'!$FN$19:$FW$19)</f>
        <v>1352</v>
      </c>
      <c r="H40" s="3">
        <f t="shared" si="11"/>
        <v>-1</v>
      </c>
      <c r="I40" s="67">
        <f t="shared" si="7"/>
        <v>0</v>
      </c>
      <c r="J40" s="38"/>
      <c r="K40" s="364" t="s">
        <v>172</v>
      </c>
      <c r="L40" s="310">
        <f>'[3]Atlantic Southeast'!$GK$41</f>
        <v>0</v>
      </c>
      <c r="M40" s="2">
        <f>'[3]Atlantic Southeast'!$FW$41</f>
        <v>0</v>
      </c>
      <c r="N40" s="67" t="e">
        <f t="shared" si="8"/>
        <v>#DIV/0!</v>
      </c>
      <c r="O40" s="310">
        <f>SUM('[3]Atlantic Southeast'!$GB$41:$GK$41)</f>
        <v>0</v>
      </c>
      <c r="P40" s="2">
        <f>SUM('[3]Atlantic Southeast'!$FN$41:$FW$41)</f>
        <v>68799</v>
      </c>
      <c r="Q40" s="3">
        <f t="shared" si="9"/>
        <v>-1</v>
      </c>
      <c r="R40" s="67">
        <f t="shared" si="10"/>
        <v>0</v>
      </c>
      <c r="S40" s="284"/>
    </row>
    <row r="41" spans="1:21" ht="14.1" customHeight="1" x14ac:dyDescent="0.2">
      <c r="A41" s="38"/>
      <c r="B41" s="364"/>
      <c r="C41" s="310"/>
      <c r="E41" s="67"/>
      <c r="F41" s="2"/>
      <c r="I41" s="67"/>
      <c r="J41" s="38"/>
      <c r="K41" s="364"/>
      <c r="L41" s="310"/>
      <c r="N41" s="67"/>
      <c r="O41" s="310"/>
      <c r="P41" s="2"/>
      <c r="Q41" s="3"/>
      <c r="R41" s="67"/>
      <c r="S41" s="284"/>
    </row>
    <row r="42" spans="1:21" ht="14.1" customHeight="1" x14ac:dyDescent="0.2">
      <c r="A42" s="306" t="s">
        <v>47</v>
      </c>
      <c r="B42" s="40"/>
      <c r="C42" s="307">
        <f>[3]Frontier!$GK$19</f>
        <v>289</v>
      </c>
      <c r="D42" s="150">
        <f>[3]Frontier!$FW$19</f>
        <v>286</v>
      </c>
      <c r="E42" s="309">
        <f>(C42-D42)/D42</f>
        <v>1.048951048951049E-2</v>
      </c>
      <c r="F42" s="150">
        <f>SUM([3]Frontier!$GB$19:$GK$19)</f>
        <v>2756</v>
      </c>
      <c r="G42" s="150">
        <f>SUM([3]Frontier!$FN$19:$FW$19)</f>
        <v>2834</v>
      </c>
      <c r="H42" s="308">
        <f>(F42-G42)/G42</f>
        <v>-2.7522935779816515E-2</v>
      </c>
      <c r="I42" s="309">
        <f>F42/$F$69</f>
        <v>8.8042398356712268E-3</v>
      </c>
      <c r="J42" s="306" t="s">
        <v>47</v>
      </c>
      <c r="K42" s="40"/>
      <c r="L42" s="307">
        <f>[3]Frontier!$GK$41</f>
        <v>39928</v>
      </c>
      <c r="M42" s="150">
        <f>[3]Frontier!$FW$41</f>
        <v>40541</v>
      </c>
      <c r="N42" s="309">
        <f>(L42-M42)/M42</f>
        <v>-1.5120495301053255E-2</v>
      </c>
      <c r="O42" s="307">
        <f>SUM([3]Frontier!$GB$41:$GK$41)</f>
        <v>432333</v>
      </c>
      <c r="P42" s="150">
        <f>SUM([3]Frontier!$FN$41:$FW$41)</f>
        <v>414826</v>
      </c>
      <c r="Q42" s="308">
        <f>(O42-P42)/P42</f>
        <v>4.2203237019858932E-2</v>
      </c>
      <c r="R42" s="309">
        <f>O42/$O$69</f>
        <v>1.3367515860152383E-2</v>
      </c>
      <c r="S42" s="397"/>
      <c r="U42" s="2"/>
    </row>
    <row r="43" spans="1:21" ht="14.1" customHeight="1" x14ac:dyDescent="0.2">
      <c r="A43" s="306"/>
      <c r="B43" s="40"/>
      <c r="C43" s="307"/>
      <c r="D43" s="150"/>
      <c r="E43" s="309"/>
      <c r="F43" s="150"/>
      <c r="G43" s="150"/>
      <c r="H43" s="308"/>
      <c r="I43" s="309"/>
      <c r="J43" s="306"/>
      <c r="K43" s="40"/>
      <c r="L43" s="310"/>
      <c r="N43" s="67"/>
      <c r="O43" s="310"/>
      <c r="P43" s="2"/>
      <c r="Q43" s="3"/>
      <c r="R43" s="67"/>
      <c r="S43" s="397"/>
    </row>
    <row r="44" spans="1:21" ht="14.1" customHeight="1" x14ac:dyDescent="0.2">
      <c r="A44" s="306" t="s">
        <v>48</v>
      </c>
      <c r="B44" s="40"/>
      <c r="C44" s="307">
        <f>[3]Icelandair!$GK$19</f>
        <v>50</v>
      </c>
      <c r="D44" s="150">
        <f>[3]Icelandair!$FW$19</f>
        <v>48</v>
      </c>
      <c r="E44" s="309">
        <f>(C44-D44)/D44</f>
        <v>4.1666666666666664E-2</v>
      </c>
      <c r="F44" s="150">
        <f>SUM([3]Icelandair!$GB$19:$GK$19)</f>
        <v>442</v>
      </c>
      <c r="G44" s="150">
        <f>SUM([3]Icelandair!$FN$19:$FW$19)</f>
        <v>564</v>
      </c>
      <c r="H44" s="308">
        <f>(F44-G44)/G44</f>
        <v>-0.21631205673758866</v>
      </c>
      <c r="I44" s="309">
        <f>F44/$F$69</f>
        <v>1.4120007283623666E-3</v>
      </c>
      <c r="J44" s="306" t="s">
        <v>48</v>
      </c>
      <c r="K44" s="40"/>
      <c r="L44" s="307">
        <f>[3]Icelandair!$GK$41</f>
        <v>6637</v>
      </c>
      <c r="M44" s="150">
        <f>[3]Icelandair!$FW$41</f>
        <v>7045</v>
      </c>
      <c r="N44" s="309">
        <f>(L44-M44)/M44</f>
        <v>-5.7913413768630233E-2</v>
      </c>
      <c r="O44" s="307">
        <f>SUM([3]Icelandair!$GB$41:$GK$41)</f>
        <v>74580</v>
      </c>
      <c r="P44" s="150">
        <f>SUM([3]Icelandair!$FN$41:$FW$41)</f>
        <v>81958</v>
      </c>
      <c r="Q44" s="308">
        <f>(O44-P44)/P44</f>
        <v>-9.0021718441152782E-2</v>
      </c>
      <c r="R44" s="309">
        <f>O44/$O$69</f>
        <v>2.305975562471902E-3</v>
      </c>
    </row>
    <row r="45" spans="1:21" ht="14.1" customHeight="1" x14ac:dyDescent="0.2">
      <c r="A45" s="306"/>
      <c r="B45" s="40"/>
      <c r="C45" s="307"/>
      <c r="D45" s="150"/>
      <c r="E45" s="309"/>
      <c r="F45" s="150"/>
      <c r="G45" s="150"/>
      <c r="H45" s="308"/>
      <c r="I45" s="309"/>
      <c r="J45" s="306"/>
      <c r="K45" s="40"/>
      <c r="L45" s="310"/>
      <c r="N45" s="67"/>
      <c r="O45" s="310"/>
      <c r="P45" s="2"/>
      <c r="Q45" s="3"/>
      <c r="R45" s="67"/>
    </row>
    <row r="46" spans="1:21" ht="14.1" customHeight="1" x14ac:dyDescent="0.2">
      <c r="A46" s="306" t="s">
        <v>215</v>
      </c>
      <c r="B46" s="40"/>
      <c r="C46" s="307">
        <f>'[3]Jet Blue'!$GK$19</f>
        <v>174</v>
      </c>
      <c r="D46" s="150">
        <f>'[3]Jet Blue'!$FW$19</f>
        <v>178</v>
      </c>
      <c r="E46" s="309">
        <f>(C46-D46)/D46</f>
        <v>-2.247191011235955E-2</v>
      </c>
      <c r="F46" s="150">
        <f>SUM('[3]Jet Blue'!$GB$19:$GK$19)</f>
        <v>1720</v>
      </c>
      <c r="G46" s="150">
        <f>SUM('[3]Jet Blue'!$FN$19:$FW$19)</f>
        <v>1067</v>
      </c>
      <c r="H46" s="308">
        <f>(F46-G46)/G46</f>
        <v>0.61199625117150891</v>
      </c>
      <c r="I46" s="309">
        <f>F46/$F$69</f>
        <v>5.4946634678354539E-3</v>
      </c>
      <c r="J46" s="306" t="s">
        <v>215</v>
      </c>
      <c r="K46" s="40"/>
      <c r="L46" s="307">
        <f>'[3]Jet Blue'!$GK$41</f>
        <v>19540</v>
      </c>
      <c r="M46" s="150">
        <f>'[3]Jet Blue'!$FW$41</f>
        <v>17526</v>
      </c>
      <c r="N46" s="309">
        <f>(L46-M46)/M46</f>
        <v>0.11491498345315532</v>
      </c>
      <c r="O46" s="307">
        <f>SUM('[3]Jet Blue'!$GB$41:$GK$41)</f>
        <v>195885</v>
      </c>
      <c r="P46" s="150">
        <f>SUM('[3]Jet Blue'!$FN$41:$FW$41)</f>
        <v>122267</v>
      </c>
      <c r="Q46" s="308">
        <f>(O46-P46)/P46</f>
        <v>0.60210850024945406</v>
      </c>
      <c r="R46" s="309">
        <f>O46/$O$69</f>
        <v>6.0566642941111354E-3</v>
      </c>
    </row>
    <row r="47" spans="1:21" ht="14.1" customHeight="1" x14ac:dyDescent="0.2">
      <c r="A47" s="306"/>
      <c r="B47" s="40"/>
      <c r="C47" s="307"/>
      <c r="D47" s="150"/>
      <c r="E47" s="309"/>
      <c r="F47" s="150"/>
      <c r="G47" s="150"/>
      <c r="H47" s="308"/>
      <c r="I47" s="309"/>
      <c r="J47" s="306"/>
      <c r="K47" s="40"/>
      <c r="L47" s="310"/>
      <c r="N47" s="67"/>
      <c r="O47" s="310"/>
      <c r="P47" s="2"/>
      <c r="Q47" s="3"/>
      <c r="R47" s="67"/>
    </row>
    <row r="48" spans="1:21" ht="14.1" customHeight="1" x14ac:dyDescent="0.2">
      <c r="A48" s="306" t="s">
        <v>202</v>
      </c>
      <c r="B48" s="40"/>
      <c r="C48" s="307">
        <f>[3]KLM!$GK$19</f>
        <v>36</v>
      </c>
      <c r="D48" s="150">
        <f>[3]KLM!$FW$19</f>
        <v>36</v>
      </c>
      <c r="E48" s="309">
        <f>(C48-D48)/D48</f>
        <v>0</v>
      </c>
      <c r="F48" s="150">
        <f>SUM([3]KLM!$GB$19:$GK$19)</f>
        <v>336</v>
      </c>
      <c r="G48" s="150">
        <f>SUM([3]KLM!$FN$19:$FW$19)</f>
        <v>306</v>
      </c>
      <c r="H48" s="308">
        <f>(F48-G48)/G48</f>
        <v>9.8039215686274508E-2</v>
      </c>
      <c r="I48" s="309">
        <f>F48/$F$69</f>
        <v>1.0733761192980888E-3</v>
      </c>
      <c r="J48" s="306" t="s">
        <v>202</v>
      </c>
      <c r="K48" s="40"/>
      <c r="L48" s="307">
        <f>[3]KLM!$GK$41</f>
        <v>8773</v>
      </c>
      <c r="M48" s="150">
        <f>[3]KLM!$FW$41</f>
        <v>7733</v>
      </c>
      <c r="N48" s="309">
        <f>(L48-M48)/M48</f>
        <v>0.13448855554118713</v>
      </c>
      <c r="O48" s="307">
        <f>SUM([3]KLM!$GB$41:$GK$41)</f>
        <v>79712</v>
      </c>
      <c r="P48" s="150">
        <f>SUM([3]KLM!$FN$41:$FW$41)</f>
        <v>71380</v>
      </c>
      <c r="Q48" s="308">
        <f>(O48-P48)/P48</f>
        <v>0.11672737461473802</v>
      </c>
      <c r="R48" s="309">
        <f>O48/$O$69</f>
        <v>2.4646543850329878E-3</v>
      </c>
    </row>
    <row r="49" spans="1:18" ht="14.1" customHeight="1" x14ac:dyDescent="0.2">
      <c r="A49" s="306"/>
      <c r="B49" s="40"/>
      <c r="C49" s="307"/>
      <c r="D49" s="150"/>
      <c r="E49" s="309"/>
      <c r="F49" s="150"/>
      <c r="G49" s="150"/>
      <c r="H49" s="308"/>
      <c r="I49" s="309"/>
      <c r="J49" s="306"/>
      <c r="K49" s="40"/>
      <c r="L49" s="310"/>
      <c r="N49" s="67"/>
      <c r="O49" s="310"/>
      <c r="P49" s="2"/>
      <c r="Q49" s="3"/>
      <c r="R49" s="67"/>
    </row>
    <row r="50" spans="1:18" ht="14.1" customHeight="1" x14ac:dyDescent="0.2">
      <c r="A50" s="306" t="s">
        <v>132</v>
      </c>
      <c r="B50" s="40"/>
      <c r="C50" s="307">
        <f>SUM(C51:C51)</f>
        <v>1329</v>
      </c>
      <c r="D50" s="150">
        <f>SUM(D51:D51)</f>
        <v>1477</v>
      </c>
      <c r="E50" s="309">
        <f>(C50-D50)/D50</f>
        <v>-0.1002031144211239</v>
      </c>
      <c r="F50" s="307">
        <f>SUM(F51:F51)</f>
        <v>13516</v>
      </c>
      <c r="G50" s="150">
        <f>SUM(G51:G51)</f>
        <v>13675</v>
      </c>
      <c r="H50" s="308">
        <f>(F50-G50)/G50</f>
        <v>-1.1627056672760512E-2</v>
      </c>
      <c r="I50" s="309">
        <f>F50/$F$69</f>
        <v>4.317783222747907E-2</v>
      </c>
      <c r="J50" s="306" t="s">
        <v>132</v>
      </c>
      <c r="K50" s="40"/>
      <c r="L50" s="307">
        <f>SUM(L51:L51)</f>
        <v>156978</v>
      </c>
      <c r="M50" s="150">
        <f>SUM(M51:M51)</f>
        <v>178514</v>
      </c>
      <c r="N50" s="309">
        <f>(L50-M50)/M50</f>
        <v>-0.12064039795198135</v>
      </c>
      <c r="O50" s="307">
        <f>SUM(O51:O51)</f>
        <v>1570990</v>
      </c>
      <c r="P50" s="150">
        <f>SUM(P51:P51)</f>
        <v>1650650</v>
      </c>
      <c r="Q50" s="308">
        <f>(O50-P50)/P50</f>
        <v>-4.8259776451700848E-2</v>
      </c>
      <c r="R50" s="309">
        <f>O50/$O$69</f>
        <v>4.857420955869849E-2</v>
      </c>
    </row>
    <row r="51" spans="1:18" ht="14.1" customHeight="1" x14ac:dyDescent="0.2">
      <c r="A51" s="306"/>
      <c r="B51" s="40" t="s">
        <v>132</v>
      </c>
      <c r="C51" s="368">
        <f>[3]Southwest!$GK$19</f>
        <v>1329</v>
      </c>
      <c r="D51" s="254">
        <f>[3]Southwest!$FW$19</f>
        <v>1477</v>
      </c>
      <c r="E51" s="370">
        <f>(C51-D51)/D51</f>
        <v>-0.1002031144211239</v>
      </c>
      <c r="F51" s="254">
        <f>SUM([3]Southwest!$GB$19:$GK$19)</f>
        <v>13516</v>
      </c>
      <c r="G51" s="254">
        <f>SUM([3]Southwest!$FN$19:$FW$19)</f>
        <v>13675</v>
      </c>
      <c r="H51" s="369">
        <f>(F51-G51)/G51</f>
        <v>-1.1627056672760512E-2</v>
      </c>
      <c r="I51" s="370">
        <f>F51/$F$69</f>
        <v>4.317783222747907E-2</v>
      </c>
      <c r="J51" s="306"/>
      <c r="K51" s="40" t="s">
        <v>132</v>
      </c>
      <c r="L51" s="368">
        <f>[3]Southwest!$GK$41</f>
        <v>156978</v>
      </c>
      <c r="M51" s="254">
        <f>[3]Southwest!$FW$41</f>
        <v>178514</v>
      </c>
      <c r="N51" s="370">
        <f>(L51-M51)/M51</f>
        <v>-0.12064039795198135</v>
      </c>
      <c r="O51" s="368">
        <f>SUM([3]Southwest!$GB$41:$GK$41)</f>
        <v>1570990</v>
      </c>
      <c r="P51" s="254">
        <f>SUM([3]Southwest!$FN$41:$FW$41)</f>
        <v>1650650</v>
      </c>
      <c r="Q51" s="369">
        <f>(O51-P51)/P51</f>
        <v>-4.8259776451700848E-2</v>
      </c>
      <c r="R51" s="370">
        <f>O51/$O$69</f>
        <v>4.857420955869849E-2</v>
      </c>
    </row>
    <row r="52" spans="1:18" ht="14.1" customHeight="1" x14ac:dyDescent="0.2">
      <c r="A52" s="306"/>
      <c r="B52" s="40"/>
      <c r="C52" s="307"/>
      <c r="D52" s="150"/>
      <c r="E52" s="309"/>
      <c r="F52" s="150"/>
      <c r="G52" s="150"/>
      <c r="H52" s="308"/>
      <c r="I52" s="309"/>
      <c r="J52" s="306"/>
      <c r="K52" s="40"/>
      <c r="L52" s="310"/>
      <c r="N52" s="67"/>
      <c r="O52" s="310"/>
      <c r="P52" s="2"/>
      <c r="Q52" s="3"/>
      <c r="R52" s="67"/>
    </row>
    <row r="53" spans="1:18" ht="14.1" customHeight="1" x14ac:dyDescent="0.2">
      <c r="A53" s="306" t="s">
        <v>160</v>
      </c>
      <c r="B53" s="40"/>
      <c r="C53" s="307">
        <f>[3]Spirit!$GK$19</f>
        <v>600</v>
      </c>
      <c r="D53" s="150">
        <f>[3]Spirit!$FW$19</f>
        <v>602</v>
      </c>
      <c r="E53" s="309">
        <f>(C53-D53)/D53</f>
        <v>-3.3222591362126247E-3</v>
      </c>
      <c r="F53" s="150">
        <f>SUM([3]Spirit!$GB$19:$GK$19)</f>
        <v>6392</v>
      </c>
      <c r="G53" s="150">
        <f>SUM([3]Spirit!$FN$19:$FW$19)</f>
        <v>6995</v>
      </c>
      <c r="H53" s="308">
        <f>(F53-G53)/G53</f>
        <v>-8.6204431736954967E-2</v>
      </c>
      <c r="I53" s="309">
        <f>F53/$F$69</f>
        <v>2.0419702840932686E-2</v>
      </c>
      <c r="J53" s="306" t="s">
        <v>160</v>
      </c>
      <c r="K53" s="40"/>
      <c r="L53" s="307">
        <f>[3]Spirit!$GK$41</f>
        <v>93897</v>
      </c>
      <c r="M53" s="150">
        <f>[3]Spirit!$FW$41</f>
        <v>89265</v>
      </c>
      <c r="N53" s="309">
        <f>(L53-M53)/M53</f>
        <v>5.1890438581750964E-2</v>
      </c>
      <c r="O53" s="307">
        <f>SUM([3]Spirit!$GB$41:$GK$41)</f>
        <v>971455</v>
      </c>
      <c r="P53" s="150">
        <f>SUM([3]Spirit!$FN$41:$FW$41)</f>
        <v>967329</v>
      </c>
      <c r="Q53" s="308">
        <f>(O53-P53)/P53</f>
        <v>4.2653533596118797E-3</v>
      </c>
      <c r="R53" s="309">
        <f>O53/$O$69</f>
        <v>3.0036893135440352E-2</v>
      </c>
    </row>
    <row r="54" spans="1:18" ht="14.1" customHeight="1" x14ac:dyDescent="0.2">
      <c r="A54" s="306"/>
      <c r="B54" s="40"/>
      <c r="C54" s="307"/>
      <c r="D54" s="150"/>
      <c r="E54" s="309"/>
      <c r="F54" s="150"/>
      <c r="G54" s="150"/>
      <c r="H54" s="308"/>
      <c r="I54" s="309"/>
      <c r="J54" s="306"/>
      <c r="K54" s="40"/>
      <c r="L54" s="310"/>
      <c r="N54" s="67"/>
      <c r="O54" s="310"/>
      <c r="P54" s="2"/>
      <c r="Q54" s="3"/>
      <c r="R54" s="67">
        <f>O54/$O$69</f>
        <v>0</v>
      </c>
    </row>
    <row r="55" spans="1:18" ht="14.1" customHeight="1" x14ac:dyDescent="0.2">
      <c r="A55" s="306" t="s">
        <v>49</v>
      </c>
      <c r="B55" s="40"/>
      <c r="C55" s="307">
        <f>'[3]Sun Country'!$GK$19</f>
        <v>1713</v>
      </c>
      <c r="D55" s="150">
        <f>'[3]Sun Country'!$FW$19</f>
        <v>1382</v>
      </c>
      <c r="E55" s="309">
        <f>(C55-D55)/D55</f>
        <v>0.23950795947901593</v>
      </c>
      <c r="F55" s="150">
        <f>SUM('[3]Sun Country'!$GB$19:$GK$19)</f>
        <v>17595</v>
      </c>
      <c r="G55" s="150">
        <f>SUM('[3]Sun Country'!$FN$19:$FW$19)</f>
        <v>16378</v>
      </c>
      <c r="H55" s="308">
        <f>(F55-G55)/G55</f>
        <v>7.4306997191354252E-2</v>
      </c>
      <c r="I55" s="309">
        <f>F55/$F$69</f>
        <v>5.6208490532886519E-2</v>
      </c>
      <c r="J55" s="306" t="s">
        <v>49</v>
      </c>
      <c r="K55" s="40"/>
      <c r="L55" s="307">
        <f>'[3]Sun Country'!$GK$41</f>
        <v>229272</v>
      </c>
      <c r="M55" s="150">
        <f>'[3]Sun Country'!$FW$41</f>
        <v>171893</v>
      </c>
      <c r="N55" s="309">
        <f>(L55-M55)/M55</f>
        <v>0.33380649590152012</v>
      </c>
      <c r="O55" s="307">
        <f>SUM('[3]Sun Country'!$GB$41:$GK$41)</f>
        <v>2372177</v>
      </c>
      <c r="P55" s="150">
        <f>SUM('[3]Sun Country'!$FN$41:$FW$41)</f>
        <v>1978651</v>
      </c>
      <c r="Q55" s="308">
        <f>(O55-P55)/P55</f>
        <v>0.19888600869986672</v>
      </c>
      <c r="R55" s="309">
        <f>O55/$O$69</f>
        <v>7.3346502974764125E-2</v>
      </c>
    </row>
    <row r="56" spans="1:18" ht="14.1" customHeight="1" x14ac:dyDescent="0.2">
      <c r="A56" s="306"/>
      <c r="B56" s="40"/>
      <c r="C56" s="307"/>
      <c r="D56" s="150"/>
      <c r="E56" s="309"/>
      <c r="F56" s="150"/>
      <c r="G56" s="150"/>
      <c r="H56" s="308"/>
      <c r="I56" s="309"/>
      <c r="J56" s="306"/>
      <c r="K56" s="40"/>
      <c r="L56" s="310"/>
      <c r="N56" s="67"/>
      <c r="O56" s="310"/>
      <c r="P56" s="2"/>
      <c r="Q56" s="3"/>
      <c r="R56" s="67"/>
    </row>
    <row r="57" spans="1:18" ht="14.1" customHeight="1" x14ac:dyDescent="0.2">
      <c r="A57" s="306" t="s">
        <v>19</v>
      </c>
      <c r="B57" s="311"/>
      <c r="C57" s="307">
        <f>SUM(C58:C64)</f>
        <v>1654</v>
      </c>
      <c r="D57" s="150">
        <f>SUM(D58:D64)</f>
        <v>1566</v>
      </c>
      <c r="E57" s="309">
        <f t="shared" ref="E57:E64" si="12">(C57-D57)/D57</f>
        <v>5.6194125159642401E-2</v>
      </c>
      <c r="F57" s="150">
        <f>SUM(F58:F64)</f>
        <v>14898</v>
      </c>
      <c r="G57" s="150">
        <f>SUM(G58:G64)</f>
        <v>15035</v>
      </c>
      <c r="H57" s="308">
        <f t="shared" ref="H57:H64" si="13">(F57-G57)/G57</f>
        <v>-9.1120718323910877E-3</v>
      </c>
      <c r="I57" s="309">
        <f t="shared" ref="I57:I64" si="14">F57/$F$69</f>
        <v>4.759273043244918E-2</v>
      </c>
      <c r="J57" s="306" t="s">
        <v>19</v>
      </c>
      <c r="K57" s="311"/>
      <c r="L57" s="307">
        <f>SUM(L58:L64)</f>
        <v>153915</v>
      </c>
      <c r="M57" s="150">
        <f>SUM(M58:M64)</f>
        <v>143602</v>
      </c>
      <c r="N57" s="309">
        <f t="shared" ref="N57:N64" si="15">(L57-M57)/M57</f>
        <v>7.1816548516037387E-2</v>
      </c>
      <c r="O57" s="307">
        <f>SUM(O58:O64)</f>
        <v>1352804</v>
      </c>
      <c r="P57" s="150">
        <f>SUM(P58:P64)</f>
        <v>1348908</v>
      </c>
      <c r="Q57" s="308">
        <f t="shared" ref="Q57:Q64" si="16">(O57-P57)/P57</f>
        <v>2.8882622091350929E-3</v>
      </c>
      <c r="R57" s="309">
        <f t="shared" ref="R57:R64" si="17">O57/$O$69</f>
        <v>4.1828009718614091E-2</v>
      </c>
    </row>
    <row r="58" spans="1:18" ht="14.1" customHeight="1" x14ac:dyDescent="0.2">
      <c r="A58" s="38"/>
      <c r="B58" s="364" t="s">
        <v>19</v>
      </c>
      <c r="C58" s="310">
        <f>[3]United!$GK$19</f>
        <v>792</v>
      </c>
      <c r="D58" s="2">
        <f>[3]United!$FW$19+[3]Continental!$FW$19</f>
        <v>666</v>
      </c>
      <c r="E58" s="67">
        <f t="shared" si="12"/>
        <v>0.1891891891891892</v>
      </c>
      <c r="F58" s="2">
        <f>SUM([3]United!$GB$19:$GK$19)</f>
        <v>6046</v>
      </c>
      <c r="G58" s="2">
        <f>SUM([3]United!$FN$19:$FW$19)+SUM([3]Continental!$FN$19:$FW$19)</f>
        <v>6374</v>
      </c>
      <c r="H58" s="3">
        <f t="shared" si="13"/>
        <v>-5.1459052400376529E-2</v>
      </c>
      <c r="I58" s="67">
        <f t="shared" si="14"/>
        <v>1.9314381003798346E-2</v>
      </c>
      <c r="J58" s="38"/>
      <c r="K58" s="364" t="s">
        <v>19</v>
      </c>
      <c r="L58" s="310">
        <f>[3]United!$GK$41</f>
        <v>101865</v>
      </c>
      <c r="M58" s="2">
        <f>[3]United!$FW$41+[3]Continental!$FW$41</f>
        <v>86741</v>
      </c>
      <c r="N58" s="67">
        <f t="shared" si="15"/>
        <v>0.17435814666651295</v>
      </c>
      <c r="O58" s="310">
        <f>SUM([3]United!$GB$41:$GK$41)</f>
        <v>800936</v>
      </c>
      <c r="P58" s="2">
        <f>SUM([3]United!$FN$41:$FW$41)+SUM([3]Continental!$FN$41:$FW$41)</f>
        <v>794802</v>
      </c>
      <c r="Q58" s="3">
        <f t="shared" si="16"/>
        <v>7.7176454009929519E-3</v>
      </c>
      <c r="R58" s="67">
        <f t="shared" si="17"/>
        <v>2.4764532624081459E-2</v>
      </c>
    </row>
    <row r="59" spans="1:18" ht="14.1" customHeight="1" x14ac:dyDescent="0.2">
      <c r="A59" s="38"/>
      <c r="B59" s="364" t="s">
        <v>172</v>
      </c>
      <c r="C59" s="310">
        <f>'[3]Continental Express'!$GK$19</f>
        <v>92</v>
      </c>
      <c r="D59" s="2">
        <f>'[3]Continental Express'!$FW$19</f>
        <v>0</v>
      </c>
      <c r="E59" s="67" t="e">
        <f t="shared" si="12"/>
        <v>#DIV/0!</v>
      </c>
      <c r="F59" s="2">
        <f>SUM('[3]Continental Express'!$GB$19:$GK$19)</f>
        <v>500</v>
      </c>
      <c r="G59" s="2">
        <f>SUM('[3]Continental Express'!$FN$19:$FW$19)</f>
        <v>64</v>
      </c>
      <c r="H59" s="3">
        <f t="shared" si="13"/>
        <v>6.8125</v>
      </c>
      <c r="I59" s="67">
        <f t="shared" si="14"/>
        <v>1.5972858918126319E-3</v>
      </c>
      <c r="J59" s="38"/>
      <c r="K59" s="364" t="s">
        <v>172</v>
      </c>
      <c r="L59" s="310">
        <f>'[3]Continental Express'!$GK$41</f>
        <v>5298</v>
      </c>
      <c r="M59" s="2">
        <f>'[3]Continental Express'!$FW$41</f>
        <v>0</v>
      </c>
      <c r="N59" s="67" t="e">
        <f t="shared" si="15"/>
        <v>#DIV/0!</v>
      </c>
      <c r="O59" s="310">
        <f>SUM('[3]Continental Express'!$GB$41:$GK$41)</f>
        <v>27326</v>
      </c>
      <c r="P59" s="2">
        <f>SUM('[3]Continental Express'!$FN$41:$FW$41)</f>
        <v>2069</v>
      </c>
      <c r="Q59" s="3">
        <f t="shared" si="16"/>
        <v>12.207346544224263</v>
      </c>
      <c r="R59" s="67">
        <f t="shared" si="17"/>
        <v>8.4490598310682746E-4</v>
      </c>
    </row>
    <row r="60" spans="1:18" ht="14.1" customHeight="1" x14ac:dyDescent="0.2">
      <c r="A60" s="38"/>
      <c r="B60" s="40" t="s">
        <v>159</v>
      </c>
      <c r="C60" s="310">
        <f>'[3]Go Jet_UA'!$GK$19</f>
        <v>10</v>
      </c>
      <c r="D60" s="2">
        <f>'[3]Go Jet_UA'!$FW$19</f>
        <v>0</v>
      </c>
      <c r="E60" s="67" t="e">
        <f t="shared" si="12"/>
        <v>#DIV/0!</v>
      </c>
      <c r="F60" s="2">
        <f>SUM('[3]Go Jet_UA'!$GB$19:$GK$19)</f>
        <v>80</v>
      </c>
      <c r="G60" s="2">
        <f>SUM('[3]Go Jet_UA'!$FN$19:$FW$19)</f>
        <v>157</v>
      </c>
      <c r="H60" s="3">
        <f t="shared" si="13"/>
        <v>-0.49044585987261147</v>
      </c>
      <c r="I60" s="67">
        <f t="shared" si="14"/>
        <v>2.5556574269002111E-4</v>
      </c>
      <c r="J60" s="38"/>
      <c r="K60" s="40" t="s">
        <v>159</v>
      </c>
      <c r="L60" s="310">
        <f>'[3]Go Jet_UA'!$GK$41</f>
        <v>645</v>
      </c>
      <c r="M60" s="2">
        <f>'[3]Go Jet_UA'!$FW$41</f>
        <v>0</v>
      </c>
      <c r="N60" s="67" t="e">
        <f t="shared" si="15"/>
        <v>#DIV/0!</v>
      </c>
      <c r="O60" s="310">
        <f>SUM('[3]Go Jet_UA'!$GB$41:$GK$41)</f>
        <v>4958</v>
      </c>
      <c r="P60" s="2">
        <f>SUM('[3]Go Jet_UA'!$FN$41:$FW$41)</f>
        <v>10365</v>
      </c>
      <c r="Q60" s="3">
        <f t="shared" si="16"/>
        <v>-0.52165943077665222</v>
      </c>
      <c r="R60" s="67">
        <f t="shared" si="17"/>
        <v>1.5329883130511785E-4</v>
      </c>
    </row>
    <row r="61" spans="1:18" ht="14.1" customHeight="1" x14ac:dyDescent="0.2">
      <c r="A61" s="38"/>
      <c r="B61" s="40" t="s">
        <v>51</v>
      </c>
      <c r="C61" s="310">
        <f>[3]MESA_UA!$GK$19</f>
        <v>152</v>
      </c>
      <c r="D61" s="2">
        <f>[3]MESA_UA!$FW$19</f>
        <v>274</v>
      </c>
      <c r="E61" s="67">
        <f t="shared" si="12"/>
        <v>-0.44525547445255476</v>
      </c>
      <c r="F61" s="2">
        <f>SUM([3]MESA_UA!$GB$19:$GK$19)</f>
        <v>2232</v>
      </c>
      <c r="G61" s="2">
        <f>SUM([3]MESA_UA!$FN$19:$FW$19)</f>
        <v>2748</v>
      </c>
      <c r="H61" s="3">
        <f>(F61-G61)/G61</f>
        <v>-0.18777292576419213</v>
      </c>
      <c r="I61" s="67">
        <f t="shared" si="14"/>
        <v>7.1302842210515891E-3</v>
      </c>
      <c r="J61" s="38"/>
      <c r="K61" s="40" t="s">
        <v>51</v>
      </c>
      <c r="L61" s="310">
        <f>[3]MESA_UA!$GK$41</f>
        <v>8964</v>
      </c>
      <c r="M61" s="2">
        <f>[3]MESA_UA!$FW$41</f>
        <v>17814</v>
      </c>
      <c r="N61" s="67">
        <f t="shared" si="15"/>
        <v>-0.49680026945099359</v>
      </c>
      <c r="O61" s="310">
        <f>SUM([3]MESA_UA!$GB$41:$GK$41)</f>
        <v>142371</v>
      </c>
      <c r="P61" s="2">
        <f>SUM([3]MESA_UA!$FN$41:$FW$41)</f>
        <v>178002</v>
      </c>
      <c r="Q61" s="3">
        <f t="shared" si="16"/>
        <v>-0.20017190818080696</v>
      </c>
      <c r="R61" s="67">
        <f t="shared" si="17"/>
        <v>4.4020387074911122E-3</v>
      </c>
    </row>
    <row r="62" spans="1:18" ht="14.1" customHeight="1" x14ac:dyDescent="0.2">
      <c r="A62" s="38"/>
      <c r="B62" s="364" t="s">
        <v>52</v>
      </c>
      <c r="C62" s="310">
        <f>[3]Republic_UA!$GK$19</f>
        <v>516</v>
      </c>
      <c r="D62" s="2">
        <f>[3]Republic_UA!$FW$19</f>
        <v>452</v>
      </c>
      <c r="E62" s="67">
        <f t="shared" si="12"/>
        <v>0.1415929203539823</v>
      </c>
      <c r="F62" s="2">
        <f>SUM([3]Republic_UA!$GB$19:$GK$19)</f>
        <v>4842</v>
      </c>
      <c r="G62" s="2">
        <f>SUM([3]Republic_UA!$FN$19:$FW$19)</f>
        <v>4084</v>
      </c>
      <c r="H62" s="3">
        <f t="shared" ref="H62" si="18">(F62-G62)/G62</f>
        <v>0.18560235063663075</v>
      </c>
      <c r="I62" s="67">
        <f t="shared" si="14"/>
        <v>1.5468116576313529E-2</v>
      </c>
      <c r="J62" s="38"/>
      <c r="K62" s="364" t="s">
        <v>52</v>
      </c>
      <c r="L62" s="310">
        <f>[3]Republic_UA!$GK$41</f>
        <v>31291</v>
      </c>
      <c r="M62" s="2">
        <f>[3]Republic_UA!$FW$41</f>
        <v>28092</v>
      </c>
      <c r="N62" s="67">
        <f t="shared" si="15"/>
        <v>0.11387583653709241</v>
      </c>
      <c r="O62" s="310">
        <f>SUM([3]Republic_UA!$GB$41:$GK$41)</f>
        <v>299292</v>
      </c>
      <c r="P62" s="2">
        <f>SUM([3]Republic_UA!$FN$41:$FW$41)</f>
        <v>258912</v>
      </c>
      <c r="Q62" s="3">
        <f t="shared" si="16"/>
        <v>0.15596032628846868</v>
      </c>
      <c r="R62" s="67">
        <f t="shared" si="17"/>
        <v>9.2539559941450852E-3</v>
      </c>
    </row>
    <row r="63" spans="1:18" ht="14.1" customHeight="1" x14ac:dyDescent="0.2">
      <c r="A63" s="38"/>
      <c r="B63" s="40" t="s">
        <v>100</v>
      </c>
      <c r="C63" s="310">
        <f>'[3]Sky West_UA'!$GK$19</f>
        <v>92</v>
      </c>
      <c r="D63" s="2">
        <f>'[3]Sky West_UA'!$FW$19+'[3]Sky West_CO'!$FW$19</f>
        <v>174</v>
      </c>
      <c r="E63" s="67">
        <f t="shared" si="12"/>
        <v>-0.47126436781609193</v>
      </c>
      <c r="F63" s="2">
        <f>SUM('[3]Sky West_UA'!$GB$19:$GK$19)</f>
        <v>1198</v>
      </c>
      <c r="G63" s="2">
        <f>SUM('[3]Sky West_UA'!$FN$19:$FW$19)+SUM('[3]Sky West_CO'!$FN$19:$FW$19)</f>
        <v>1608</v>
      </c>
      <c r="H63" s="3">
        <f t="shared" si="13"/>
        <v>-0.25497512437810943</v>
      </c>
      <c r="I63" s="67">
        <f t="shared" si="14"/>
        <v>3.8270969967830661E-3</v>
      </c>
      <c r="J63" s="38"/>
      <c r="K63" s="40" t="s">
        <v>100</v>
      </c>
      <c r="L63" s="310">
        <f>'[3]Sky West_UA'!$GK$41</f>
        <v>5852</v>
      </c>
      <c r="M63" s="2">
        <f>'[3]Sky West_UA'!$FW$41+'[3]Sky West_CO'!$FW$41</f>
        <v>10955</v>
      </c>
      <c r="N63" s="67">
        <f t="shared" si="15"/>
        <v>-0.46581469648562301</v>
      </c>
      <c r="O63" s="310">
        <f>SUM('[3]Sky West_UA'!$GB$41:$GK$41)</f>
        <v>77921</v>
      </c>
      <c r="P63" s="2">
        <f>SUM('[3]Sky West_UA'!$FN$41:$FW$41)+SUM('[3]Sky West_CO'!$FN$41:$FW$41)</f>
        <v>104758</v>
      </c>
      <c r="Q63" s="3">
        <f t="shared" si="16"/>
        <v>-0.25618091219763645</v>
      </c>
      <c r="R63" s="67">
        <f t="shared" si="17"/>
        <v>2.4092775784844873E-3</v>
      </c>
    </row>
    <row r="64" spans="1:18" ht="14.1" customHeight="1" x14ac:dyDescent="0.2">
      <c r="A64" s="38"/>
      <c r="B64" s="312" t="s">
        <v>134</v>
      </c>
      <c r="C64" s="310">
        <f>'[3]Shuttle America'!$GK$19</f>
        <v>0</v>
      </c>
      <c r="D64" s="2">
        <f>'[3]Shuttle America'!$FW$19</f>
        <v>0</v>
      </c>
      <c r="E64" s="67" t="e">
        <f t="shared" si="12"/>
        <v>#DIV/0!</v>
      </c>
      <c r="F64" s="2">
        <f>SUM('[3]Shuttle America'!$GB$19:$GK$19)</f>
        <v>0</v>
      </c>
      <c r="G64" s="2">
        <f>SUM('[3]Shuttle America'!$FN$19:$FW$19)</f>
        <v>0</v>
      </c>
      <c r="H64" s="3" t="e">
        <f t="shared" si="13"/>
        <v>#DIV/0!</v>
      </c>
      <c r="I64" s="67">
        <f t="shared" si="14"/>
        <v>0</v>
      </c>
      <c r="J64" s="38"/>
      <c r="K64" s="312" t="s">
        <v>134</v>
      </c>
      <c r="L64" s="310">
        <f>'[3]Shuttle America'!$GK$41</f>
        <v>0</v>
      </c>
      <c r="M64" s="2">
        <f>'[3]Shuttle America'!$FW$41</f>
        <v>0</v>
      </c>
      <c r="N64" s="67" t="e">
        <f t="shared" si="15"/>
        <v>#DIV/0!</v>
      </c>
      <c r="O64" s="310">
        <f>SUM('[3]Shuttle America'!$GB$41:$GK$41)</f>
        <v>0</v>
      </c>
      <c r="P64" s="2">
        <f>SUM('[3]Shuttle America'!$FN$41:$FW$41)</f>
        <v>0</v>
      </c>
      <c r="Q64" s="3" t="e">
        <f t="shared" si="16"/>
        <v>#DIV/0!</v>
      </c>
      <c r="R64" s="67">
        <f t="shared" si="17"/>
        <v>0</v>
      </c>
    </row>
    <row r="65" spans="1:20" ht="14.1" customHeight="1" thickBot="1" x14ac:dyDescent="0.25">
      <c r="A65" s="366"/>
      <c r="B65" s="367"/>
      <c r="C65" s="313"/>
      <c r="D65" s="315"/>
      <c r="E65" s="316"/>
      <c r="F65" s="315"/>
      <c r="G65" s="315"/>
      <c r="H65" s="314"/>
      <c r="I65" s="316"/>
      <c r="J65" s="366"/>
      <c r="K65" s="367"/>
      <c r="L65" s="313"/>
      <c r="M65" s="315"/>
      <c r="N65" s="316"/>
      <c r="O65" s="313"/>
      <c r="P65" s="315"/>
      <c r="Q65" s="314"/>
      <c r="R65" s="399"/>
    </row>
    <row r="66" spans="1:20" s="194" customFormat="1" ht="14.1" customHeight="1" thickBot="1" x14ac:dyDescent="0.25">
      <c r="B66" s="193"/>
      <c r="C66" s="150"/>
      <c r="D66" s="150"/>
      <c r="E66" s="308"/>
      <c r="F66" s="365"/>
      <c r="G66" s="150"/>
      <c r="H66" s="308"/>
      <c r="I66" s="308"/>
      <c r="J66" s="317"/>
      <c r="K66" s="193"/>
      <c r="L66" s="318"/>
      <c r="M66" s="319"/>
      <c r="N66" s="317"/>
      <c r="S66"/>
      <c r="T66"/>
    </row>
    <row r="67" spans="1:20" ht="14.1" customHeight="1" x14ac:dyDescent="0.2">
      <c r="B67" s="320" t="s">
        <v>136</v>
      </c>
      <c r="C67" s="374">
        <f>+C69-C68</f>
        <v>20214</v>
      </c>
      <c r="D67" s="374">
        <f>+D69-D68</f>
        <v>19089</v>
      </c>
      <c r="E67" s="375">
        <f>(C67-D67)/D67</f>
        <v>5.8934464875058934E-2</v>
      </c>
      <c r="F67" s="374">
        <f>+F69-F68</f>
        <v>193311</v>
      </c>
      <c r="G67" s="374">
        <f>+G69-G68</f>
        <v>187474</v>
      </c>
      <c r="H67" s="375">
        <f>(F67-G67)/G67</f>
        <v>3.1134984051121757E-2</v>
      </c>
      <c r="I67" s="421">
        <f>F67/$F$69</f>
        <v>0.61754586606438344</v>
      </c>
      <c r="K67" s="320" t="s">
        <v>136</v>
      </c>
      <c r="L67" s="374">
        <f>+L69-L68</f>
        <v>2682877</v>
      </c>
      <c r="M67" s="374">
        <f>+M69-M68</f>
        <v>2486140</v>
      </c>
      <c r="N67" s="375">
        <f>(L67-M67)/M67</f>
        <v>7.913351621388981E-2</v>
      </c>
      <c r="O67" s="374">
        <f>+O69-O68</f>
        <v>25995096</v>
      </c>
      <c r="P67" s="374">
        <f>+P69-P68</f>
        <v>24639570</v>
      </c>
      <c r="Q67" s="414">
        <f>(O67-P67)/P67</f>
        <v>5.5014190588553294E-2</v>
      </c>
      <c r="R67" s="417">
        <f>+O67/O69</f>
        <v>0.80375511021870594</v>
      </c>
    </row>
    <row r="68" spans="1:20" ht="14.1" customHeight="1" x14ac:dyDescent="0.2">
      <c r="B68" s="193" t="s">
        <v>137</v>
      </c>
      <c r="C68" s="376">
        <f>C64+C40+C38+C36+C35+C39+C22+C63+C60+C37+C59+C61+C27+C26+C23+C17+C8+C62+C24+C25+C9+C18</f>
        <v>11767</v>
      </c>
      <c r="D68" s="376">
        <f>D64+D40+D38+D36+D35+D39+D22+D63+D60+D37+D59+D61+D27+D26+D23+D17+D8+D62+D24+D25+D9+D18</f>
        <v>12243</v>
      </c>
      <c r="E68" s="321">
        <f>(C68-D68)/D68</f>
        <v>-3.8879359634076613E-2</v>
      </c>
      <c r="F68" s="376">
        <f>F64+F40+F38+F36+F35+F39+F22+F63+F60+F37+F59+F61+F27+F26+F23+F17+F8+F62+F24+F25+F9+F18</f>
        <v>119720</v>
      </c>
      <c r="G68" s="376">
        <f>G64+G40+G38+G36+G35+G39+G22+G63+G60+G37+G59+G61+G27+G26+G23+G17+G8+G62+G24+G25+G9+G18</f>
        <v>125460</v>
      </c>
      <c r="H68" s="321">
        <f>(F68-G68)/G68</f>
        <v>-4.5751633986928102E-2</v>
      </c>
      <c r="I68" s="422">
        <f>F68/$F$69</f>
        <v>0.38245413393561661</v>
      </c>
      <c r="K68" s="193" t="s">
        <v>137</v>
      </c>
      <c r="L68" s="376">
        <f>L64+L40+L38+L36+L35+L39+L22+L63+L60+L37+L59+L61+L27+L26+L23+L17+L8+L62+L24+L25+L9+L18</f>
        <v>601293</v>
      </c>
      <c r="M68" s="376">
        <f>M64+M40+M38+M36+M35+M39+M22+M63+M60+M37+M59+M61+M27+M26+M23+M17+M8+M62+M24+M25+M9+M18</f>
        <v>633178</v>
      </c>
      <c r="N68" s="321">
        <f>(L68-M68)/M68</f>
        <v>-5.0357087580427617E-2</v>
      </c>
      <c r="O68" s="376">
        <f>O64+O40+O38+O36+O35+O39+O22+O63+O60+O37+O59+O61+O27+O26+O23+O17+O8+O62+O24+O25+O9+O18</f>
        <v>6346964</v>
      </c>
      <c r="P68" s="376">
        <f>P64+P40+P38+P36+P35+P39+P22+P63+P60+P37+P59+P61+P27+P26+P23+P17+P8+P62+P24+P25+P9+P18</f>
        <v>6514655</v>
      </c>
      <c r="Q68" s="412">
        <f>(O68-P68)/P68</f>
        <v>-2.5740580276315476E-2</v>
      </c>
      <c r="R68" s="418">
        <f>+O68/O69</f>
        <v>0.19624488978129409</v>
      </c>
    </row>
    <row r="69" spans="1:20" ht="14.1" customHeight="1" thickBot="1" x14ac:dyDescent="0.25">
      <c r="B69" s="193" t="s">
        <v>138</v>
      </c>
      <c r="C69" s="377">
        <f>C57+C55+C50+C44+C42+C33+C20+C15+C6+C53+C31+C29+C11+C48+C13+C46+C4</f>
        <v>31981</v>
      </c>
      <c r="D69" s="377">
        <f>D57+D55+D50+D44+D42+D33+D20+D15+D6+D53+D31+D29+D11+D48+D13+D46+D4</f>
        <v>31332</v>
      </c>
      <c r="E69" s="378">
        <f>(C69-D69)/D69</f>
        <v>2.0713647389250606E-2</v>
      </c>
      <c r="F69" s="377">
        <f>F57+F55+F50+F44+F42+F33+F20+F15+F6+F53+F31+F29+F11+F48+F13+F46+F4</f>
        <v>313031</v>
      </c>
      <c r="G69" s="377">
        <f>G57+G55+G50+G44+G42+G33+G20+G15+G6+G53+G31+G29+G11+G48+G13+G46+G4</f>
        <v>312934</v>
      </c>
      <c r="H69" s="378">
        <f>(F69-G69)/G69</f>
        <v>3.0996951433848673E-4</v>
      </c>
      <c r="I69" s="423">
        <f>+H69/H69</f>
        <v>1</v>
      </c>
      <c r="K69" s="193" t="s">
        <v>138</v>
      </c>
      <c r="L69" s="377">
        <f>L57+L55+L50+L44+L42+L33+L20+L15+L6+L53+L31+L29+L11+L48+L13+L46+L4</f>
        <v>3284170</v>
      </c>
      <c r="M69" s="377">
        <f>M57+M55+M50+M44+M42+M33+M20+M15+M6+M53+M31+M29+M11+M48+M13+M46+M4</f>
        <v>3119318</v>
      </c>
      <c r="N69" s="378">
        <f>(L69-M69)/M69</f>
        <v>5.2848731677886E-2</v>
      </c>
      <c r="O69" s="377">
        <f>O57+O55+O50+O44+O42+O33+O20+O15+O6+O53+O31+O29+O11+O48+O13+O46+O4</f>
        <v>32342060</v>
      </c>
      <c r="P69" s="377">
        <f>P57+P55+P50+P44+P42+P33+P20+P15+P6+P53+P31+P29+P11+P48+P13+P46+P4</f>
        <v>31154225</v>
      </c>
      <c r="Q69" s="378">
        <f>(O69-P69)/P69</f>
        <v>3.8127573386916219E-2</v>
      </c>
      <c r="R69" s="423">
        <f>+Q69/Q69</f>
        <v>1</v>
      </c>
    </row>
    <row r="70" spans="1:20" x14ac:dyDescent="0.2">
      <c r="D70" s="3"/>
      <c r="F70" s="2"/>
      <c r="G70"/>
      <c r="H70"/>
      <c r="I70"/>
      <c r="J70"/>
      <c r="K70"/>
      <c r="M70"/>
      <c r="N70"/>
    </row>
    <row r="71" spans="1:20" x14ac:dyDescent="0.2">
      <c r="F71" s="2"/>
      <c r="H71"/>
      <c r="I71"/>
      <c r="J71"/>
      <c r="K71"/>
      <c r="N71"/>
      <c r="O71" s="2"/>
      <c r="P71" s="2"/>
    </row>
    <row r="72" spans="1:20" x14ac:dyDescent="0.2">
      <c r="F72" s="2"/>
      <c r="H72"/>
      <c r="I72"/>
      <c r="J72"/>
      <c r="K72"/>
      <c r="N72"/>
      <c r="O72" s="2"/>
      <c r="P72" s="2"/>
    </row>
    <row r="73" spans="1:20" x14ac:dyDescent="0.2">
      <c r="F73" s="2"/>
      <c r="H73"/>
      <c r="I73"/>
      <c r="J73"/>
      <c r="K73"/>
      <c r="N73"/>
      <c r="O73" s="2"/>
      <c r="P73" s="2"/>
    </row>
    <row r="74" spans="1:20" x14ac:dyDescent="0.2">
      <c r="D74" s="3"/>
      <c r="F74"/>
      <c r="G74"/>
      <c r="H74"/>
      <c r="I74"/>
      <c r="J74"/>
      <c r="K74"/>
      <c r="M74"/>
      <c r="N74"/>
    </row>
    <row r="75" spans="1:20" x14ac:dyDescent="0.2">
      <c r="D75" s="3"/>
      <c r="F75"/>
      <c r="G75"/>
      <c r="H75"/>
      <c r="I75"/>
      <c r="J75"/>
      <c r="K75"/>
      <c r="L75"/>
      <c r="M75"/>
      <c r="N75"/>
    </row>
    <row r="76" spans="1:20" x14ac:dyDescent="0.2">
      <c r="D76" s="3"/>
      <c r="F76"/>
      <c r="G76"/>
      <c r="H76"/>
      <c r="I76"/>
      <c r="J76"/>
      <c r="K76"/>
      <c r="L76"/>
      <c r="M76"/>
      <c r="N76"/>
    </row>
    <row r="77" spans="1:20" x14ac:dyDescent="0.2">
      <c r="D77" s="3"/>
      <c r="F77"/>
      <c r="G77"/>
      <c r="H77"/>
      <c r="I77"/>
      <c r="J77"/>
      <c r="K77"/>
      <c r="L77"/>
      <c r="M77"/>
      <c r="N77"/>
    </row>
    <row r="78" spans="1:20" x14ac:dyDescent="0.2">
      <c r="D78" s="3"/>
      <c r="F78"/>
      <c r="G78"/>
      <c r="H78"/>
      <c r="I78"/>
      <c r="J78"/>
      <c r="K78"/>
      <c r="L78"/>
      <c r="M78"/>
      <c r="N78"/>
    </row>
    <row r="79" spans="1:20" x14ac:dyDescent="0.2">
      <c r="D79" s="3"/>
      <c r="F79"/>
      <c r="G79"/>
      <c r="H79"/>
      <c r="I79"/>
      <c r="J79"/>
      <c r="K79"/>
      <c r="L79"/>
      <c r="M79"/>
      <c r="N79"/>
    </row>
    <row r="80" spans="1:20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F141" s="195"/>
      <c r="K141"/>
    </row>
    <row r="142" spans="4:14" x14ac:dyDescent="0.2">
      <c r="F142" s="195"/>
      <c r="K142"/>
    </row>
    <row r="143" spans="4:14" x14ac:dyDescent="0.2">
      <c r="F143" s="195"/>
      <c r="K143"/>
    </row>
    <row r="144" spans="4:14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  <row r="4670" spans="6:11" x14ac:dyDescent="0.2">
      <c r="F4670" s="195"/>
      <c r="K4670"/>
    </row>
    <row r="4671" spans="6:11" x14ac:dyDescent="0.2">
      <c r="F4671" s="195"/>
      <c r="K4671"/>
    </row>
    <row r="4672" spans="6:11" x14ac:dyDescent="0.2">
      <c r="F4672" s="195"/>
      <c r="K4672"/>
    </row>
    <row r="4673" spans="6:11" x14ac:dyDescent="0.2">
      <c r="F4673" s="195"/>
      <c r="K4673"/>
    </row>
    <row r="4674" spans="6:11" x14ac:dyDescent="0.2">
      <c r="F4674" s="195"/>
      <c r="K4674"/>
    </row>
    <row r="4675" spans="6:11" x14ac:dyDescent="0.2">
      <c r="F4675" s="195"/>
      <c r="K4675"/>
    </row>
    <row r="4676" spans="6:11" x14ac:dyDescent="0.2">
      <c r="F4676" s="195"/>
      <c r="K4676"/>
    </row>
    <row r="4677" spans="6:11" x14ac:dyDescent="0.2">
      <c r="F4677" s="195"/>
      <c r="K4677"/>
    </row>
    <row r="4678" spans="6:11" x14ac:dyDescent="0.2">
      <c r="F4678" s="195"/>
      <c r="K4678"/>
    </row>
    <row r="4679" spans="6:11" x14ac:dyDescent="0.2">
      <c r="F4679" s="195"/>
      <c r="K4679"/>
    </row>
    <row r="4680" spans="6:11" x14ac:dyDescent="0.2">
      <c r="F4680" s="195"/>
      <c r="K4680"/>
    </row>
    <row r="4681" spans="6:11" x14ac:dyDescent="0.2">
      <c r="F4681" s="195"/>
      <c r="K4681"/>
    </row>
    <row r="4682" spans="6:11" x14ac:dyDescent="0.2">
      <c r="F4682" s="195"/>
      <c r="K4682"/>
    </row>
    <row r="4683" spans="6:11" x14ac:dyDescent="0.2">
      <c r="F4683" s="195"/>
      <c r="K4683"/>
    </row>
    <row r="4684" spans="6:11" x14ac:dyDescent="0.2">
      <c r="F4684" s="195"/>
      <c r="K4684"/>
    </row>
    <row r="4685" spans="6:11" x14ac:dyDescent="0.2">
      <c r="F4685" s="195"/>
      <c r="K4685"/>
    </row>
    <row r="4686" spans="6:11" x14ac:dyDescent="0.2">
      <c r="F4686" s="195"/>
      <c r="K4686"/>
    </row>
    <row r="4687" spans="6:11" x14ac:dyDescent="0.2">
      <c r="F4687" s="195"/>
      <c r="K4687"/>
    </row>
    <row r="4688" spans="6:11" x14ac:dyDescent="0.2">
      <c r="F4688" s="195"/>
      <c r="K4688"/>
    </row>
    <row r="4689" spans="6:11" x14ac:dyDescent="0.2">
      <c r="F4689" s="195"/>
      <c r="K4689"/>
    </row>
    <row r="4690" spans="6:11" x14ac:dyDescent="0.2">
      <c r="F4690" s="195"/>
      <c r="K4690"/>
    </row>
    <row r="4691" spans="6:11" x14ac:dyDescent="0.2">
      <c r="F4691" s="195"/>
      <c r="K4691"/>
    </row>
    <row r="4692" spans="6:11" x14ac:dyDescent="0.2">
      <c r="F4692" s="195"/>
      <c r="K4692"/>
    </row>
    <row r="4693" spans="6:11" x14ac:dyDescent="0.2">
      <c r="F4693" s="195"/>
      <c r="K4693"/>
    </row>
    <row r="4694" spans="6:11" x14ac:dyDescent="0.2">
      <c r="F4694" s="195"/>
      <c r="K4694"/>
    </row>
    <row r="4695" spans="6:11" x14ac:dyDescent="0.2">
      <c r="F4695" s="195"/>
      <c r="K4695"/>
    </row>
    <row r="4696" spans="6:11" x14ac:dyDescent="0.2">
      <c r="F4696" s="195"/>
      <c r="K4696"/>
    </row>
    <row r="4697" spans="6:11" x14ac:dyDescent="0.2">
      <c r="F4697" s="195"/>
      <c r="K4697"/>
    </row>
    <row r="4698" spans="6:11" x14ac:dyDescent="0.2">
      <c r="F4698" s="195"/>
      <c r="K4698"/>
    </row>
    <row r="4699" spans="6:11" x14ac:dyDescent="0.2">
      <c r="F4699" s="195"/>
      <c r="K4699"/>
    </row>
    <row r="4700" spans="6:11" x14ac:dyDescent="0.2">
      <c r="F4700" s="195"/>
      <c r="K4700"/>
    </row>
    <row r="4701" spans="6:11" x14ac:dyDescent="0.2">
      <c r="F4701" s="195"/>
      <c r="K4701"/>
    </row>
    <row r="4702" spans="6:11" x14ac:dyDescent="0.2">
      <c r="F4702" s="195"/>
      <c r="K4702"/>
    </row>
    <row r="4703" spans="6:11" x14ac:dyDescent="0.2">
      <c r="F4703" s="195"/>
      <c r="K4703"/>
    </row>
    <row r="4704" spans="6:11" x14ac:dyDescent="0.2">
      <c r="F4704" s="195"/>
      <c r="K4704"/>
    </row>
    <row r="4705" spans="6:11" x14ac:dyDescent="0.2">
      <c r="F4705" s="195"/>
      <c r="K4705"/>
    </row>
    <row r="4706" spans="6:11" x14ac:dyDescent="0.2">
      <c r="F4706" s="195"/>
      <c r="K4706"/>
    </row>
    <row r="4707" spans="6:11" x14ac:dyDescent="0.2">
      <c r="F4707" s="195"/>
      <c r="K4707"/>
    </row>
    <row r="4708" spans="6:11" x14ac:dyDescent="0.2">
      <c r="F4708" s="195"/>
      <c r="K4708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6" fitToWidth="2" orientation="portrait" r:id="rId1"/>
  <headerFooter alignWithMargins="0">
    <oddHeader>&amp;L
Schedule 10
&amp;CMinneapolis-St. Paul International Airport
&amp;"Arial,Bold"&amp;A
October 2019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zoomScalePageLayoutView="70" workbookViewId="0">
      <selection activeCell="C19" activeCellId="1" sqref="C15 C19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25">
        <v>43739</v>
      </c>
      <c r="B1" s="445" t="s">
        <v>17</v>
      </c>
      <c r="C1" s="445" t="s">
        <v>18</v>
      </c>
      <c r="D1" s="445" t="s">
        <v>19</v>
      </c>
      <c r="E1" s="445" t="s">
        <v>160</v>
      </c>
      <c r="F1" s="445" t="s">
        <v>167</v>
      </c>
      <c r="G1" s="445" t="s">
        <v>161</v>
      </c>
      <c r="H1" s="425" t="s">
        <v>215</v>
      </c>
      <c r="I1" s="425" t="s">
        <v>202</v>
      </c>
      <c r="J1" s="373" t="s">
        <v>20</v>
      </c>
      <c r="K1" s="372" t="s">
        <v>21</v>
      </c>
    </row>
    <row r="2" spans="1:20" ht="15" x14ac:dyDescent="0.25">
      <c r="A2" s="49" t="s">
        <v>3</v>
      </c>
      <c r="B2" s="43"/>
      <c r="C2" s="43"/>
      <c r="D2" s="43"/>
      <c r="E2" s="43"/>
      <c r="F2" s="43"/>
      <c r="G2" s="43"/>
      <c r="H2" s="424"/>
      <c r="I2" s="424"/>
      <c r="J2" s="43"/>
      <c r="K2" s="241"/>
    </row>
    <row r="3" spans="1:20" x14ac:dyDescent="0.2">
      <c r="A3" s="47" t="s">
        <v>29</v>
      </c>
      <c r="K3" s="40"/>
    </row>
    <row r="4" spans="1:20" x14ac:dyDescent="0.2">
      <c r="A4" s="47" t="s">
        <v>30</v>
      </c>
      <c r="B4" s="13">
        <f>[3]American!$GK$22</f>
        <v>74567</v>
      </c>
      <c r="C4" s="13">
        <f>[3]Delta!$GK$22+[3]Delta!$GK$32</f>
        <v>916968</v>
      </c>
      <c r="D4" s="13">
        <f>[3]United!$GK$22</f>
        <v>51391</v>
      </c>
      <c r="E4" s="13">
        <f>[3]Spirit!$GK$22</f>
        <v>46038</v>
      </c>
      <c r="F4" s="13">
        <f>[3]Condor!$GK$22+[3]Condor!$GK$32</f>
        <v>0</v>
      </c>
      <c r="G4" s="13">
        <f>'[3]Air France'!$GK$22+'[3]Air France'!$GK$32</f>
        <v>0</v>
      </c>
      <c r="H4" s="13">
        <f>'[3]Jet Blue'!$GK$22</f>
        <v>9790</v>
      </c>
      <c r="I4" s="13">
        <f>[3]KLM!$GK$22+[3]KLM!$GK$32</f>
        <v>4759</v>
      </c>
      <c r="J4" s="13">
        <f>'Other Major Airline Stats'!J5</f>
        <v>228512</v>
      </c>
      <c r="K4" s="242">
        <f>SUM(B4:J4)</f>
        <v>1332025</v>
      </c>
      <c r="M4" s="443"/>
      <c r="N4" s="443"/>
      <c r="O4" s="443"/>
      <c r="P4" s="443"/>
      <c r="Q4" s="443"/>
      <c r="R4" s="443"/>
      <c r="S4" s="443"/>
      <c r="T4" s="443"/>
    </row>
    <row r="5" spans="1:20" x14ac:dyDescent="0.2">
      <c r="A5" s="47" t="s">
        <v>31</v>
      </c>
      <c r="B5" s="7">
        <f>[3]American!$GK$23</f>
        <v>77050</v>
      </c>
      <c r="C5" s="7">
        <f>[3]Delta!$GK$23+[3]Delta!$GK$33</f>
        <v>925305</v>
      </c>
      <c r="D5" s="7">
        <f>[3]United!$GK$23</f>
        <v>50474</v>
      </c>
      <c r="E5" s="7">
        <f>[3]Spirit!$GK$23</f>
        <v>47859</v>
      </c>
      <c r="F5" s="7">
        <f>[3]Condor!$GK$23+[3]Condor!$GK$33</f>
        <v>0</v>
      </c>
      <c r="G5" s="7">
        <f>'[3]Air France'!$GK$23+'[3]Air France'!$GK$33</f>
        <v>0</v>
      </c>
      <c r="H5" s="7">
        <f>'[3]Jet Blue'!$GK$23</f>
        <v>9750</v>
      </c>
      <c r="I5" s="7">
        <f>[3]KLM!$GK$23+[3]KLM!$GK$33</f>
        <v>4014</v>
      </c>
      <c r="J5" s="7">
        <f>'Other Major Airline Stats'!J6</f>
        <v>236400</v>
      </c>
      <c r="K5" s="243">
        <f>SUM(B5:J5)</f>
        <v>1350852</v>
      </c>
      <c r="M5" s="267"/>
      <c r="N5" s="267"/>
      <c r="O5" s="267"/>
      <c r="P5" s="267"/>
      <c r="Q5" s="267"/>
      <c r="R5" s="267"/>
      <c r="S5" s="267"/>
      <c r="T5" s="267"/>
    </row>
    <row r="6" spans="1:20" ht="15" x14ac:dyDescent="0.25">
      <c r="A6" s="45" t="s">
        <v>7</v>
      </c>
      <c r="B6" s="25">
        <f t="shared" ref="B6:J6" si="0">SUM(B4:B5)</f>
        <v>151617</v>
      </c>
      <c r="C6" s="25">
        <f t="shared" si="0"/>
        <v>1842273</v>
      </c>
      <c r="D6" s="25">
        <f t="shared" si="0"/>
        <v>101865</v>
      </c>
      <c r="E6" s="25">
        <f t="shared" si="0"/>
        <v>93897</v>
      </c>
      <c r="F6" s="25">
        <f t="shared" ref="F6" si="1">SUM(F4:F5)</f>
        <v>0</v>
      </c>
      <c r="G6" s="25">
        <f t="shared" ref="G6:I6" si="2">SUM(G4:G5)</f>
        <v>0</v>
      </c>
      <c r="H6" s="25">
        <f t="shared" ref="H6" si="3">SUM(H4:H5)</f>
        <v>19540</v>
      </c>
      <c r="I6" s="25">
        <f t="shared" si="2"/>
        <v>8773</v>
      </c>
      <c r="J6" s="25">
        <f t="shared" si="0"/>
        <v>464912</v>
      </c>
      <c r="K6" s="244">
        <f>SUM(B6:J6)</f>
        <v>2682877</v>
      </c>
    </row>
    <row r="7" spans="1:20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242"/>
    </row>
    <row r="8" spans="1:20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42">
        <f>SUM(B8:J8)</f>
        <v>0</v>
      </c>
    </row>
    <row r="9" spans="1:20" x14ac:dyDescent="0.2">
      <c r="A9" s="47" t="s">
        <v>30</v>
      </c>
      <c r="B9" s="13">
        <f>[3]American!$GK$27</f>
        <v>2955</v>
      </c>
      <c r="C9" s="13">
        <f>[3]Delta!$GK$27+[3]Delta!$GK$37</f>
        <v>32154</v>
      </c>
      <c r="D9" s="13">
        <f>[3]United!$GK$27</f>
        <v>1766</v>
      </c>
      <c r="E9" s="13">
        <f>[3]Spirit!$GK$27</f>
        <v>240</v>
      </c>
      <c r="F9" s="13">
        <f>[3]Condor!$GK$27+[3]Condor!$GK$37</f>
        <v>0</v>
      </c>
      <c r="G9" s="13">
        <f>'[3]Air France'!$GK$27+'[3]Air France'!$GK$37</f>
        <v>0</v>
      </c>
      <c r="H9" s="13">
        <f>'[3]Jet Blue'!$GK$27</f>
        <v>278</v>
      </c>
      <c r="I9" s="13">
        <f>[3]KLM!$GK$27+[3]KLM!$GK$37</f>
        <v>8</v>
      </c>
      <c r="J9" s="13">
        <f>'Other Major Airline Stats'!J10</f>
        <v>3745</v>
      </c>
      <c r="K9" s="242">
        <f>SUM(B9:J9)</f>
        <v>41146</v>
      </c>
    </row>
    <row r="10" spans="1:20" x14ac:dyDescent="0.2">
      <c r="A10" s="47" t="s">
        <v>33</v>
      </c>
      <c r="B10" s="7">
        <f>[3]American!$GK$28</f>
        <v>3142</v>
      </c>
      <c r="C10" s="7">
        <f>[3]Delta!$GK$28+[3]Delta!$GK$38</f>
        <v>31914</v>
      </c>
      <c r="D10" s="7">
        <f>[3]United!$GK$28</f>
        <v>1904</v>
      </c>
      <c r="E10" s="7">
        <f>[3]Spirit!$GK$28</f>
        <v>269</v>
      </c>
      <c r="F10" s="7">
        <f>[3]Condor!$GK$28+[3]Condor!$GK$38</f>
        <v>0</v>
      </c>
      <c r="G10" s="7">
        <f>'[3]Air France'!$GK$28+'[3]Air France'!$GK$38</f>
        <v>0</v>
      </c>
      <c r="H10" s="7">
        <f>'[3]Jet Blue'!$GK$28</f>
        <v>256</v>
      </c>
      <c r="I10" s="7">
        <f>[3]KLM!$GK$28+[3]KLM!$GK$38</f>
        <v>9</v>
      </c>
      <c r="J10" s="7">
        <f>'Other Major Airline Stats'!J11</f>
        <v>4106</v>
      </c>
      <c r="K10" s="243">
        <f>SUM(B10:J10)</f>
        <v>41600</v>
      </c>
    </row>
    <row r="11" spans="1:20" ht="15.75" thickBot="1" x14ac:dyDescent="0.3">
      <c r="A11" s="48" t="s">
        <v>34</v>
      </c>
      <c r="B11" s="245">
        <f t="shared" ref="B11:J11" si="4">SUM(B9:B10)</f>
        <v>6097</v>
      </c>
      <c r="C11" s="245">
        <f t="shared" si="4"/>
        <v>64068</v>
      </c>
      <c r="D11" s="245">
        <f t="shared" si="4"/>
        <v>3670</v>
      </c>
      <c r="E11" s="245">
        <f t="shared" si="4"/>
        <v>509</v>
      </c>
      <c r="F11" s="245">
        <f t="shared" ref="F11" si="5">SUM(F9:F10)</f>
        <v>0</v>
      </c>
      <c r="G11" s="245">
        <f t="shared" ref="G11:I11" si="6">SUM(G9:G10)</f>
        <v>0</v>
      </c>
      <c r="H11" s="245">
        <f t="shared" ref="H11" si="7">SUM(H9:H10)</f>
        <v>534</v>
      </c>
      <c r="I11" s="245">
        <f t="shared" si="6"/>
        <v>17</v>
      </c>
      <c r="J11" s="245">
        <f t="shared" si="4"/>
        <v>7851</v>
      </c>
      <c r="K11" s="246">
        <f>SUM(B11:J11)</f>
        <v>82746</v>
      </c>
    </row>
    <row r="13" spans="1:20" ht="13.5" thickBot="1" x14ac:dyDescent="0.25"/>
    <row r="14" spans="1:20" ht="15.75" thickTop="1" x14ac:dyDescent="0.25">
      <c r="A14" s="4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7" t="s">
        <v>22</v>
      </c>
      <c r="B15" s="13">
        <f>[3]American!$GK$4</f>
        <v>614</v>
      </c>
      <c r="C15" s="13">
        <f>[3]Delta!$GK$4+[3]Delta!$GK$15</f>
        <v>6653</v>
      </c>
      <c r="D15" s="13">
        <f>[3]United!$GK$4</f>
        <v>396</v>
      </c>
      <c r="E15" s="13">
        <f>[3]Spirit!$GK$4</f>
        <v>300</v>
      </c>
      <c r="F15" s="13">
        <f>[3]Condor!$GK$4+[3]Condor!$GK$15</f>
        <v>0</v>
      </c>
      <c r="G15" s="13">
        <f>'[3]Air France'!$GK$4+'[3]Air France'!$GK$15</f>
        <v>0</v>
      </c>
      <c r="H15" s="13">
        <f>'[3]Jet Blue'!$GK$4</f>
        <v>86</v>
      </c>
      <c r="I15" s="13">
        <f>[3]KLM!$GK$4+[3]KLM!$GK$15</f>
        <v>18</v>
      </c>
      <c r="J15" s="13">
        <f>'Other Major Airline Stats'!J16</f>
        <v>1903</v>
      </c>
      <c r="K15" s="18">
        <f>SUM(B15:J15)</f>
        <v>9970</v>
      </c>
      <c r="M15" s="267"/>
    </row>
    <row r="16" spans="1:20" x14ac:dyDescent="0.2">
      <c r="A16" s="47" t="s">
        <v>23</v>
      </c>
      <c r="B16" s="7">
        <f>[3]American!$GK$5</f>
        <v>614</v>
      </c>
      <c r="C16" s="7">
        <f>[3]Delta!$GK$5+[3]Delta!$GK$16</f>
        <v>6706</v>
      </c>
      <c r="D16" s="7">
        <f>[3]United!$GK$5</f>
        <v>396</v>
      </c>
      <c r="E16" s="7">
        <f>[3]Spirit!$GK$5</f>
        <v>300</v>
      </c>
      <c r="F16" s="7">
        <f>[3]Condor!$GK$5+[3]Condor!$GK$16</f>
        <v>0</v>
      </c>
      <c r="G16" s="7">
        <f>'[3]Air France'!$GK$5+'[3]Air France'!$GK$16</f>
        <v>0</v>
      </c>
      <c r="H16" s="7">
        <f>'[3]Jet Blue'!$GK$5</f>
        <v>86</v>
      </c>
      <c r="I16" s="7">
        <f>[3]KLM!$GK$5+[3]KLM!$GK$16</f>
        <v>18</v>
      </c>
      <c r="J16" s="7">
        <f>'Other Major Airline Stats'!J17</f>
        <v>1903</v>
      </c>
      <c r="K16" s="24">
        <f>SUM(B16:J16)</f>
        <v>10023</v>
      </c>
    </row>
    <row r="17" spans="1:11" x14ac:dyDescent="0.2">
      <c r="A17" s="47" t="s">
        <v>24</v>
      </c>
      <c r="B17" s="249">
        <f t="shared" ref="B17:J17" si="8">SUM(B15:B16)</f>
        <v>1228</v>
      </c>
      <c r="C17" s="247">
        <f t="shared" si="8"/>
        <v>13359</v>
      </c>
      <c r="D17" s="247">
        <f t="shared" si="8"/>
        <v>792</v>
      </c>
      <c r="E17" s="247">
        <f t="shared" si="8"/>
        <v>600</v>
      </c>
      <c r="F17" s="247">
        <f t="shared" ref="F17" si="9">SUM(F15:F16)</f>
        <v>0</v>
      </c>
      <c r="G17" s="247">
        <f t="shared" ref="G17:I17" si="10">SUM(G15:G16)</f>
        <v>0</v>
      </c>
      <c r="H17" s="247">
        <f t="shared" ref="H17" si="11">SUM(H15:H16)</f>
        <v>172</v>
      </c>
      <c r="I17" s="247">
        <f t="shared" si="10"/>
        <v>36</v>
      </c>
      <c r="J17" s="247">
        <f t="shared" si="8"/>
        <v>3806</v>
      </c>
      <c r="K17" s="248">
        <f>SUM(B17:J17)</f>
        <v>19993</v>
      </c>
    </row>
    <row r="18" spans="1:11" x14ac:dyDescent="0.2">
      <c r="A18" s="47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7" t="s">
        <v>25</v>
      </c>
      <c r="B19" s="13">
        <f>[3]American!$GK$8</f>
        <v>0</v>
      </c>
      <c r="C19" s="13">
        <f>[3]Delta!$GK$8</f>
        <v>2</v>
      </c>
      <c r="D19" s="13">
        <f>[3]United!$GK$8</f>
        <v>0</v>
      </c>
      <c r="E19" s="13">
        <f>[3]Spirit!$GK$8</f>
        <v>0</v>
      </c>
      <c r="F19" s="13">
        <f>[3]Condor!$GK$8</f>
        <v>0</v>
      </c>
      <c r="G19" s="13">
        <f>'[3]Air France'!$GK$8</f>
        <v>0</v>
      </c>
      <c r="H19" s="13">
        <f>'[3]Jet Blue'!$GK$8</f>
        <v>1</v>
      </c>
      <c r="I19" s="13">
        <f>[3]KLM!$GK$8</f>
        <v>0</v>
      </c>
      <c r="J19" s="13">
        <f>'Other Major Airline Stats'!J20</f>
        <v>103</v>
      </c>
      <c r="K19" s="18">
        <f>SUM(B19:J19)</f>
        <v>106</v>
      </c>
    </row>
    <row r="20" spans="1:11" x14ac:dyDescent="0.2">
      <c r="A20" s="47" t="s">
        <v>26</v>
      </c>
      <c r="B20" s="7">
        <f>[3]American!$GK$9</f>
        <v>0</v>
      </c>
      <c r="C20" s="7">
        <f>[3]Delta!$GK$9</f>
        <v>12</v>
      </c>
      <c r="D20" s="7">
        <f>[3]United!$GK$9</f>
        <v>0</v>
      </c>
      <c r="E20" s="7">
        <f>[3]Spirit!$GK$9</f>
        <v>0</v>
      </c>
      <c r="F20" s="7">
        <f>[3]Condor!$GK$9</f>
        <v>0</v>
      </c>
      <c r="G20" s="7">
        <f>'[3]Air France'!$GK$9</f>
        <v>0</v>
      </c>
      <c r="H20" s="7">
        <f>'[3]Jet Blue'!$GK$9</f>
        <v>1</v>
      </c>
      <c r="I20" s="7">
        <f>[3]KLM!$GK$9</f>
        <v>0</v>
      </c>
      <c r="J20" s="7">
        <f>'Other Major Airline Stats'!J21</f>
        <v>102</v>
      </c>
      <c r="K20" s="24">
        <f>SUM(B20:J20)</f>
        <v>115</v>
      </c>
    </row>
    <row r="21" spans="1:11" x14ac:dyDescent="0.2">
      <c r="A21" s="47" t="s">
        <v>27</v>
      </c>
      <c r="B21" s="249">
        <f t="shared" ref="B21:J21" si="12">SUM(B19:B20)</f>
        <v>0</v>
      </c>
      <c r="C21" s="247">
        <f t="shared" si="12"/>
        <v>14</v>
      </c>
      <c r="D21" s="247">
        <f t="shared" si="12"/>
        <v>0</v>
      </c>
      <c r="E21" s="247">
        <f t="shared" si="12"/>
        <v>0</v>
      </c>
      <c r="F21" s="247">
        <f t="shared" ref="F21" si="13">SUM(F19:F20)</f>
        <v>0</v>
      </c>
      <c r="G21" s="247">
        <f t="shared" ref="G21:I21" si="14">SUM(G19:G20)</f>
        <v>0</v>
      </c>
      <c r="H21" s="247">
        <f t="shared" ref="H21" si="15">SUM(H19:H20)</f>
        <v>2</v>
      </c>
      <c r="I21" s="247">
        <f t="shared" si="14"/>
        <v>0</v>
      </c>
      <c r="J21" s="247">
        <f t="shared" si="12"/>
        <v>205</v>
      </c>
      <c r="K21" s="148">
        <f>SUM(B21:J21)</f>
        <v>221</v>
      </c>
    </row>
    <row r="22" spans="1:11" x14ac:dyDescent="0.2">
      <c r="A22" s="47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8" t="s">
        <v>28</v>
      </c>
      <c r="B23" s="19">
        <f t="shared" ref="B23:J23" si="16">B17+B21</f>
        <v>1228</v>
      </c>
      <c r="C23" s="19">
        <f t="shared" si="16"/>
        <v>13373</v>
      </c>
      <c r="D23" s="19">
        <f t="shared" si="16"/>
        <v>792</v>
      </c>
      <c r="E23" s="19">
        <f>E17+E21</f>
        <v>600</v>
      </c>
      <c r="F23" s="19">
        <f t="shared" ref="F23" si="17">F17+F21</f>
        <v>0</v>
      </c>
      <c r="G23" s="19">
        <f t="shared" ref="G23:I23" si="18">G17+G21</f>
        <v>0</v>
      </c>
      <c r="H23" s="19">
        <f t="shared" ref="H23" si="19">H17+H21</f>
        <v>174</v>
      </c>
      <c r="I23" s="19">
        <f t="shared" si="18"/>
        <v>36</v>
      </c>
      <c r="J23" s="19">
        <f t="shared" si="16"/>
        <v>4011</v>
      </c>
      <c r="K23" s="20">
        <f>SUM(B23:J23)</f>
        <v>20214</v>
      </c>
    </row>
    <row r="25" spans="1:11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1" ht="15.75" thickTop="1" x14ac:dyDescent="0.25">
      <c r="A26" s="50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7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7" t="s">
        <v>37</v>
      </c>
      <c r="B28" s="13">
        <f>[3]American!$GK$47</f>
        <v>27077</v>
      </c>
      <c r="C28" s="13">
        <f>[3]Delta!$GK$47</f>
        <v>2511993</v>
      </c>
      <c r="D28" s="13">
        <f>[3]United!$GK$47</f>
        <v>40176</v>
      </c>
      <c r="E28" s="13">
        <f>[3]Spirit!$GK$47</f>
        <v>0</v>
      </c>
      <c r="F28" s="13">
        <f>[3]Condor!$GK$47</f>
        <v>0</v>
      </c>
      <c r="G28" s="13">
        <f>'[3]Air France'!$GK$47</f>
        <v>0</v>
      </c>
      <c r="H28" s="13">
        <f>'[3]Jet Blue'!$GK$47</f>
        <v>0</v>
      </c>
      <c r="I28" s="13">
        <f>[3]KLM!$GK$47</f>
        <v>456526</v>
      </c>
      <c r="J28" s="13">
        <f>'Other Major Airline Stats'!J28</f>
        <v>331714</v>
      </c>
      <c r="K28" s="18">
        <f>SUM(B28:J28)</f>
        <v>3367486</v>
      </c>
    </row>
    <row r="29" spans="1:11" x14ac:dyDescent="0.2">
      <c r="A29" s="47" t="s">
        <v>38</v>
      </c>
      <c r="B29" s="7">
        <f>[3]American!$GK$48</f>
        <v>19706</v>
      </c>
      <c r="C29" s="7">
        <f>[3]Delta!$GK$48</f>
        <v>1771812</v>
      </c>
      <c r="D29" s="7">
        <f>[3]United!$GK$48</f>
        <v>63529</v>
      </c>
      <c r="E29" s="7">
        <f>[3]Spirit!$GK$48</f>
        <v>0</v>
      </c>
      <c r="F29" s="7">
        <f>[3]Condor!$GK$48</f>
        <v>0</v>
      </c>
      <c r="G29" s="7">
        <f>'[3]Air France'!$GK$48</f>
        <v>0</v>
      </c>
      <c r="H29" s="7">
        <f>'[3]Jet Blue'!$GK$48</f>
        <v>0</v>
      </c>
      <c r="I29" s="7">
        <f>[3]KLM!$GK$48</f>
        <v>0</v>
      </c>
      <c r="J29" s="7">
        <f>'Other Major Airline Stats'!J29</f>
        <v>356256</v>
      </c>
      <c r="K29" s="24">
        <f>SUM(B29:J29)</f>
        <v>2211303</v>
      </c>
    </row>
    <row r="30" spans="1:11" x14ac:dyDescent="0.2">
      <c r="A30" s="51" t="s">
        <v>39</v>
      </c>
      <c r="B30" s="249">
        <f t="shared" ref="B30:J30" si="20">SUM(B28:B29)</f>
        <v>46783</v>
      </c>
      <c r="C30" s="249">
        <f t="shared" si="20"/>
        <v>4283805</v>
      </c>
      <c r="D30" s="249">
        <f t="shared" si="20"/>
        <v>103705</v>
      </c>
      <c r="E30" s="249">
        <f t="shared" si="20"/>
        <v>0</v>
      </c>
      <c r="F30" s="249">
        <f t="shared" ref="F30" si="21">SUM(F28:F29)</f>
        <v>0</v>
      </c>
      <c r="G30" s="249">
        <f t="shared" ref="G30:I30" si="22">SUM(G28:G29)</f>
        <v>0</v>
      </c>
      <c r="H30" s="249">
        <f t="shared" ref="H30" si="23">SUM(H28:H29)</f>
        <v>0</v>
      </c>
      <c r="I30" s="249">
        <f t="shared" si="22"/>
        <v>456526</v>
      </c>
      <c r="J30" s="249">
        <f t="shared" si="20"/>
        <v>687970</v>
      </c>
      <c r="K30" s="18">
        <f>SUM(B30:J30)</f>
        <v>5578789</v>
      </c>
    </row>
    <row r="31" spans="1:11" x14ac:dyDescent="0.2">
      <c r="A31" s="47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7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24">SUM(B32:J32)</f>
        <v>0</v>
      </c>
    </row>
    <row r="33" spans="1:11" x14ac:dyDescent="0.2">
      <c r="A33" s="47" t="s">
        <v>37</v>
      </c>
      <c r="B33" s="13">
        <f>[3]American!$GK$52</f>
        <v>12308</v>
      </c>
      <c r="C33" s="13">
        <f>[3]Delta!$GK$52</f>
        <v>1670345</v>
      </c>
      <c r="D33" s="13">
        <f>[3]United!$GK$52</f>
        <v>14182</v>
      </c>
      <c r="E33" s="13">
        <f>[3]Spirit!$GK$52</f>
        <v>0</v>
      </c>
      <c r="F33" s="13">
        <f>[3]Condor!$GK$52</f>
        <v>0</v>
      </c>
      <c r="G33" s="13">
        <f>'[3]Air France'!$GK$52</f>
        <v>0</v>
      </c>
      <c r="H33" s="13">
        <f>'[3]Jet Blue'!$GK$52</f>
        <v>0</v>
      </c>
      <c r="I33" s="13">
        <f>[3]KLM!$GK$52</f>
        <v>248600</v>
      </c>
      <c r="J33" s="13">
        <f>'Other Major Airline Stats'!J33</f>
        <v>156292</v>
      </c>
      <c r="K33" s="18">
        <f t="shared" si="24"/>
        <v>2101727</v>
      </c>
    </row>
    <row r="34" spans="1:11" x14ac:dyDescent="0.2">
      <c r="A34" s="47" t="s">
        <v>38</v>
      </c>
      <c r="B34" s="7">
        <f>[3]American!$GK$53</f>
        <v>39023</v>
      </c>
      <c r="C34" s="7">
        <f>[3]Delta!$GK$53</f>
        <v>1880714</v>
      </c>
      <c r="D34" s="7">
        <f>[3]United!$GK$53</f>
        <v>45921</v>
      </c>
      <c r="E34" s="7">
        <f>[3]Spirit!$GK$53</f>
        <v>0</v>
      </c>
      <c r="F34" s="7">
        <f>[3]Condor!$GK$53</f>
        <v>0</v>
      </c>
      <c r="G34" s="7">
        <f>'[3]Air France'!$GK$53</f>
        <v>0</v>
      </c>
      <c r="H34" s="7">
        <f>'[3]Jet Blue'!$GK$53</f>
        <v>0</v>
      </c>
      <c r="I34" s="7">
        <f>[3]KLM!$GK$53</f>
        <v>0</v>
      </c>
      <c r="J34" s="7">
        <f>'Other Major Airline Stats'!J34</f>
        <v>397095</v>
      </c>
      <c r="K34" s="24">
        <f t="shared" si="24"/>
        <v>2362753</v>
      </c>
    </row>
    <row r="35" spans="1:11" x14ac:dyDescent="0.2">
      <c r="A35" s="51" t="s">
        <v>41</v>
      </c>
      <c r="B35" s="249">
        <f t="shared" ref="B35:J35" si="25">SUM(B33:B34)</f>
        <v>51331</v>
      </c>
      <c r="C35" s="249">
        <f t="shared" si="25"/>
        <v>3551059</v>
      </c>
      <c r="D35" s="249">
        <f t="shared" si="25"/>
        <v>60103</v>
      </c>
      <c r="E35" s="249">
        <f t="shared" si="25"/>
        <v>0</v>
      </c>
      <c r="F35" s="249">
        <f t="shared" ref="F35" si="26">SUM(F33:F34)</f>
        <v>0</v>
      </c>
      <c r="G35" s="249">
        <f t="shared" ref="G35:I35" si="27">SUM(G33:G34)</f>
        <v>0</v>
      </c>
      <c r="H35" s="249">
        <f t="shared" ref="H35" si="28">SUM(H33:H34)</f>
        <v>0</v>
      </c>
      <c r="I35" s="249">
        <f t="shared" si="27"/>
        <v>248600</v>
      </c>
      <c r="J35" s="249">
        <f t="shared" si="25"/>
        <v>553387</v>
      </c>
      <c r="K35" s="18">
        <f t="shared" si="24"/>
        <v>4464480</v>
      </c>
    </row>
    <row r="36" spans="1:11" hidden="1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24"/>
        <v>0</v>
      </c>
    </row>
    <row r="37" spans="1:11" hidden="1" x14ac:dyDescent="0.2">
      <c r="A37" s="47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24"/>
        <v>0</v>
      </c>
    </row>
    <row r="38" spans="1:11" hidden="1" x14ac:dyDescent="0.2">
      <c r="A38" s="47" t="s">
        <v>37</v>
      </c>
      <c r="B38" s="13">
        <f>[3]American!$GK$57</f>
        <v>0</v>
      </c>
      <c r="C38" s="13">
        <f>[3]Delta!$GK$57</f>
        <v>0</v>
      </c>
      <c r="D38" s="13">
        <f>[3]United!$GK$57</f>
        <v>0</v>
      </c>
      <c r="E38" s="13">
        <f>[3]Spirit!$GK$57</f>
        <v>0</v>
      </c>
      <c r="F38" s="13">
        <f>[3]Condor!$GK$57</f>
        <v>0</v>
      </c>
      <c r="G38" s="13">
        <f>'[3]Air France'!$GK$57</f>
        <v>0</v>
      </c>
      <c r="H38" s="13">
        <f>'[3]Jet Blue'!$GK$57</f>
        <v>0</v>
      </c>
      <c r="I38" s="13">
        <f>[3]KLM!$GK$57</f>
        <v>0</v>
      </c>
      <c r="J38" s="13">
        <f>'Other Major Airline Stats'!J38</f>
        <v>0</v>
      </c>
      <c r="K38" s="18">
        <f t="shared" si="24"/>
        <v>0</v>
      </c>
    </row>
    <row r="39" spans="1:11" hidden="1" x14ac:dyDescent="0.2">
      <c r="A39" s="47" t="s">
        <v>38</v>
      </c>
      <c r="B39" s="7">
        <f>[3]American!$GK$58</f>
        <v>0</v>
      </c>
      <c r="C39" s="7">
        <f>[3]Delta!$GK$58</f>
        <v>0</v>
      </c>
      <c r="D39" s="7">
        <f>[3]United!$GK$58</f>
        <v>0</v>
      </c>
      <c r="E39" s="7">
        <f>[3]Spirit!$GK$58</f>
        <v>0</v>
      </c>
      <c r="F39" s="7">
        <f>[3]Condor!$GK$58</f>
        <v>0</v>
      </c>
      <c r="G39" s="7">
        <f>'[3]Air France'!$GK$58</f>
        <v>0</v>
      </c>
      <c r="H39" s="7">
        <f>'[3]Jet Blue'!$GK$58</f>
        <v>0</v>
      </c>
      <c r="I39" s="7">
        <f>[3]KLM!$GK$58</f>
        <v>0</v>
      </c>
      <c r="J39" s="7">
        <f>'Other Major Airline Stats'!J39</f>
        <v>0</v>
      </c>
      <c r="K39" s="24">
        <f t="shared" si="24"/>
        <v>0</v>
      </c>
    </row>
    <row r="40" spans="1:11" hidden="1" x14ac:dyDescent="0.2">
      <c r="A40" s="51" t="s">
        <v>43</v>
      </c>
      <c r="B40" s="249">
        <f t="shared" ref="B40:J40" si="29">SUM(B38:B39)</f>
        <v>0</v>
      </c>
      <c r="C40" s="249">
        <f t="shared" si="29"/>
        <v>0</v>
      </c>
      <c r="D40" s="249">
        <f t="shared" si="29"/>
        <v>0</v>
      </c>
      <c r="E40" s="249">
        <f t="shared" si="29"/>
        <v>0</v>
      </c>
      <c r="F40" s="249">
        <f t="shared" ref="F40" si="30">SUM(F38:F39)</f>
        <v>0</v>
      </c>
      <c r="G40" s="249">
        <f t="shared" ref="G40:I40" si="31">SUM(G38:G39)</f>
        <v>0</v>
      </c>
      <c r="H40" s="249">
        <f t="shared" ref="H40" si="32">SUM(H38:H39)</f>
        <v>0</v>
      </c>
      <c r="I40" s="249">
        <f t="shared" si="31"/>
        <v>0</v>
      </c>
      <c r="J40" s="249">
        <f t="shared" si="29"/>
        <v>0</v>
      </c>
      <c r="K40" s="18">
        <f t="shared" si="24"/>
        <v>0</v>
      </c>
    </row>
    <row r="41" spans="1:11" x14ac:dyDescent="0.2">
      <c r="A41" s="47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7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7" t="s">
        <v>45</v>
      </c>
      <c r="B43" s="13">
        <f t="shared" ref="B43:J44" si="33">B28+B33+B38</f>
        <v>39385</v>
      </c>
      <c r="C43" s="13">
        <f t="shared" si="33"/>
        <v>4182338</v>
      </c>
      <c r="D43" s="13">
        <f t="shared" si="33"/>
        <v>54358</v>
      </c>
      <c r="E43" s="13">
        <f>E28+E33+E38</f>
        <v>0</v>
      </c>
      <c r="F43" s="13">
        <f t="shared" ref="F43" si="34">F28+F33+F38</f>
        <v>0</v>
      </c>
      <c r="G43" s="13">
        <f t="shared" ref="G43:I43" si="35">G28+G33+G38</f>
        <v>0</v>
      </c>
      <c r="H43" s="13">
        <f t="shared" ref="H43" si="36">H28+H33+H38</f>
        <v>0</v>
      </c>
      <c r="I43" s="13">
        <f t="shared" si="35"/>
        <v>705126</v>
      </c>
      <c r="J43" s="13">
        <f t="shared" si="33"/>
        <v>488006</v>
      </c>
      <c r="K43" s="18">
        <f>SUM(B43:J43)</f>
        <v>5469213</v>
      </c>
    </row>
    <row r="44" spans="1:11" x14ac:dyDescent="0.2">
      <c r="A44" s="47" t="s">
        <v>38</v>
      </c>
      <c r="B44" s="7">
        <f t="shared" si="33"/>
        <v>58729</v>
      </c>
      <c r="C44" s="7">
        <f t="shared" si="33"/>
        <v>3652526</v>
      </c>
      <c r="D44" s="7">
        <f t="shared" si="33"/>
        <v>109450</v>
      </c>
      <c r="E44" s="7">
        <f>E29+E34+E39</f>
        <v>0</v>
      </c>
      <c r="F44" s="7">
        <f t="shared" ref="F44" si="37">F29+F34+F39</f>
        <v>0</v>
      </c>
      <c r="G44" s="7">
        <f t="shared" ref="G44:I44" si="38">G29+G34+G39</f>
        <v>0</v>
      </c>
      <c r="H44" s="7">
        <f t="shared" ref="H44" si="39">H29+H34+H39</f>
        <v>0</v>
      </c>
      <c r="I44" s="7">
        <f t="shared" si="38"/>
        <v>0</v>
      </c>
      <c r="J44" s="7">
        <f t="shared" si="33"/>
        <v>753351</v>
      </c>
      <c r="K44" s="18">
        <f>SUM(B44:J44)</f>
        <v>4574056</v>
      </c>
    </row>
    <row r="45" spans="1:11" ht="15.75" thickBot="1" x14ac:dyDescent="0.3">
      <c r="A45" s="48" t="s">
        <v>46</v>
      </c>
      <c r="B45" s="250">
        <f t="shared" ref="B45:J45" si="40">SUM(B43:B44)</f>
        <v>98114</v>
      </c>
      <c r="C45" s="250">
        <f t="shared" si="40"/>
        <v>7834864</v>
      </c>
      <c r="D45" s="250">
        <f t="shared" si="40"/>
        <v>163808</v>
      </c>
      <c r="E45" s="250">
        <f t="shared" si="40"/>
        <v>0</v>
      </c>
      <c r="F45" s="250">
        <f t="shared" ref="F45" si="41">SUM(F43:F44)</f>
        <v>0</v>
      </c>
      <c r="G45" s="250">
        <f t="shared" ref="G45:I45" si="42">SUM(G43:G44)</f>
        <v>0</v>
      </c>
      <c r="H45" s="250">
        <f t="shared" ref="H45" si="43">SUM(H43:H44)</f>
        <v>0</v>
      </c>
      <c r="I45" s="250">
        <f t="shared" si="42"/>
        <v>705126</v>
      </c>
      <c r="J45" s="250">
        <f t="shared" si="40"/>
        <v>1241357</v>
      </c>
      <c r="K45" s="251">
        <f>SUM(B45:J45)</f>
        <v>10043269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22" t="s">
        <v>124</v>
      </c>
      <c r="C47" s="276">
        <f>[3]Delta!$GK$70+[3]Delta!$GK$73</f>
        <v>482197</v>
      </c>
      <c r="D47" s="264"/>
      <c r="E47" s="264"/>
      <c r="F47" s="264"/>
      <c r="G47" s="264"/>
      <c r="H47" s="264"/>
      <c r="I47" s="264"/>
      <c r="J47" s="264"/>
      <c r="K47" s="265">
        <f>SUM(B47:J47)</f>
        <v>482197</v>
      </c>
    </row>
    <row r="48" spans="1:11" hidden="1" x14ac:dyDescent="0.2">
      <c r="A48" s="323" t="s">
        <v>125</v>
      </c>
      <c r="C48" s="276">
        <f>[3]Delta!$GK$71+[3]Delta!$GK$74</f>
        <v>443108</v>
      </c>
      <c r="D48" s="264"/>
      <c r="E48" s="264"/>
      <c r="F48" s="264"/>
      <c r="G48" s="264"/>
      <c r="H48" s="264"/>
      <c r="I48" s="264"/>
      <c r="J48" s="264"/>
      <c r="K48" s="265">
        <f>SUM(B48:J48)</f>
        <v>443108</v>
      </c>
    </row>
    <row r="49" spans="1:11" hidden="1" x14ac:dyDescent="0.2">
      <c r="A49" s="324" t="s">
        <v>126</v>
      </c>
      <c r="C49" s="277">
        <f>SUM(C47:C48)</f>
        <v>925305</v>
      </c>
      <c r="K49" s="265">
        <f>SUM(B49:J49)</f>
        <v>925305</v>
      </c>
    </row>
    <row r="50" spans="1:11" x14ac:dyDescent="0.2">
      <c r="A50" s="322" t="s">
        <v>124</v>
      </c>
      <c r="B50" s="333"/>
      <c r="C50" s="279">
        <f>[3]Delta!$GK$70+[3]Delta!$GK$73</f>
        <v>482197</v>
      </c>
      <c r="D50" s="333"/>
      <c r="E50" s="279">
        <f>[3]Spirit!$GK$70+[3]Spirit!$GK$73</f>
        <v>0</v>
      </c>
      <c r="F50" s="333"/>
      <c r="G50" s="333"/>
      <c r="H50" s="333"/>
      <c r="I50" s="333"/>
      <c r="J50" s="278">
        <f>'Other Major Airline Stats'!J48</f>
        <v>197720</v>
      </c>
      <c r="K50" s="268">
        <f>SUM(B50:J50)</f>
        <v>679917</v>
      </c>
    </row>
    <row r="51" spans="1:11" x14ac:dyDescent="0.2">
      <c r="A51" s="335" t="s">
        <v>125</v>
      </c>
      <c r="B51" s="333"/>
      <c r="C51" s="279">
        <f>[3]Delta!$GK$71+[3]Delta!$GK$74</f>
        <v>443108</v>
      </c>
      <c r="D51" s="333"/>
      <c r="E51" s="279">
        <f>[3]Spirit!$GK$71+[3]Spirit!$GK$74</f>
        <v>0</v>
      </c>
      <c r="F51" s="333"/>
      <c r="G51" s="333"/>
      <c r="H51" s="333"/>
      <c r="I51" s="333"/>
      <c r="J51" s="278">
        <f>+'Other Major Airline Stats'!J49</f>
        <v>160</v>
      </c>
      <c r="K51" s="268">
        <f>SUM(B51:J51)</f>
        <v>443268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2019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G8" sqref="G8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20" ht="26.25" thickBot="1" x14ac:dyDescent="0.25">
      <c r="A2" s="325">
        <v>43739</v>
      </c>
      <c r="B2" s="373" t="s">
        <v>47</v>
      </c>
      <c r="C2" s="444" t="s">
        <v>184</v>
      </c>
      <c r="D2" s="444" t="s">
        <v>225</v>
      </c>
      <c r="E2" s="444" t="s">
        <v>185</v>
      </c>
      <c r="F2" s="445" t="s">
        <v>48</v>
      </c>
      <c r="G2" s="444" t="s">
        <v>132</v>
      </c>
      <c r="H2" s="444" t="s">
        <v>49</v>
      </c>
      <c r="I2" s="444" t="s">
        <v>131</v>
      </c>
      <c r="J2" s="146" t="s">
        <v>61</v>
      </c>
    </row>
    <row r="3" spans="1:20" ht="15.75" thickTop="1" x14ac:dyDescent="0.25">
      <c r="A3" s="49" t="s">
        <v>3</v>
      </c>
      <c r="B3" s="102"/>
      <c r="C3" s="102"/>
      <c r="D3" s="102"/>
      <c r="E3" s="102"/>
      <c r="F3" s="102"/>
      <c r="G3" s="102"/>
      <c r="H3" s="102"/>
      <c r="I3" s="102"/>
      <c r="J3" s="125"/>
    </row>
    <row r="4" spans="1:20" x14ac:dyDescent="0.2">
      <c r="A4" s="47" t="s">
        <v>29</v>
      </c>
      <c r="B4" s="97"/>
      <c r="C4" s="97"/>
      <c r="D4" s="97"/>
      <c r="E4" s="97"/>
      <c r="F4" s="97"/>
      <c r="G4" s="97"/>
      <c r="H4" s="97"/>
      <c r="I4" s="97"/>
      <c r="J4" s="126"/>
    </row>
    <row r="5" spans="1:20" x14ac:dyDescent="0.2">
      <c r="A5" s="47" t="s">
        <v>30</v>
      </c>
      <c r="B5" s="97">
        <f>[3]Frontier!$GK$22</f>
        <v>19942</v>
      </c>
      <c r="C5" s="97">
        <f>'[3]Air Choice One'!$GK$22</f>
        <v>459</v>
      </c>
      <c r="D5" s="97">
        <f>'[3]Aer Lingus'!$GK$22+'[3]Aer Lingus'!$GK$32</f>
        <v>4640</v>
      </c>
      <c r="E5" s="97">
        <f>'[3]Boutique Air'!$GK$22</f>
        <v>496</v>
      </c>
      <c r="F5" s="97">
        <f>[3]Icelandair!$GK$32</f>
        <v>3642</v>
      </c>
      <c r="G5" s="97">
        <f>[3]Southwest!$GK$22</f>
        <v>77351</v>
      </c>
      <c r="H5" s="97">
        <f>'[3]Sun Country'!$GK$22+'[3]Sun Country'!$GK$32</f>
        <v>111019</v>
      </c>
      <c r="I5" s="97">
        <f>[3]Alaska!$GK$22</f>
        <v>10963</v>
      </c>
      <c r="J5" s="120">
        <f>SUM(B5:I5)</f>
        <v>228512</v>
      </c>
      <c r="L5" s="443"/>
      <c r="M5" s="443"/>
      <c r="N5" s="443"/>
      <c r="O5" s="443"/>
      <c r="P5" s="443"/>
      <c r="Q5" s="443"/>
      <c r="R5" s="443"/>
      <c r="S5" s="443"/>
      <c r="T5" s="443"/>
    </row>
    <row r="6" spans="1:20" x14ac:dyDescent="0.2">
      <c r="A6" s="47" t="s">
        <v>31</v>
      </c>
      <c r="B6" s="97">
        <f>[3]Frontier!$GK$23</f>
        <v>19986</v>
      </c>
      <c r="C6" s="97">
        <f>'[3]Air Choice One'!$GK$23</f>
        <v>430</v>
      </c>
      <c r="D6" s="97">
        <f>'[3]Aer Lingus'!$GK$23+'[3]Aer Lingus'!$GK$33</f>
        <v>3591</v>
      </c>
      <c r="E6" s="97">
        <f>'[3]Boutique Air'!$GK$23</f>
        <v>462</v>
      </c>
      <c r="F6" s="97">
        <f>[3]Icelandair!$GK$33</f>
        <v>2995</v>
      </c>
      <c r="G6" s="97">
        <f>[3]Southwest!$GK$23</f>
        <v>79627</v>
      </c>
      <c r="H6" s="97">
        <f>'[3]Sun Country'!$GK$23+'[3]Sun Country'!$GK$33</f>
        <v>118253</v>
      </c>
      <c r="I6" s="97">
        <f>[3]Alaska!$GK$23</f>
        <v>11056</v>
      </c>
      <c r="J6" s="120">
        <f>SUM(B6:I6)</f>
        <v>236400</v>
      </c>
    </row>
    <row r="7" spans="1:20" ht="15" x14ac:dyDescent="0.25">
      <c r="A7" s="45" t="s">
        <v>7</v>
      </c>
      <c r="B7" s="128">
        <f t="shared" ref="B7:I7" si="0">SUM(B5:B6)</f>
        <v>39928</v>
      </c>
      <c r="C7" s="128">
        <f t="shared" ref="C7:E7" si="1">SUM(C5:C6)</f>
        <v>889</v>
      </c>
      <c r="D7" s="128">
        <f>SUM(D5:D6)</f>
        <v>8231</v>
      </c>
      <c r="E7" s="128">
        <f t="shared" si="1"/>
        <v>958</v>
      </c>
      <c r="F7" s="128">
        <f t="shared" si="0"/>
        <v>6637</v>
      </c>
      <c r="G7" s="128">
        <f t="shared" si="0"/>
        <v>156978</v>
      </c>
      <c r="H7" s="128">
        <f>SUM(H5:H6)</f>
        <v>229272</v>
      </c>
      <c r="I7" s="128">
        <f t="shared" si="0"/>
        <v>22019</v>
      </c>
      <c r="J7" s="129">
        <f>SUM(B7:I7)</f>
        <v>464912</v>
      </c>
    </row>
    <row r="8" spans="1:20" x14ac:dyDescent="0.2">
      <c r="A8" s="47"/>
      <c r="B8" s="127"/>
      <c r="C8" s="127"/>
      <c r="D8" s="127"/>
      <c r="E8" s="127"/>
      <c r="F8" s="127"/>
      <c r="G8" s="127"/>
      <c r="H8" s="127"/>
      <c r="I8" s="127"/>
      <c r="J8" s="120"/>
    </row>
    <row r="9" spans="1:20" x14ac:dyDescent="0.2">
      <c r="A9" s="47" t="s">
        <v>32</v>
      </c>
      <c r="B9" s="127"/>
      <c r="C9" s="127"/>
      <c r="D9" s="127"/>
      <c r="E9" s="127"/>
      <c r="F9" s="127"/>
      <c r="G9" s="127"/>
      <c r="H9" s="127"/>
      <c r="I9" s="127"/>
      <c r="J9" s="120"/>
    </row>
    <row r="10" spans="1:20" x14ac:dyDescent="0.2">
      <c r="A10" s="47" t="s">
        <v>30</v>
      </c>
      <c r="B10" s="127">
        <f>[3]Frontier!$GK$27</f>
        <v>132</v>
      </c>
      <c r="C10" s="127">
        <f>'[3]Air Choice One'!$GK$27</f>
        <v>0</v>
      </c>
      <c r="D10" s="127">
        <f>'[3]Aer Lingus'!$GK$27+'[3]Aer Lingus'!$GK$37</f>
        <v>15</v>
      </c>
      <c r="E10" s="127">
        <f>'[3]Boutique Air'!$GK$27</f>
        <v>0</v>
      </c>
      <c r="F10" s="127">
        <f>[3]Icelandair!$GK$37</f>
        <v>104</v>
      </c>
      <c r="G10" s="127">
        <f>[3]Southwest!$GK$27</f>
        <v>1625</v>
      </c>
      <c r="H10" s="127">
        <f>'[3]Sun Country'!$GK$27+'[3]Sun Country'!$GK$37</f>
        <v>1559</v>
      </c>
      <c r="I10" s="127">
        <f>[3]Alaska!$GK$27</f>
        <v>310</v>
      </c>
      <c r="J10" s="120">
        <f>SUM(B10:I10)</f>
        <v>3745</v>
      </c>
    </row>
    <row r="11" spans="1:20" x14ac:dyDescent="0.2">
      <c r="A11" s="47" t="s">
        <v>33</v>
      </c>
      <c r="B11" s="130">
        <f>[3]Frontier!$GK$28</f>
        <v>132</v>
      </c>
      <c r="C11" s="130">
        <f>'[3]Air Choice One'!$GK$28</f>
        <v>0</v>
      </c>
      <c r="D11" s="130">
        <f>'[3]Aer Lingus'!$GK$28+'[3]Aer Lingus'!$GK$38</f>
        <v>12</v>
      </c>
      <c r="E11" s="130">
        <f>'[3]Boutique Air'!$GK$28</f>
        <v>0</v>
      </c>
      <c r="F11" s="130">
        <f>[3]Icelandair!$GK$38</f>
        <v>76</v>
      </c>
      <c r="G11" s="130">
        <f>[3]Southwest!$GK$28</f>
        <v>1832</v>
      </c>
      <c r="H11" s="130">
        <f>'[3]Sun Country'!$GK$28+'[3]Sun Country'!$GK$38</f>
        <v>1652</v>
      </c>
      <c r="I11" s="130">
        <f>[3]Alaska!$GK$28</f>
        <v>402</v>
      </c>
      <c r="J11" s="120">
        <f>SUM(B11:I11)</f>
        <v>4106</v>
      </c>
    </row>
    <row r="12" spans="1:20" ht="15.75" thickBot="1" x14ac:dyDescent="0.3">
      <c r="A12" s="48" t="s">
        <v>34</v>
      </c>
      <c r="B12" s="123">
        <f t="shared" ref="B12:I12" si="2">SUM(B10:B11)</f>
        <v>264</v>
      </c>
      <c r="C12" s="123">
        <f t="shared" ref="C12:E12" si="3">SUM(C10:C11)</f>
        <v>0</v>
      </c>
      <c r="D12" s="123">
        <f>SUM(D10:D11)</f>
        <v>27</v>
      </c>
      <c r="E12" s="123">
        <f t="shared" si="3"/>
        <v>0</v>
      </c>
      <c r="F12" s="123">
        <f t="shared" si="2"/>
        <v>180</v>
      </c>
      <c r="G12" s="123">
        <f t="shared" si="2"/>
        <v>3457</v>
      </c>
      <c r="H12" s="123">
        <f>SUM(H10:H11)</f>
        <v>3211</v>
      </c>
      <c r="I12" s="123">
        <f t="shared" si="2"/>
        <v>712</v>
      </c>
      <c r="J12" s="131">
        <f>SUM(B12:I12)</f>
        <v>7851</v>
      </c>
      <c r="M12" s="97"/>
    </row>
    <row r="13" spans="1:20" ht="15" x14ac:dyDescent="0.25">
      <c r="A13" s="44"/>
      <c r="B13" s="252"/>
      <c r="C13" s="252"/>
      <c r="D13" s="252"/>
      <c r="E13" s="252"/>
      <c r="F13" s="252"/>
      <c r="G13" s="252"/>
      <c r="H13" s="252"/>
      <c r="I13" s="252"/>
      <c r="J13" s="253"/>
    </row>
    <row r="14" spans="1:20" ht="13.5" thickBot="1" x14ac:dyDescent="0.25"/>
    <row r="15" spans="1:20" ht="15.75" thickTop="1" x14ac:dyDescent="0.25">
      <c r="A15" s="46" t="s">
        <v>9</v>
      </c>
      <c r="B15" s="118"/>
      <c r="C15" s="118"/>
      <c r="D15" s="118"/>
      <c r="E15" s="118"/>
      <c r="F15" s="118"/>
      <c r="G15" s="118"/>
      <c r="H15" s="118"/>
      <c r="I15" s="118"/>
      <c r="J15" s="119"/>
    </row>
    <row r="16" spans="1:20" x14ac:dyDescent="0.2">
      <c r="A16" s="47" t="s">
        <v>22</v>
      </c>
      <c r="B16" s="97">
        <f>[3]Frontier!$GK$4</f>
        <v>145</v>
      </c>
      <c r="C16" s="87">
        <f>'[3]Air Choice One'!$GK$4</f>
        <v>108</v>
      </c>
      <c r="D16" s="97">
        <f>'[3]Aer Lingus'!$GK$4+'[3]Aer Lingus'!$GK$15</f>
        <v>31</v>
      </c>
      <c r="E16" s="87">
        <f>'[3]Boutique Air'!$GK$4</f>
        <v>83</v>
      </c>
      <c r="F16" s="97">
        <f>[3]Icelandair!$GK$15</f>
        <v>25</v>
      </c>
      <c r="G16" s="87">
        <f>[3]Southwest!$GK$4</f>
        <v>666</v>
      </c>
      <c r="H16" s="97">
        <f>'[3]Sun Country'!$GK$4+'[3]Sun Country'!$GK$15</f>
        <v>755</v>
      </c>
      <c r="I16" s="97">
        <f>[3]Alaska!$GK$4</f>
        <v>90</v>
      </c>
      <c r="J16" s="120">
        <f>SUM(B16:I16)</f>
        <v>1903</v>
      </c>
    </row>
    <row r="17" spans="1:257" x14ac:dyDescent="0.2">
      <c r="A17" s="47" t="s">
        <v>23</v>
      </c>
      <c r="B17" s="97">
        <f>[3]Frontier!$GK$5</f>
        <v>144</v>
      </c>
      <c r="C17" s="87">
        <f>'[3]Air Choice One'!$GK$5</f>
        <v>108</v>
      </c>
      <c r="D17" s="97">
        <f>'[3]Aer Lingus'!$GK$5+'[3]Aer Lingus'!$GK$16</f>
        <v>31</v>
      </c>
      <c r="E17" s="87">
        <f>'[3]Boutique Air'!$GK$5</f>
        <v>83</v>
      </c>
      <c r="F17" s="97">
        <f>[3]Icelandair!$GK$16</f>
        <v>25</v>
      </c>
      <c r="G17" s="87">
        <f>[3]Southwest!$GK$5</f>
        <v>663</v>
      </c>
      <c r="H17" s="97">
        <f>'[3]Sun Country'!$GK$5+'[3]Sun Country'!$GK$16</f>
        <v>759</v>
      </c>
      <c r="I17" s="97">
        <f>[3]Alaska!$GK$5</f>
        <v>90</v>
      </c>
      <c r="J17" s="120">
        <f>SUM(B17:I17)</f>
        <v>1903</v>
      </c>
    </row>
    <row r="18" spans="1:257" x14ac:dyDescent="0.2">
      <c r="A18" s="51" t="s">
        <v>24</v>
      </c>
      <c r="B18" s="121">
        <f t="shared" ref="B18:I18" si="4">SUM(B16:B17)</f>
        <v>289</v>
      </c>
      <c r="C18" s="121">
        <f t="shared" ref="C18:E18" si="5">SUM(C16:C17)</f>
        <v>216</v>
      </c>
      <c r="D18" s="121">
        <f t="shared" si="5"/>
        <v>62</v>
      </c>
      <c r="E18" s="121">
        <f t="shared" si="5"/>
        <v>166</v>
      </c>
      <c r="F18" s="121">
        <f t="shared" si="4"/>
        <v>50</v>
      </c>
      <c r="G18" s="121">
        <f t="shared" si="4"/>
        <v>1329</v>
      </c>
      <c r="H18" s="121">
        <f t="shared" si="4"/>
        <v>1514</v>
      </c>
      <c r="I18" s="121">
        <f t="shared" si="4"/>
        <v>180</v>
      </c>
      <c r="J18" s="122">
        <f>SUM(B18:I18)</f>
        <v>3806</v>
      </c>
    </row>
    <row r="19" spans="1:257" x14ac:dyDescent="0.2">
      <c r="A19" s="51"/>
      <c r="B19" s="95"/>
      <c r="C19" s="95"/>
      <c r="D19" s="95"/>
      <c r="E19" s="95"/>
      <c r="F19" s="95"/>
      <c r="G19" s="95"/>
      <c r="H19" s="95"/>
      <c r="I19" s="95"/>
      <c r="J19" s="120"/>
    </row>
    <row r="20" spans="1:257" x14ac:dyDescent="0.2">
      <c r="A20" s="47" t="s">
        <v>25</v>
      </c>
      <c r="B20" s="97">
        <f>[3]Frontier!$GK$8</f>
        <v>0</v>
      </c>
      <c r="C20" s="97">
        <f>'[3]Air Choice One'!$GK$8</f>
        <v>0</v>
      </c>
      <c r="D20" s="97">
        <f>'[3]Aer Lingus'!$GK$8</f>
        <v>0</v>
      </c>
      <c r="E20" s="97">
        <f>'[3]Boutique Air'!$GK$8</f>
        <v>0</v>
      </c>
      <c r="F20" s="97">
        <f>[3]Icelandair!$GK$8</f>
        <v>0</v>
      </c>
      <c r="G20" s="97">
        <f>[3]Southwest!$GK$8</f>
        <v>0</v>
      </c>
      <c r="H20" s="97">
        <f>'[3]Sun Country'!$GK$8</f>
        <v>100</v>
      </c>
      <c r="I20" s="97">
        <f>[3]Alaska!$GK$8</f>
        <v>3</v>
      </c>
      <c r="J20" s="120">
        <f>SUM(B20:I20)</f>
        <v>103</v>
      </c>
    </row>
    <row r="21" spans="1:257" x14ac:dyDescent="0.2">
      <c r="A21" s="47" t="s">
        <v>26</v>
      </c>
      <c r="B21" s="97">
        <f>[3]Frontier!$GK$9</f>
        <v>0</v>
      </c>
      <c r="C21" s="97">
        <f>'[3]Air Choice One'!$GK$9</f>
        <v>0</v>
      </c>
      <c r="D21" s="97">
        <f>'[3]Aer Lingus'!$GK$9</f>
        <v>0</v>
      </c>
      <c r="E21" s="97">
        <f>'[3]Boutique Air'!$GK$9</f>
        <v>0</v>
      </c>
      <c r="F21" s="97">
        <f>[3]Icelandair!$GK$9</f>
        <v>0</v>
      </c>
      <c r="G21" s="97">
        <f>[3]Southwest!$GK$9</f>
        <v>0</v>
      </c>
      <c r="H21" s="97">
        <f>'[3]Sun Country'!$GK$9</f>
        <v>99</v>
      </c>
      <c r="I21" s="97">
        <f>[3]Alaska!$GK$9</f>
        <v>3</v>
      </c>
      <c r="J21" s="120">
        <f>SUM(B21:I21)</f>
        <v>102</v>
      </c>
    </row>
    <row r="22" spans="1:257" x14ac:dyDescent="0.2">
      <c r="A22" s="51" t="s">
        <v>27</v>
      </c>
      <c r="B22" s="121">
        <f t="shared" ref="B22:I22" si="6">SUM(B20:B21)</f>
        <v>0</v>
      </c>
      <c r="C22" s="121">
        <f t="shared" ref="C22:E22" si="7">SUM(C20:C21)</f>
        <v>0</v>
      </c>
      <c r="D22" s="121">
        <f t="shared" si="7"/>
        <v>0</v>
      </c>
      <c r="E22" s="121">
        <f t="shared" si="7"/>
        <v>0</v>
      </c>
      <c r="F22" s="121">
        <f t="shared" si="6"/>
        <v>0</v>
      </c>
      <c r="G22" s="121">
        <f t="shared" si="6"/>
        <v>0</v>
      </c>
      <c r="H22" s="121">
        <f t="shared" si="6"/>
        <v>199</v>
      </c>
      <c r="I22" s="121">
        <f t="shared" si="6"/>
        <v>6</v>
      </c>
      <c r="J22" s="122">
        <f>SUM(B22:I22)</f>
        <v>205</v>
      </c>
    </row>
    <row r="23" spans="1:257" ht="15.75" thickBot="1" x14ac:dyDescent="0.3">
      <c r="A23" s="48" t="s">
        <v>28</v>
      </c>
      <c r="B23" s="123">
        <f t="shared" ref="B23:I23" si="8">B22+B18</f>
        <v>289</v>
      </c>
      <c r="C23" s="123">
        <f t="shared" ref="C23:E23" si="9">C22+C18</f>
        <v>216</v>
      </c>
      <c r="D23" s="123">
        <f t="shared" si="9"/>
        <v>62</v>
      </c>
      <c r="E23" s="123">
        <f t="shared" si="9"/>
        <v>166</v>
      </c>
      <c r="F23" s="123">
        <f t="shared" si="8"/>
        <v>50</v>
      </c>
      <c r="G23" s="123">
        <f t="shared" si="8"/>
        <v>1329</v>
      </c>
      <c r="H23" s="123">
        <f t="shared" si="8"/>
        <v>1713</v>
      </c>
      <c r="I23" s="123">
        <f t="shared" si="8"/>
        <v>186</v>
      </c>
      <c r="J23" s="124">
        <f>SUM(B23:I23)</f>
        <v>4011</v>
      </c>
    </row>
    <row r="24" spans="1:25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</row>
    <row r="25" spans="1:257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97"/>
    </row>
    <row r="26" spans="1:257" ht="15.75" thickTop="1" x14ac:dyDescent="0.25">
      <c r="A26" s="50" t="s">
        <v>35</v>
      </c>
      <c r="B26" s="132"/>
      <c r="C26" s="132"/>
      <c r="D26" s="132"/>
      <c r="E26" s="132"/>
      <c r="F26" s="132"/>
      <c r="G26" s="132"/>
      <c r="H26" s="132"/>
      <c r="I26" s="132"/>
      <c r="J26" s="133"/>
    </row>
    <row r="27" spans="1:257" x14ac:dyDescent="0.2">
      <c r="A27" s="47" t="s">
        <v>36</v>
      </c>
      <c r="B27" s="134"/>
      <c r="C27" s="134"/>
      <c r="D27" s="134"/>
      <c r="E27" s="134"/>
      <c r="F27" s="134"/>
      <c r="G27" s="134"/>
      <c r="H27" s="134"/>
      <c r="I27" s="134"/>
      <c r="J27" s="126"/>
    </row>
    <row r="28" spans="1:257" x14ac:dyDescent="0.2">
      <c r="A28" s="47" t="s">
        <v>37</v>
      </c>
      <c r="B28" s="97">
        <f>[3]Frontier!$GK$47</f>
        <v>0</v>
      </c>
      <c r="C28" s="97">
        <f>'[3]Air Choice One'!$GK$47</f>
        <v>0</v>
      </c>
      <c r="D28" s="97">
        <f>'[3]Aer Lingus'!$GK$47</f>
        <v>4310</v>
      </c>
      <c r="E28" s="97">
        <f>'[3]Boutique Air'!$GK$47</f>
        <v>0</v>
      </c>
      <c r="F28" s="97">
        <f>[3]Icelandair!$GK$47</f>
        <v>10315</v>
      </c>
      <c r="G28" s="97">
        <f>[3]Southwest!$GK$47</f>
        <v>235850</v>
      </c>
      <c r="H28" s="97">
        <f>'[3]Sun Country'!$GK$47</f>
        <v>63803</v>
      </c>
      <c r="I28" s="97">
        <f>[3]Alaska!$GK$47</f>
        <v>17436</v>
      </c>
      <c r="J28" s="120">
        <f>SUM(B28:I28)</f>
        <v>331714</v>
      </c>
    </row>
    <row r="29" spans="1:257" x14ac:dyDescent="0.2">
      <c r="A29" s="47" t="s">
        <v>38</v>
      </c>
      <c r="B29" s="97">
        <f>[3]Frontier!$GK$48</f>
        <v>0</v>
      </c>
      <c r="C29" s="97">
        <f>'[3]Air Choice One'!$GK$48</f>
        <v>0</v>
      </c>
      <c r="D29" s="97">
        <f>'[3]Aer Lingus'!$GK$48</f>
        <v>0</v>
      </c>
      <c r="E29" s="97">
        <f>'[3]Boutique Air'!$GK$48</f>
        <v>0</v>
      </c>
      <c r="F29" s="97">
        <f>[3]Icelandair!$GK$48</f>
        <v>0</v>
      </c>
      <c r="G29" s="97">
        <f>[3]Southwest!$GK$48</f>
        <v>0</v>
      </c>
      <c r="H29" s="97">
        <f>'[3]Sun Country'!$GK$48</f>
        <v>356116</v>
      </c>
      <c r="I29" s="97">
        <f>[3]Alaska!$GK$48</f>
        <v>140</v>
      </c>
      <c r="J29" s="120">
        <f>SUM(B29:I29)</f>
        <v>356256</v>
      </c>
    </row>
    <row r="30" spans="1:257" x14ac:dyDescent="0.2">
      <c r="A30" s="51" t="s">
        <v>39</v>
      </c>
      <c r="B30" s="135">
        <f t="shared" ref="B30:I30" si="10">SUM(B28:B29)</f>
        <v>0</v>
      </c>
      <c r="C30" s="135">
        <f t="shared" ref="C30:E30" si="11">SUM(C28:C29)</f>
        <v>0</v>
      </c>
      <c r="D30" s="135">
        <f t="shared" si="11"/>
        <v>4310</v>
      </c>
      <c r="E30" s="135">
        <f t="shared" si="11"/>
        <v>0</v>
      </c>
      <c r="F30" s="135">
        <f t="shared" si="10"/>
        <v>10315</v>
      </c>
      <c r="G30" s="135">
        <f t="shared" si="10"/>
        <v>235850</v>
      </c>
      <c r="H30" s="135">
        <f t="shared" si="10"/>
        <v>419919</v>
      </c>
      <c r="I30" s="135">
        <f t="shared" si="10"/>
        <v>17576</v>
      </c>
      <c r="J30" s="137">
        <f>SUM(B30:I30)</f>
        <v>687970</v>
      </c>
    </row>
    <row r="31" spans="1:257" x14ac:dyDescent="0.2">
      <c r="A31" s="47"/>
      <c r="B31" s="127"/>
      <c r="C31" s="127"/>
      <c r="D31" s="127"/>
      <c r="E31" s="127"/>
      <c r="F31" s="127"/>
      <c r="G31" s="127"/>
      <c r="H31" s="127"/>
      <c r="I31" s="127"/>
      <c r="J31" s="120"/>
    </row>
    <row r="32" spans="1:257" x14ac:dyDescent="0.2">
      <c r="A32" s="47" t="s">
        <v>40</v>
      </c>
      <c r="B32" s="97"/>
      <c r="C32" s="97"/>
      <c r="D32" s="97"/>
      <c r="E32" s="97"/>
      <c r="F32" s="97"/>
      <c r="G32" s="97"/>
      <c r="H32" s="97"/>
      <c r="I32" s="97"/>
      <c r="J32" s="120"/>
    </row>
    <row r="33" spans="1:10" x14ac:dyDescent="0.2">
      <c r="A33" s="47" t="s">
        <v>37</v>
      </c>
      <c r="B33" s="97">
        <f>[3]Frontier!$GK$52</f>
        <v>0</v>
      </c>
      <c r="C33" s="97">
        <f>'[3]Air Choice One'!$GK$52</f>
        <v>0</v>
      </c>
      <c r="D33" s="97">
        <f>'[3]Aer Lingus'!$GK$52</f>
        <v>2976</v>
      </c>
      <c r="E33" s="97">
        <f>'[3]Boutique Air'!$GK$52</f>
        <v>0</v>
      </c>
      <c r="F33" s="97">
        <f>[3]Icelandair!$GK$52</f>
        <v>533</v>
      </c>
      <c r="G33" s="97">
        <f>[3]Southwest!$GK$52</f>
        <v>116880</v>
      </c>
      <c r="H33" s="97">
        <f>'[3]Sun Country'!$GK$52</f>
        <v>31346</v>
      </c>
      <c r="I33" s="97">
        <f>[3]Alaska!$GK$52</f>
        <v>4557</v>
      </c>
      <c r="J33" s="120">
        <f>SUM(B33:I33)</f>
        <v>156292</v>
      </c>
    </row>
    <row r="34" spans="1:10" x14ac:dyDescent="0.2">
      <c r="A34" s="47" t="s">
        <v>38</v>
      </c>
      <c r="B34" s="97">
        <f>[3]Frontier!$GK$53</f>
        <v>0</v>
      </c>
      <c r="C34" s="97">
        <f>'[3]Air Choice One'!$GK$53</f>
        <v>0</v>
      </c>
      <c r="D34" s="97">
        <f>'[3]Aer Lingus'!$GK$53</f>
        <v>0</v>
      </c>
      <c r="E34" s="97">
        <f>'[3]Boutique Air'!$GK$53</f>
        <v>0</v>
      </c>
      <c r="F34" s="97">
        <f>[3]Icelandair!$GK$53</f>
        <v>0</v>
      </c>
      <c r="G34" s="97">
        <f>[3]Southwest!$GK$53</f>
        <v>0</v>
      </c>
      <c r="H34" s="97">
        <f>'[3]Sun Country'!$GK$53</f>
        <v>394884</v>
      </c>
      <c r="I34" s="97">
        <f>[3]Alaska!$GK$53</f>
        <v>2211</v>
      </c>
      <c r="J34" s="136">
        <f>SUM(B34:I34)</f>
        <v>397095</v>
      </c>
    </row>
    <row r="35" spans="1:10" x14ac:dyDescent="0.2">
      <c r="A35" s="51" t="s">
        <v>41</v>
      </c>
      <c r="B35" s="121">
        <f t="shared" ref="B35:I35" si="12">SUM(B33:B34)</f>
        <v>0</v>
      </c>
      <c r="C35" s="121">
        <f t="shared" ref="C35:E35" si="13">SUM(C33:C34)</f>
        <v>0</v>
      </c>
      <c r="D35" s="121">
        <f t="shared" si="13"/>
        <v>2976</v>
      </c>
      <c r="E35" s="121">
        <f t="shared" si="13"/>
        <v>0</v>
      </c>
      <c r="F35" s="121">
        <f t="shared" si="12"/>
        <v>533</v>
      </c>
      <c r="G35" s="121">
        <f t="shared" si="12"/>
        <v>116880</v>
      </c>
      <c r="H35" s="121">
        <f t="shared" si="12"/>
        <v>426230</v>
      </c>
      <c r="I35" s="121">
        <f t="shared" si="12"/>
        <v>6768</v>
      </c>
      <c r="J35" s="137">
        <f>SUM(B35:I35)</f>
        <v>553387</v>
      </c>
    </row>
    <row r="36" spans="1:10" hidden="1" x14ac:dyDescent="0.2">
      <c r="A36" s="47"/>
      <c r="B36" s="127"/>
      <c r="C36" s="127"/>
      <c r="D36" s="127"/>
      <c r="E36" s="127"/>
      <c r="F36" s="127"/>
      <c r="G36" s="127"/>
      <c r="H36" s="127"/>
      <c r="I36" s="127"/>
      <c r="J36" s="120"/>
    </row>
    <row r="37" spans="1:10" hidden="1" x14ac:dyDescent="0.2">
      <c r="A37" s="47" t="s">
        <v>42</v>
      </c>
      <c r="B37" s="127"/>
      <c r="C37" s="127"/>
      <c r="D37" s="127"/>
      <c r="E37" s="127"/>
      <c r="F37" s="127"/>
      <c r="G37" s="127"/>
      <c r="H37" s="127"/>
      <c r="I37" s="127"/>
      <c r="J37" s="120"/>
    </row>
    <row r="38" spans="1:10" hidden="1" x14ac:dyDescent="0.2">
      <c r="A38" s="47" t="s">
        <v>37</v>
      </c>
      <c r="B38" s="127">
        <f>[3]Frontier!$GK$57</f>
        <v>0</v>
      </c>
      <c r="C38" s="127">
        <f>'[3]Air Choice One'!$GK$57</f>
        <v>0</v>
      </c>
      <c r="D38" s="127">
        <f>'[3]Aer Lingus'!$GK$57</f>
        <v>0</v>
      </c>
      <c r="E38" s="127">
        <f>'[3]Boutique Air'!$GK$57</f>
        <v>0</v>
      </c>
      <c r="F38" s="127">
        <f>[3]Icelandair!$GK$57</f>
        <v>0</v>
      </c>
      <c r="G38" s="127">
        <f>[3]Southwest!$GK$57</f>
        <v>0</v>
      </c>
      <c r="H38" s="127">
        <f>'[3]Sun Country'!$GK$57</f>
        <v>0</v>
      </c>
      <c r="I38" s="127">
        <f>[3]Alaska!$GK$57</f>
        <v>0</v>
      </c>
      <c r="J38" s="120">
        <f>SUM(B38:H38)</f>
        <v>0</v>
      </c>
    </row>
    <row r="39" spans="1:10" hidden="1" x14ac:dyDescent="0.2">
      <c r="A39" s="47" t="s">
        <v>38</v>
      </c>
      <c r="B39" s="130">
        <f>[3]Frontier!$GK$58</f>
        <v>0</v>
      </c>
      <c r="C39" s="130">
        <f>'[3]Air Choice One'!$GK$58</f>
        <v>0</v>
      </c>
      <c r="D39" s="130">
        <f>'[3]Aer Lingus'!$GK$58</f>
        <v>0</v>
      </c>
      <c r="E39" s="130">
        <f>'[3]Boutique Air'!$GK$58</f>
        <v>0</v>
      </c>
      <c r="F39" s="130">
        <f>[3]Icelandair!$GK$58</f>
        <v>0</v>
      </c>
      <c r="G39" s="130">
        <f>[3]Southwest!$GK$58</f>
        <v>0</v>
      </c>
      <c r="H39" s="130">
        <f>'[3]Sun Country'!$GK$58</f>
        <v>0</v>
      </c>
      <c r="I39" s="130">
        <f>[3]Alaska!$GK$58</f>
        <v>0</v>
      </c>
      <c r="J39" s="136">
        <f>SUM(B39:H39)</f>
        <v>0</v>
      </c>
    </row>
    <row r="40" spans="1:10" hidden="1" x14ac:dyDescent="0.2">
      <c r="A40" s="51" t="s">
        <v>43</v>
      </c>
      <c r="B40" s="138">
        <f t="shared" ref="B40:I40" si="14">SUM(B38:B39)</f>
        <v>0</v>
      </c>
      <c r="C40" s="138">
        <f t="shared" ref="C40:E40" si="15">SUM(C38:C39)</f>
        <v>0</v>
      </c>
      <c r="D40" s="138">
        <f t="shared" si="15"/>
        <v>0</v>
      </c>
      <c r="E40" s="138">
        <f t="shared" si="15"/>
        <v>0</v>
      </c>
      <c r="F40" s="138">
        <f t="shared" si="14"/>
        <v>0</v>
      </c>
      <c r="G40" s="138">
        <f t="shared" si="14"/>
        <v>0</v>
      </c>
      <c r="H40" s="138">
        <f t="shared" si="14"/>
        <v>0</v>
      </c>
      <c r="I40" s="138">
        <f t="shared" si="14"/>
        <v>0</v>
      </c>
      <c r="J40" s="120">
        <f>SUM(B40:H40)</f>
        <v>0</v>
      </c>
    </row>
    <row r="41" spans="1:10" x14ac:dyDescent="0.2">
      <c r="A41" s="47"/>
      <c r="B41" s="127"/>
      <c r="C41" s="127"/>
      <c r="D41" s="127"/>
      <c r="E41" s="127"/>
      <c r="F41" s="127"/>
      <c r="G41" s="127"/>
      <c r="H41" s="127"/>
      <c r="I41" s="127"/>
      <c r="J41" s="120"/>
    </row>
    <row r="42" spans="1:10" x14ac:dyDescent="0.2">
      <c r="A42" s="47" t="s">
        <v>44</v>
      </c>
      <c r="B42" s="127"/>
      <c r="C42" s="127"/>
      <c r="D42" s="127"/>
      <c r="E42" s="127"/>
      <c r="F42" s="127"/>
      <c r="G42" s="127"/>
      <c r="H42" s="127"/>
      <c r="I42" s="127"/>
      <c r="J42" s="120"/>
    </row>
    <row r="43" spans="1:10" x14ac:dyDescent="0.2">
      <c r="A43" s="47" t="s">
        <v>45</v>
      </c>
      <c r="B43" s="127">
        <f t="shared" ref="B43:I43" si="16">B28+B33+B38</f>
        <v>0</v>
      </c>
      <c r="C43" s="127">
        <f t="shared" ref="C43:E43" si="17">C28+C33+C38</f>
        <v>0</v>
      </c>
      <c r="D43" s="127">
        <f t="shared" si="17"/>
        <v>7286</v>
      </c>
      <c r="E43" s="127">
        <f t="shared" si="17"/>
        <v>0</v>
      </c>
      <c r="F43" s="127">
        <f t="shared" si="16"/>
        <v>10848</v>
      </c>
      <c r="G43" s="127">
        <f t="shared" si="16"/>
        <v>352730</v>
      </c>
      <c r="H43" s="127">
        <f t="shared" si="16"/>
        <v>95149</v>
      </c>
      <c r="I43" s="127">
        <f t="shared" si="16"/>
        <v>21993</v>
      </c>
      <c r="J43" s="120">
        <f>SUM(B43:I43)</f>
        <v>488006</v>
      </c>
    </row>
    <row r="44" spans="1:10" x14ac:dyDescent="0.2">
      <c r="A44" s="47" t="s">
        <v>38</v>
      </c>
      <c r="B44" s="130">
        <f t="shared" ref="B44:I44" si="18">+B39+B34+B29</f>
        <v>0</v>
      </c>
      <c r="C44" s="130">
        <f t="shared" ref="C44:E44" si="19">+C39+C34+C29</f>
        <v>0</v>
      </c>
      <c r="D44" s="130">
        <f t="shared" si="19"/>
        <v>0</v>
      </c>
      <c r="E44" s="130">
        <f t="shared" si="19"/>
        <v>0</v>
      </c>
      <c r="F44" s="130">
        <f t="shared" si="18"/>
        <v>0</v>
      </c>
      <c r="G44" s="130">
        <f t="shared" si="18"/>
        <v>0</v>
      </c>
      <c r="H44" s="130">
        <f t="shared" si="18"/>
        <v>751000</v>
      </c>
      <c r="I44" s="130">
        <f t="shared" si="18"/>
        <v>2351</v>
      </c>
      <c r="J44" s="120">
        <f>SUM(B44:I44)</f>
        <v>753351</v>
      </c>
    </row>
    <row r="45" spans="1:10" ht="15.75" thickBot="1" x14ac:dyDescent="0.3">
      <c r="A45" s="48" t="s">
        <v>46</v>
      </c>
      <c r="B45" s="139">
        <f t="shared" ref="B45:I45" si="20">B43+B44</f>
        <v>0</v>
      </c>
      <c r="C45" s="139">
        <f t="shared" ref="C45:E45" si="21">C43+C44</f>
        <v>0</v>
      </c>
      <c r="D45" s="139">
        <f t="shared" si="21"/>
        <v>7286</v>
      </c>
      <c r="E45" s="139">
        <f t="shared" si="21"/>
        <v>0</v>
      </c>
      <c r="F45" s="139">
        <f t="shared" si="20"/>
        <v>10848</v>
      </c>
      <c r="G45" s="139">
        <f t="shared" si="20"/>
        <v>352730</v>
      </c>
      <c r="H45" s="139">
        <f t="shared" si="20"/>
        <v>846149</v>
      </c>
      <c r="I45" s="139">
        <f t="shared" si="20"/>
        <v>24344</v>
      </c>
      <c r="J45" s="140">
        <f>SUM(B45:I45)</f>
        <v>1241357</v>
      </c>
    </row>
    <row r="48" spans="1:10" x14ac:dyDescent="0.2">
      <c r="A48" s="322" t="s">
        <v>124</v>
      </c>
      <c r="B48" s="333"/>
      <c r="C48" s="333"/>
      <c r="D48" s="333"/>
      <c r="E48" s="333"/>
      <c r="G48" s="279">
        <f>[3]Southwest!$GK$70+[3]Southwest!$GK$73</f>
        <v>79467</v>
      </c>
      <c r="H48" s="279">
        <f>'[3]Sun Country'!$GK$70+'[3]Sun Country'!$GK$73</f>
        <v>118253</v>
      </c>
      <c r="I48" s="333"/>
      <c r="J48" s="268">
        <f>SUM(B48:I48)</f>
        <v>197720</v>
      </c>
    </row>
    <row r="49" spans="1:10" x14ac:dyDescent="0.2">
      <c r="A49" s="335" t="s">
        <v>125</v>
      </c>
      <c r="B49" s="333"/>
      <c r="C49" s="333"/>
      <c r="D49" s="333"/>
      <c r="E49" s="333"/>
      <c r="G49" s="279">
        <f>[3]Southwest!$GK$71+[3]Southwest!$GK$74</f>
        <v>160</v>
      </c>
      <c r="H49" s="279">
        <f>'[3]Sun Country'!$GK$71+'[3]Sun Country'!$GK$74</f>
        <v>0</v>
      </c>
      <c r="I49" s="333"/>
      <c r="J49" s="268">
        <f>SUM(B49:I49)</f>
        <v>160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October 2019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47"/>
  <sheetViews>
    <sheetView zoomScaleNormal="100" zoomScaleSheetLayoutView="85" zoomScalePageLayoutView="70" workbookViewId="0">
      <selection activeCell="F30" sqref="F30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38" x14ac:dyDescent="0.2">
      <c r="A1" s="331"/>
    </row>
    <row r="2" spans="1:38" ht="51.75" thickBot="1" x14ac:dyDescent="0.25">
      <c r="A2" s="325">
        <v>43739</v>
      </c>
      <c r="B2" s="371" t="s">
        <v>162</v>
      </c>
      <c r="C2" s="371" t="s">
        <v>165</v>
      </c>
      <c r="D2" s="371" t="s">
        <v>174</v>
      </c>
      <c r="E2" s="371" t="s">
        <v>173</v>
      </c>
      <c r="F2" s="371" t="s">
        <v>175</v>
      </c>
      <c r="G2" s="371" t="s">
        <v>211</v>
      </c>
      <c r="H2" s="371" t="s">
        <v>179</v>
      </c>
      <c r="I2" s="371" t="s">
        <v>186</v>
      </c>
      <c r="J2" s="371" t="s">
        <v>207</v>
      </c>
      <c r="K2" s="371" t="s">
        <v>178</v>
      </c>
      <c r="L2" s="12" t="s">
        <v>118</v>
      </c>
      <c r="M2" s="12" t="s">
        <v>21</v>
      </c>
    </row>
    <row r="3" spans="1:38" ht="15.75" thickTop="1" x14ac:dyDescent="0.25">
      <c r="A3" s="240" t="s">
        <v>3</v>
      </c>
      <c r="B3" s="102"/>
      <c r="C3" s="103"/>
      <c r="D3" s="102"/>
      <c r="E3" s="102"/>
      <c r="F3" s="102"/>
      <c r="G3" s="102"/>
      <c r="H3" s="102"/>
      <c r="I3" s="102"/>
      <c r="J3" s="102"/>
      <c r="K3" s="102"/>
      <c r="L3" s="102"/>
      <c r="M3" s="104"/>
    </row>
    <row r="4" spans="1:38" x14ac:dyDescent="0.2">
      <c r="A4" s="47" t="s">
        <v>29</v>
      </c>
      <c r="B4" s="97"/>
      <c r="C4" s="89"/>
      <c r="D4" s="97"/>
      <c r="E4" s="97"/>
      <c r="F4" s="97"/>
      <c r="G4" s="97"/>
      <c r="H4" s="97"/>
      <c r="I4" s="97"/>
      <c r="J4" s="97"/>
      <c r="K4" s="97"/>
      <c r="L4" s="97"/>
      <c r="M4" s="90"/>
    </row>
    <row r="5" spans="1:38" x14ac:dyDescent="0.2">
      <c r="A5" s="47" t="s">
        <v>30</v>
      </c>
      <c r="B5" s="89">
        <f>[3]Pinnacle!$GK$22+[3]Pinnacle!$GK$32</f>
        <v>76083</v>
      </c>
      <c r="C5" s="89">
        <f>[3]MESA_UA!$GK$22</f>
        <v>4348</v>
      </c>
      <c r="D5" s="97">
        <f>'[3]Sky West'!$GK$22+'[3]Sky West'!$GK$32</f>
        <v>176222</v>
      </c>
      <c r="E5" s="97">
        <f>'[3]Sky West_UA'!$GK$22</f>
        <v>2948</v>
      </c>
      <c r="F5" s="97">
        <f>'[3]Sky West_AS'!$GK$22</f>
        <v>2173</v>
      </c>
      <c r="G5" s="97">
        <f>'[3]Sky West_AA'!$GK$22</f>
        <v>0</v>
      </c>
      <c r="H5" s="97">
        <f>[3]Republic!$GK$22</f>
        <v>12980</v>
      </c>
      <c r="I5" s="97">
        <f>[3]Republic_UA!$GK$22</f>
        <v>15963</v>
      </c>
      <c r="J5" s="97">
        <f>'[3]Sky Regional'!$GK$32</f>
        <v>6120</v>
      </c>
      <c r="K5" s="97">
        <f>'[3]American Eagle'!$GK$22</f>
        <v>251</v>
      </c>
      <c r="L5" s="97">
        <f>'Other Regional'!J5</f>
        <v>6157</v>
      </c>
      <c r="M5" s="90">
        <f>SUM(B5:L5)</f>
        <v>303245</v>
      </c>
      <c r="O5" s="443"/>
      <c r="P5" s="443"/>
      <c r="Q5" s="443"/>
      <c r="R5" s="443"/>
      <c r="S5" s="443"/>
      <c r="T5" s="443"/>
      <c r="U5" s="443"/>
      <c r="V5" s="443"/>
      <c r="W5" s="443"/>
      <c r="X5" s="443"/>
      <c r="Y5" s="443"/>
      <c r="Z5" s="443"/>
      <c r="AA5" s="443"/>
      <c r="AB5" s="443"/>
      <c r="AC5" s="443"/>
      <c r="AD5" s="443"/>
      <c r="AE5" s="443"/>
      <c r="AF5" s="443"/>
      <c r="AG5" s="443"/>
      <c r="AH5" s="443"/>
      <c r="AI5" s="443"/>
      <c r="AJ5" s="443"/>
      <c r="AK5" s="443"/>
      <c r="AL5" s="443"/>
    </row>
    <row r="6" spans="1:38" s="6" customFormat="1" x14ac:dyDescent="0.2">
      <c r="A6" s="47" t="s">
        <v>31</v>
      </c>
      <c r="B6" s="89">
        <f>[3]Pinnacle!$GK$23+[3]Pinnacle!$GK$33</f>
        <v>76310</v>
      </c>
      <c r="C6" s="89">
        <f>[3]MESA_UA!$GK$23</f>
        <v>4616</v>
      </c>
      <c r="D6" s="97">
        <f>'[3]Sky West'!$GK$23+'[3]Sky West'!$GK$33</f>
        <v>170546</v>
      </c>
      <c r="E6" s="97">
        <f>'[3]Sky West_UA'!$GK$23</f>
        <v>2904</v>
      </c>
      <c r="F6" s="97">
        <f>'[3]Sky West_AS'!$GK$23</f>
        <v>2198</v>
      </c>
      <c r="G6" s="97">
        <f>'[3]Sky West_AA'!$GK$23</f>
        <v>0</v>
      </c>
      <c r="H6" s="97">
        <f>[3]Republic!$GK$23</f>
        <v>13787</v>
      </c>
      <c r="I6" s="97">
        <f>[3]Republic_UA!$GK$23</f>
        <v>15328</v>
      </c>
      <c r="J6" s="97">
        <f>'[3]Sky Regional'!$GK$33</f>
        <v>5823</v>
      </c>
      <c r="K6" s="97">
        <f>'[3]American Eagle'!$GK$23</f>
        <v>235</v>
      </c>
      <c r="L6" s="97">
        <f>'Other Regional'!J6</f>
        <v>6301</v>
      </c>
      <c r="M6" s="94">
        <f>SUM(B6:L6)</f>
        <v>298048</v>
      </c>
    </row>
    <row r="7" spans="1:38" ht="15" thickBot="1" x14ac:dyDescent="0.25">
      <c r="A7" s="56" t="s">
        <v>7</v>
      </c>
      <c r="B7" s="107">
        <f>SUM(B5:B6)</f>
        <v>152393</v>
      </c>
      <c r="C7" s="107">
        <f t="shared" ref="C7:L7" si="0">SUM(C5:C6)</f>
        <v>8964</v>
      </c>
      <c r="D7" s="107">
        <f t="shared" si="0"/>
        <v>346768</v>
      </c>
      <c r="E7" s="107">
        <f t="shared" si="0"/>
        <v>5852</v>
      </c>
      <c r="F7" s="107">
        <f t="shared" ref="F7:G7" si="1">SUM(F5:F6)</f>
        <v>4371</v>
      </c>
      <c r="G7" s="107">
        <f t="shared" si="1"/>
        <v>0</v>
      </c>
      <c r="H7" s="107">
        <f t="shared" si="0"/>
        <v>26767</v>
      </c>
      <c r="I7" s="107">
        <f t="shared" si="0"/>
        <v>31291</v>
      </c>
      <c r="J7" s="107">
        <f t="shared" si="0"/>
        <v>11943</v>
      </c>
      <c r="K7" s="107">
        <f t="shared" si="0"/>
        <v>486</v>
      </c>
      <c r="L7" s="107">
        <f t="shared" si="0"/>
        <v>12458</v>
      </c>
      <c r="M7" s="108">
        <f>SUM(B7:L7)</f>
        <v>601293</v>
      </c>
    </row>
    <row r="8" spans="1:38" ht="13.5" thickTop="1" x14ac:dyDescent="0.2">
      <c r="A8" s="47"/>
      <c r="B8" s="97"/>
      <c r="C8" s="89"/>
      <c r="D8" s="97"/>
      <c r="E8" s="97"/>
      <c r="F8" s="97"/>
      <c r="G8" s="97"/>
      <c r="H8" s="97"/>
      <c r="I8" s="97"/>
      <c r="J8" s="97"/>
      <c r="K8" s="97"/>
      <c r="L8" s="97"/>
      <c r="M8" s="109"/>
    </row>
    <row r="9" spans="1:38" s="6" customFormat="1" x14ac:dyDescent="0.2">
      <c r="A9" s="47" t="s">
        <v>32</v>
      </c>
      <c r="B9" s="97"/>
      <c r="C9" s="89"/>
      <c r="D9" s="97"/>
      <c r="E9" s="97"/>
      <c r="F9" s="97"/>
      <c r="G9" s="97"/>
      <c r="H9" s="97"/>
      <c r="I9" s="97"/>
      <c r="J9" s="97"/>
      <c r="K9" s="97"/>
      <c r="L9" s="97"/>
      <c r="M9" s="90"/>
    </row>
    <row r="10" spans="1:38" x14ac:dyDescent="0.2">
      <c r="A10" s="47" t="s">
        <v>30</v>
      </c>
      <c r="B10" s="89">
        <f>[3]Pinnacle!$GK$27+[3]Pinnacle!$GK$37</f>
        <v>2054</v>
      </c>
      <c r="C10" s="89">
        <f>[3]MESA_UA!$GK$27</f>
        <v>171</v>
      </c>
      <c r="D10" s="97">
        <f>'[3]Sky West'!$GK$27+'[3]Sky West'!$GK$37</f>
        <v>5167</v>
      </c>
      <c r="E10" s="97">
        <f>'[3]Sky West_UA'!$GK$27</f>
        <v>131</v>
      </c>
      <c r="F10" s="97">
        <f>'[3]Sky West_AS'!$GK$27</f>
        <v>50</v>
      </c>
      <c r="G10" s="97">
        <f>'[3]Sky West_AA'!$GK$27</f>
        <v>0</v>
      </c>
      <c r="H10" s="97">
        <f>[3]Republic!$GK$27</f>
        <v>479</v>
      </c>
      <c r="I10" s="97">
        <f>[3]Republic_UA!$GK$27</f>
        <v>541</v>
      </c>
      <c r="J10" s="97">
        <f>'[3]Sky Regional'!$GK$37</f>
        <v>80</v>
      </c>
      <c r="K10" s="97">
        <f>'[3]American Eagle'!$GK$27</f>
        <v>16</v>
      </c>
      <c r="L10" s="97">
        <f>'Other Regional'!J10</f>
        <v>194</v>
      </c>
      <c r="M10" s="90">
        <f>SUM(B10:L10)</f>
        <v>8883</v>
      </c>
    </row>
    <row r="11" spans="1:38" x14ac:dyDescent="0.2">
      <c r="A11" s="47" t="s">
        <v>33</v>
      </c>
      <c r="B11" s="89">
        <f>[3]Pinnacle!$GK$28+[3]Pinnacle!$GK$38</f>
        <v>1926</v>
      </c>
      <c r="C11" s="89">
        <f>[3]MESA_UA!$GK$28</f>
        <v>156</v>
      </c>
      <c r="D11" s="97">
        <f>'[3]Sky West'!$GK$28+'[3]Sky West'!$GK$38</f>
        <v>5046</v>
      </c>
      <c r="E11" s="97">
        <f>'[3]Sky West_UA'!$GK$28</f>
        <v>113</v>
      </c>
      <c r="F11" s="97">
        <f>'[3]Sky West_AS'!$GK$28</f>
        <v>72</v>
      </c>
      <c r="G11" s="97">
        <f>'[3]Sky West_AA'!$GK$28</f>
        <v>0</v>
      </c>
      <c r="H11" s="97">
        <f>[3]Republic!$GK$28</f>
        <v>586</v>
      </c>
      <c r="I11" s="97">
        <f>[3]Republic_UA!$GK$28</f>
        <v>507</v>
      </c>
      <c r="J11" s="97">
        <f>'[3]Sky Regional'!$GK$38</f>
        <v>65</v>
      </c>
      <c r="K11" s="97">
        <f>'[3]American Eagle'!$GK$28</f>
        <v>31</v>
      </c>
      <c r="L11" s="97">
        <f>'Other Regional'!J11</f>
        <v>173</v>
      </c>
      <c r="M11" s="94">
        <f>SUM(B11:L11)</f>
        <v>8675</v>
      </c>
    </row>
    <row r="12" spans="1:38" ht="15" thickBot="1" x14ac:dyDescent="0.25">
      <c r="A12" s="57" t="s">
        <v>34</v>
      </c>
      <c r="B12" s="110">
        <f t="shared" ref="B12:L12" si="2">SUM(B10:B11)</f>
        <v>3980</v>
      </c>
      <c r="C12" s="110">
        <f t="shared" si="2"/>
        <v>327</v>
      </c>
      <c r="D12" s="110">
        <f t="shared" si="2"/>
        <v>10213</v>
      </c>
      <c r="E12" s="110">
        <f t="shared" si="2"/>
        <v>244</v>
      </c>
      <c r="F12" s="110">
        <f t="shared" ref="F12:G12" si="3">SUM(F10:F11)</f>
        <v>122</v>
      </c>
      <c r="G12" s="110">
        <f t="shared" si="3"/>
        <v>0</v>
      </c>
      <c r="H12" s="110">
        <f t="shared" si="2"/>
        <v>1065</v>
      </c>
      <c r="I12" s="110">
        <f t="shared" si="2"/>
        <v>1048</v>
      </c>
      <c r="J12" s="110">
        <f t="shared" si="2"/>
        <v>145</v>
      </c>
      <c r="K12" s="110">
        <f t="shared" si="2"/>
        <v>47</v>
      </c>
      <c r="L12" s="110">
        <f t="shared" si="2"/>
        <v>367</v>
      </c>
      <c r="M12" s="111">
        <f>SUM(B12:L12)</f>
        <v>17558</v>
      </c>
    </row>
    <row r="13" spans="1:38" ht="13.5" thickBot="1" x14ac:dyDescent="0.25"/>
    <row r="14" spans="1:38" ht="15.75" thickTop="1" x14ac:dyDescent="0.25">
      <c r="A14" s="46" t="s">
        <v>9</v>
      </c>
      <c r="B14" s="84"/>
      <c r="C14" s="85"/>
      <c r="D14" s="84"/>
      <c r="E14" s="84"/>
      <c r="F14" s="84"/>
      <c r="G14" s="84"/>
      <c r="H14" s="84"/>
      <c r="I14" s="84"/>
      <c r="J14" s="84"/>
      <c r="K14" s="84"/>
      <c r="L14" s="84"/>
      <c r="M14" s="86">
        <f t="shared" ref="M14" si="4">SUM(B14:L14)</f>
        <v>0</v>
      </c>
    </row>
    <row r="15" spans="1:38" x14ac:dyDescent="0.2">
      <c r="A15" s="47" t="s">
        <v>53</v>
      </c>
      <c r="B15" s="13">
        <f>[3]Pinnacle!$GK$4+[3]Pinnacle!$GK$15</f>
        <v>1244</v>
      </c>
      <c r="C15" s="88">
        <f>[3]MESA_UA!$GK$4</f>
        <v>76</v>
      </c>
      <c r="D15" s="87">
        <f>'[3]Sky West'!$GK$4+'[3]Sky West'!$GK$15</f>
        <v>3766</v>
      </c>
      <c r="E15" s="87">
        <f>'[3]Sky West_UA'!$GK$4</f>
        <v>46</v>
      </c>
      <c r="F15" s="87">
        <f>'[3]Sky West_AS'!$GK$4</f>
        <v>31</v>
      </c>
      <c r="G15" s="87">
        <f>'[3]Sky West_AA'!$GK$4</f>
        <v>0</v>
      </c>
      <c r="H15" s="89">
        <f>[3]Republic!$GK$4</f>
        <v>239</v>
      </c>
      <c r="I15" s="384">
        <f>[3]Republic_UA!$GK$4</f>
        <v>258</v>
      </c>
      <c r="J15" s="384">
        <f>'[3]Sky Regional'!$GK$15</f>
        <v>115</v>
      </c>
      <c r="K15" s="89">
        <f>'[3]American Eagle'!$GK$4</f>
        <v>4</v>
      </c>
      <c r="L15" s="88">
        <f>'Other Regional'!J15</f>
        <v>105</v>
      </c>
      <c r="M15" s="90">
        <f t="shared" ref="M15:M21" si="5">SUM(B15:L15)</f>
        <v>5884</v>
      </c>
    </row>
    <row r="16" spans="1:38" x14ac:dyDescent="0.2">
      <c r="A16" s="47" t="s">
        <v>54</v>
      </c>
      <c r="B16" s="7">
        <f>[3]Pinnacle!$GK$5+[3]Pinnacle!$GK$16</f>
        <v>1240</v>
      </c>
      <c r="C16" s="92">
        <f>[3]MESA_UA!$GK$5</f>
        <v>76</v>
      </c>
      <c r="D16" s="91">
        <f>'[3]Sky West'!$GK$5+'[3]Sky West'!$GK$16</f>
        <v>3762</v>
      </c>
      <c r="E16" s="91">
        <f>'[3]Sky West_UA'!$GK$5</f>
        <v>46</v>
      </c>
      <c r="F16" s="91">
        <f>'[3]Sky West_AS'!$GK$5</f>
        <v>31</v>
      </c>
      <c r="G16" s="91">
        <f>'[3]Sky West_AA'!$GK$5</f>
        <v>0</v>
      </c>
      <c r="H16" s="93">
        <f>[3]Republic!$GK$5</f>
        <v>239</v>
      </c>
      <c r="I16" s="255">
        <f>[3]Republic_UA!$GK$5</f>
        <v>258</v>
      </c>
      <c r="J16" s="255">
        <f>'[3]Sky Regional'!$GK$16</f>
        <v>115</v>
      </c>
      <c r="K16" s="93">
        <f>'[3]American Eagle'!$GK$5</f>
        <v>4</v>
      </c>
      <c r="L16" s="92">
        <f>'Other Regional'!J16</f>
        <v>105</v>
      </c>
      <c r="M16" s="94">
        <f t="shared" si="5"/>
        <v>5876</v>
      </c>
    </row>
    <row r="17" spans="1:13" x14ac:dyDescent="0.2">
      <c r="A17" s="51" t="s">
        <v>55</v>
      </c>
      <c r="B17" s="95">
        <f t="shared" ref="B17:E17" si="6">SUM(B15:B16)</f>
        <v>2484</v>
      </c>
      <c r="C17" s="95">
        <f t="shared" si="6"/>
        <v>152</v>
      </c>
      <c r="D17" s="95">
        <f t="shared" si="6"/>
        <v>7528</v>
      </c>
      <c r="E17" s="95">
        <f t="shared" si="6"/>
        <v>92</v>
      </c>
      <c r="F17" s="95">
        <f t="shared" ref="F17:G17" si="7">SUM(F15:F16)</f>
        <v>62</v>
      </c>
      <c r="G17" s="95">
        <f t="shared" si="7"/>
        <v>0</v>
      </c>
      <c r="H17" s="95">
        <f>SUM(H15:H16)</f>
        <v>478</v>
      </c>
      <c r="I17" s="95">
        <f t="shared" ref="I17:J17" si="8">SUM(I15:I16)</f>
        <v>516</v>
      </c>
      <c r="J17" s="95">
        <f t="shared" si="8"/>
        <v>230</v>
      </c>
      <c r="K17" s="95">
        <f>SUM(K15:K16)</f>
        <v>8</v>
      </c>
      <c r="L17" s="95">
        <f>SUM(L15:L16)</f>
        <v>210</v>
      </c>
      <c r="M17" s="96">
        <f t="shared" si="5"/>
        <v>11760</v>
      </c>
    </row>
    <row r="18" spans="1:13" x14ac:dyDescent="0.2">
      <c r="A18" s="47" t="s">
        <v>56</v>
      </c>
      <c r="B18" s="97">
        <f>[3]Pinnacle!$GK$8</f>
        <v>0</v>
      </c>
      <c r="C18" s="89">
        <f>[3]MESA_UA!$GK$8</f>
        <v>0</v>
      </c>
      <c r="D18" s="97">
        <f>'[3]Sky West'!$GK$8</f>
        <v>0</v>
      </c>
      <c r="E18" s="97">
        <f>'[3]Sky West_UA'!$GK$8</f>
        <v>0</v>
      </c>
      <c r="F18" s="97">
        <f>'[3]Sky West_AS'!$GK$8</f>
        <v>0</v>
      </c>
      <c r="G18" s="97">
        <f>'[3]Sky West_AA'!$GK$8</f>
        <v>0</v>
      </c>
      <c r="H18" s="97">
        <f>[3]Republic!$GK$8</f>
        <v>0</v>
      </c>
      <c r="I18" s="97">
        <f>[3]Republic_UA!$GK$8</f>
        <v>0</v>
      </c>
      <c r="J18" s="97">
        <f>'[3]Sky Regional'!$GK$8</f>
        <v>0</v>
      </c>
      <c r="K18" s="97">
        <f>'[3]American Eagle'!$GK$8</f>
        <v>0</v>
      </c>
      <c r="L18" s="97">
        <f>'Other Regional'!J18</f>
        <v>0</v>
      </c>
      <c r="M18" s="90">
        <f t="shared" si="5"/>
        <v>0</v>
      </c>
    </row>
    <row r="19" spans="1:13" x14ac:dyDescent="0.2">
      <c r="A19" s="47" t="s">
        <v>57</v>
      </c>
      <c r="B19" s="98">
        <f>[3]Pinnacle!$GK$9</f>
        <v>1</v>
      </c>
      <c r="C19" s="93">
        <f>[3]MESA_UA!$GK$9</f>
        <v>0</v>
      </c>
      <c r="D19" s="98">
        <f>'[3]Sky West'!$GK$9</f>
        <v>6</v>
      </c>
      <c r="E19" s="98">
        <f>'[3]Sky West_UA'!$GK$9</f>
        <v>0</v>
      </c>
      <c r="F19" s="98">
        <f>'[3]Sky West_AS'!$GK$9</f>
        <v>0</v>
      </c>
      <c r="G19" s="98">
        <f>'[3]Sky West_AA'!$GK$9</f>
        <v>0</v>
      </c>
      <c r="H19" s="98">
        <f>[3]Republic!$GK$9</f>
        <v>0</v>
      </c>
      <c r="I19" s="98">
        <f>[3]Republic_UA!$GK$9</f>
        <v>0</v>
      </c>
      <c r="J19" s="98">
        <f>'[3]Sky Regional'!$GK$9</f>
        <v>0</v>
      </c>
      <c r="K19" s="98">
        <f>'[3]American Eagle'!$GK$9</f>
        <v>0</v>
      </c>
      <c r="L19" s="98">
        <f>'Other Regional'!J19</f>
        <v>0</v>
      </c>
      <c r="M19" s="94">
        <f t="shared" si="5"/>
        <v>7</v>
      </c>
    </row>
    <row r="20" spans="1:13" x14ac:dyDescent="0.2">
      <c r="A20" s="51" t="s">
        <v>58</v>
      </c>
      <c r="B20" s="95">
        <f t="shared" ref="B20:L20" si="9">SUM(B18:B19)</f>
        <v>1</v>
      </c>
      <c r="C20" s="95">
        <f t="shared" si="9"/>
        <v>0</v>
      </c>
      <c r="D20" s="95">
        <f t="shared" si="9"/>
        <v>6</v>
      </c>
      <c r="E20" s="95">
        <f t="shared" si="9"/>
        <v>0</v>
      </c>
      <c r="F20" s="95">
        <f t="shared" ref="F20:G20" si="10">SUM(F18:F19)</f>
        <v>0</v>
      </c>
      <c r="G20" s="95">
        <f t="shared" si="10"/>
        <v>0</v>
      </c>
      <c r="H20" s="95">
        <f t="shared" si="9"/>
        <v>0</v>
      </c>
      <c r="I20" s="95">
        <f t="shared" si="9"/>
        <v>0</v>
      </c>
      <c r="J20" s="95">
        <f t="shared" si="9"/>
        <v>0</v>
      </c>
      <c r="K20" s="95">
        <f t="shared" si="9"/>
        <v>0</v>
      </c>
      <c r="L20" s="95">
        <f t="shared" si="9"/>
        <v>0</v>
      </c>
      <c r="M20" s="96">
        <f t="shared" si="5"/>
        <v>7</v>
      </c>
    </row>
    <row r="21" spans="1:13" ht="15.75" thickBot="1" x14ac:dyDescent="0.3">
      <c r="A21" s="55" t="s">
        <v>28</v>
      </c>
      <c r="B21" s="99">
        <f t="shared" ref="B21:K21" si="11">SUM(B20,B17)</f>
        <v>2485</v>
      </c>
      <c r="C21" s="99">
        <f t="shared" si="11"/>
        <v>152</v>
      </c>
      <c r="D21" s="99">
        <f t="shared" si="11"/>
        <v>7534</v>
      </c>
      <c r="E21" s="99">
        <f t="shared" si="11"/>
        <v>92</v>
      </c>
      <c r="F21" s="99">
        <f t="shared" ref="F21:G21" si="12">SUM(F20,F17)</f>
        <v>62</v>
      </c>
      <c r="G21" s="99">
        <f t="shared" si="12"/>
        <v>0</v>
      </c>
      <c r="H21" s="99">
        <f t="shared" si="11"/>
        <v>478</v>
      </c>
      <c r="I21" s="99">
        <f t="shared" si="11"/>
        <v>516</v>
      </c>
      <c r="J21" s="99">
        <f t="shared" si="11"/>
        <v>230</v>
      </c>
      <c r="K21" s="99">
        <f t="shared" si="11"/>
        <v>8</v>
      </c>
      <c r="L21" s="99">
        <f>SUM(L20,L17)</f>
        <v>210</v>
      </c>
      <c r="M21" s="100">
        <f t="shared" si="5"/>
        <v>11767</v>
      </c>
    </row>
    <row r="22" spans="1:13" ht="13.5" thickBot="1" x14ac:dyDescent="0.25"/>
    <row r="23" spans="1:13" ht="15.75" thickTop="1" x14ac:dyDescent="0.25">
      <c r="A23" s="50" t="s">
        <v>117</v>
      </c>
      <c r="B23" s="112"/>
      <c r="C23" s="113"/>
      <c r="D23" s="112"/>
      <c r="E23" s="112"/>
      <c r="F23" s="112"/>
      <c r="G23" s="112"/>
      <c r="H23" s="112"/>
      <c r="I23" s="112"/>
      <c r="J23" s="112"/>
      <c r="K23" s="112"/>
      <c r="L23" s="112"/>
      <c r="M23" s="114"/>
    </row>
    <row r="24" spans="1:13" x14ac:dyDescent="0.2">
      <c r="A24" s="47" t="s">
        <v>36</v>
      </c>
      <c r="B24" s="97"/>
      <c r="C24" s="89"/>
      <c r="D24" s="97"/>
      <c r="E24" s="97"/>
      <c r="F24" s="97"/>
      <c r="G24" s="97"/>
      <c r="H24" s="97"/>
      <c r="I24" s="97"/>
      <c r="J24" s="97"/>
      <c r="K24" s="97"/>
      <c r="L24" s="97"/>
      <c r="M24" s="90"/>
    </row>
    <row r="25" spans="1:13" x14ac:dyDescent="0.2">
      <c r="A25" s="47" t="s">
        <v>37</v>
      </c>
      <c r="B25" s="97">
        <f>[3]Pinnacle!$GK$47</f>
        <v>0</v>
      </c>
      <c r="C25" s="89">
        <f>[3]MESA_UA!$GK$47</f>
        <v>0</v>
      </c>
      <c r="D25" s="97">
        <f>'[3]Sky West'!$GK$47</f>
        <v>0</v>
      </c>
      <c r="E25" s="97">
        <f>'[3]Sky West_UA'!$GK$47</f>
        <v>0</v>
      </c>
      <c r="F25" s="97">
        <f>'[3]Sky West_AS'!$GK$47</f>
        <v>1284</v>
      </c>
      <c r="G25" s="97">
        <f>'[3]Sky West_AA'!$GK$47</f>
        <v>0</v>
      </c>
      <c r="H25" s="97">
        <f>[3]Republic!$GK$47</f>
        <v>528</v>
      </c>
      <c r="I25" s="97">
        <f>[3]Republic_UA!$GK$47</f>
        <v>0</v>
      </c>
      <c r="J25" s="97">
        <f>'[3]Sky Regional'!$GK$47</f>
        <v>1385</v>
      </c>
      <c r="K25" s="97">
        <f>'[3]American Eagle'!$GK$47</f>
        <v>0</v>
      </c>
      <c r="L25" s="97">
        <f>'Other Regional'!J25</f>
        <v>173</v>
      </c>
      <c r="M25" s="90">
        <f>SUM(B25:L25)</f>
        <v>3370</v>
      </c>
    </row>
    <row r="26" spans="1:13" x14ac:dyDescent="0.2">
      <c r="A26" s="47" t="s">
        <v>38</v>
      </c>
      <c r="B26" s="97">
        <f>[3]Pinnacle!$GK$48</f>
        <v>0</v>
      </c>
      <c r="C26" s="89">
        <f>[3]MESA_UA!$GK$48</f>
        <v>0</v>
      </c>
      <c r="D26" s="97">
        <f>'[3]Sky West'!$GK$48</f>
        <v>0</v>
      </c>
      <c r="E26" s="97">
        <f>'[3]Sky West_UA'!$GK$48</f>
        <v>0</v>
      </c>
      <c r="F26" s="97">
        <f>'[3]Sky West_AS'!$GK$48</f>
        <v>0</v>
      </c>
      <c r="G26" s="97">
        <f>'[3]Sky West_AA'!$GK$48</f>
        <v>0</v>
      </c>
      <c r="H26" s="97">
        <f>[3]Republic!$GK$48</f>
        <v>0</v>
      </c>
      <c r="I26" s="97">
        <f>[3]Republic_UA!$GK$48</f>
        <v>0</v>
      </c>
      <c r="J26" s="97">
        <f>'[3]Sky Regional'!$GK$48</f>
        <v>0</v>
      </c>
      <c r="K26" s="97">
        <f>'[3]American Eagle'!$GK$48</f>
        <v>0</v>
      </c>
      <c r="L26" s="97">
        <f>'Other Regional'!J26</f>
        <v>0</v>
      </c>
      <c r="M26" s="90">
        <f>SUM(B26:L26)</f>
        <v>0</v>
      </c>
    </row>
    <row r="27" spans="1:13" ht="15" thickBot="1" x14ac:dyDescent="0.25">
      <c r="A27" s="56" t="s">
        <v>39</v>
      </c>
      <c r="B27" s="107">
        <f t="shared" ref="B27:L27" si="13">SUM(B25:B26)</f>
        <v>0</v>
      </c>
      <c r="C27" s="107">
        <f t="shared" si="13"/>
        <v>0</v>
      </c>
      <c r="D27" s="107">
        <f t="shared" si="13"/>
        <v>0</v>
      </c>
      <c r="E27" s="107">
        <f t="shared" si="13"/>
        <v>0</v>
      </c>
      <c r="F27" s="107">
        <f t="shared" ref="F27:G27" si="14">SUM(F25:F26)</f>
        <v>1284</v>
      </c>
      <c r="G27" s="107">
        <f t="shared" si="14"/>
        <v>0</v>
      </c>
      <c r="H27" s="107">
        <f t="shared" si="13"/>
        <v>528</v>
      </c>
      <c r="I27" s="107">
        <f t="shared" si="13"/>
        <v>0</v>
      </c>
      <c r="J27" s="107">
        <f t="shared" si="13"/>
        <v>1385</v>
      </c>
      <c r="K27" s="107">
        <f t="shared" si="13"/>
        <v>0</v>
      </c>
      <c r="L27" s="107">
        <f t="shared" si="13"/>
        <v>173</v>
      </c>
      <c r="M27" s="108">
        <f>SUM(B27:L27)</f>
        <v>3370</v>
      </c>
    </row>
    <row r="28" spans="1:13" ht="13.5" thickTop="1" x14ac:dyDescent="0.2">
      <c r="A28" s="47"/>
      <c r="B28" s="97"/>
      <c r="C28" s="89"/>
      <c r="D28" s="97"/>
      <c r="E28" s="97"/>
      <c r="F28" s="97"/>
      <c r="G28" s="97"/>
      <c r="H28" s="97"/>
      <c r="I28" s="97"/>
      <c r="J28" s="97"/>
      <c r="K28" s="97"/>
      <c r="L28" s="97"/>
      <c r="M28" s="90"/>
    </row>
    <row r="29" spans="1:13" x14ac:dyDescent="0.2">
      <c r="A29" s="47" t="s">
        <v>40</v>
      </c>
      <c r="B29" s="97"/>
      <c r="C29" s="89"/>
      <c r="D29" s="97"/>
      <c r="E29" s="97"/>
      <c r="F29" s="97"/>
      <c r="G29" s="97"/>
      <c r="H29" s="97"/>
      <c r="I29" s="97"/>
      <c r="J29" s="97"/>
      <c r="K29" s="97"/>
      <c r="M29" s="90"/>
    </row>
    <row r="30" spans="1:13" x14ac:dyDescent="0.2">
      <c r="A30" s="47" t="s">
        <v>59</v>
      </c>
      <c r="B30" s="97">
        <f>[3]Pinnacle!$GK$52</f>
        <v>0</v>
      </c>
      <c r="C30" s="89">
        <f>[3]MESA_UA!$GK$52</f>
        <v>0</v>
      </c>
      <c r="D30" s="97">
        <f>'[3]Sky West'!$GK$52</f>
        <v>0</v>
      </c>
      <c r="E30" s="97">
        <f>'[3]Sky West_UA'!$GK$52</f>
        <v>0</v>
      </c>
      <c r="F30" s="97">
        <f>'[3]Sky West_AS'!$GK$52</f>
        <v>178</v>
      </c>
      <c r="G30" s="97">
        <f>'[3]Sky West_AA'!$GK$52</f>
        <v>0</v>
      </c>
      <c r="H30" s="97">
        <f>[3]Republic!$GK$52</f>
        <v>20</v>
      </c>
      <c r="I30" s="97">
        <f>[3]Republic_UA!$GK$52</f>
        <v>0</v>
      </c>
      <c r="J30" s="97">
        <f>'[3]Sky Regional'!$GK$52</f>
        <v>1942</v>
      </c>
      <c r="K30" s="97">
        <f>'[3]American Eagle'!$GK$52</f>
        <v>0</v>
      </c>
      <c r="L30" s="97">
        <f>'Other Regional'!J30</f>
        <v>0</v>
      </c>
      <c r="M30" s="90">
        <f t="shared" ref="M30:M37" si="15">SUM(B30:L30)</f>
        <v>2140</v>
      </c>
    </row>
    <row r="31" spans="1:13" x14ac:dyDescent="0.2">
      <c r="A31" s="47" t="s">
        <v>60</v>
      </c>
      <c r="B31" s="97">
        <f>[3]Pinnacle!$GK$53</f>
        <v>0</v>
      </c>
      <c r="C31" s="89">
        <f>[3]MESA_UA!$GK$53</f>
        <v>0</v>
      </c>
      <c r="D31" s="97">
        <f>'[3]Sky West'!$GK$53</f>
        <v>0</v>
      </c>
      <c r="E31" s="97">
        <f>'[3]Sky West_UA'!$GK$53</f>
        <v>0</v>
      </c>
      <c r="F31" s="97">
        <f>'[3]Sky West_AS'!$GK$53</f>
        <v>3330</v>
      </c>
      <c r="G31" s="97">
        <f>'[3]Sky West_AA'!$GK$53</f>
        <v>0</v>
      </c>
      <c r="H31" s="97">
        <f>[3]Republic!$GK$53</f>
        <v>0</v>
      </c>
      <c r="I31" s="97">
        <f>[3]Republic_UA!$GK$53</f>
        <v>0</v>
      </c>
      <c r="J31" s="97">
        <f>'[3]Sky Regional'!$GK$53</f>
        <v>0</v>
      </c>
      <c r="K31" s="97">
        <f>'[3]American Eagle'!$GK$53</f>
        <v>0</v>
      </c>
      <c r="L31" s="97">
        <f>'Other Regional'!J31</f>
        <v>0</v>
      </c>
      <c r="M31" s="90">
        <f t="shared" si="15"/>
        <v>3330</v>
      </c>
    </row>
    <row r="32" spans="1:13" ht="15" thickBot="1" x14ac:dyDescent="0.25">
      <c r="A32" s="56" t="s">
        <v>41</v>
      </c>
      <c r="B32" s="107">
        <f t="shared" ref="B32:K32" si="16">SUM(B30:B31)</f>
        <v>0</v>
      </c>
      <c r="C32" s="107">
        <f t="shared" si="16"/>
        <v>0</v>
      </c>
      <c r="D32" s="107">
        <f t="shared" si="16"/>
        <v>0</v>
      </c>
      <c r="E32" s="107">
        <f t="shared" si="16"/>
        <v>0</v>
      </c>
      <c r="F32" s="107">
        <f t="shared" ref="F32:G32" si="17">SUM(F30:F31)</f>
        <v>3508</v>
      </c>
      <c r="G32" s="107">
        <f t="shared" si="17"/>
        <v>0</v>
      </c>
      <c r="H32" s="107">
        <f t="shared" si="16"/>
        <v>20</v>
      </c>
      <c r="I32" s="107">
        <f t="shared" si="16"/>
        <v>0</v>
      </c>
      <c r="J32" s="107">
        <f t="shared" si="16"/>
        <v>1942</v>
      </c>
      <c r="K32" s="107">
        <f t="shared" si="16"/>
        <v>0</v>
      </c>
      <c r="L32" s="107">
        <f>SUM(L30:L31)</f>
        <v>0</v>
      </c>
      <c r="M32" s="108">
        <f t="shared" si="15"/>
        <v>5470</v>
      </c>
    </row>
    <row r="33" spans="1:13" ht="13.5" hidden="1" thickTop="1" x14ac:dyDescent="0.2">
      <c r="A33" s="47"/>
      <c r="B33" s="97"/>
      <c r="C33" s="89"/>
      <c r="D33" s="97"/>
      <c r="E33" s="97"/>
      <c r="F33" s="97"/>
      <c r="G33" s="97"/>
      <c r="H33" s="97"/>
      <c r="I33" s="97"/>
      <c r="J33" s="97"/>
      <c r="K33" s="97"/>
      <c r="L33" s="97"/>
      <c r="M33" s="90">
        <f t="shared" si="15"/>
        <v>0</v>
      </c>
    </row>
    <row r="34" spans="1:13" ht="13.5" hidden="1" thickTop="1" x14ac:dyDescent="0.2">
      <c r="A34" s="47" t="s">
        <v>42</v>
      </c>
      <c r="B34" s="97"/>
      <c r="C34" s="89"/>
      <c r="D34" s="97"/>
      <c r="E34" s="97"/>
      <c r="F34" s="97"/>
      <c r="G34" s="97"/>
      <c r="H34" s="97"/>
      <c r="I34" s="97"/>
      <c r="J34" s="97"/>
      <c r="K34" s="97"/>
      <c r="L34" s="97"/>
      <c r="M34" s="90">
        <f t="shared" si="15"/>
        <v>0</v>
      </c>
    </row>
    <row r="35" spans="1:13" ht="13.5" hidden="1" thickTop="1" x14ac:dyDescent="0.2">
      <c r="A35" s="47" t="s">
        <v>37</v>
      </c>
      <c r="B35" s="97">
        <f>[3]Pinnacle!$GK$57</f>
        <v>0</v>
      </c>
      <c r="C35" s="89">
        <f>[3]MESA_UA!$GK$57</f>
        <v>0</v>
      </c>
      <c r="D35" s="97">
        <f>'[3]Sky West'!$GK$57</f>
        <v>0</v>
      </c>
      <c r="E35" s="97">
        <f>'[3]Sky West_UA'!$GK$57</f>
        <v>0</v>
      </c>
      <c r="F35" s="97">
        <f>'[3]Sky West_AS'!$GK$57</f>
        <v>0</v>
      </c>
      <c r="G35" s="97">
        <f>'[3]Sky West_AA'!$GK$57</f>
        <v>0</v>
      </c>
      <c r="H35" s="97">
        <f>[3]Republic!$GK$57</f>
        <v>0</v>
      </c>
      <c r="I35" s="97">
        <f>[3]Republic!$GK$57</f>
        <v>0</v>
      </c>
      <c r="J35" s="97">
        <f>[3]Republic!$GK$57</f>
        <v>0</v>
      </c>
      <c r="K35" s="97">
        <f>'[3]American Eagle'!$GK$57</f>
        <v>0</v>
      </c>
      <c r="L35" s="97">
        <f>'Other Regional'!J35</f>
        <v>0</v>
      </c>
      <c r="M35" s="90">
        <f t="shared" si="15"/>
        <v>0</v>
      </c>
    </row>
    <row r="36" spans="1:13" ht="13.5" hidden="1" thickTop="1" x14ac:dyDescent="0.2">
      <c r="A36" s="47" t="s">
        <v>38</v>
      </c>
      <c r="B36" s="97">
        <f>[3]Pinnacle!$GK$58</f>
        <v>0</v>
      </c>
      <c r="C36" s="89">
        <f>[3]MESA_UA!$GK$58</f>
        <v>0</v>
      </c>
      <c r="D36" s="97">
        <f>'[3]Sky West'!$GK$58</f>
        <v>0</v>
      </c>
      <c r="E36" s="97">
        <f>'[3]Sky West_UA'!$GK$58</f>
        <v>0</v>
      </c>
      <c r="F36" s="97">
        <f>'[3]Sky West_AS'!$GK$58</f>
        <v>0</v>
      </c>
      <c r="G36" s="97">
        <f>'[3]Sky West_AA'!$GK$58</f>
        <v>0</v>
      </c>
      <c r="H36" s="97">
        <f>[3]Republic!$GK$58</f>
        <v>0</v>
      </c>
      <c r="I36" s="97">
        <f>[3]Republic!$GK$58</f>
        <v>0</v>
      </c>
      <c r="J36" s="97">
        <f>[3]Republic!$GK$58</f>
        <v>0</v>
      </c>
      <c r="K36" s="97">
        <f>'[3]American Eagle'!$GK$58</f>
        <v>0</v>
      </c>
      <c r="L36" s="97">
        <f>'Other Regional'!J36</f>
        <v>0</v>
      </c>
      <c r="M36" s="90">
        <f t="shared" si="15"/>
        <v>0</v>
      </c>
    </row>
    <row r="37" spans="1:13" ht="13.5" hidden="1" thickTop="1" x14ac:dyDescent="0.2">
      <c r="A37" s="58" t="s">
        <v>43</v>
      </c>
      <c r="B37" s="115">
        <f t="shared" ref="B37:K37" si="18">SUM(B35:B36)</f>
        <v>0</v>
      </c>
      <c r="C37" s="115">
        <f t="shared" si="18"/>
        <v>0</v>
      </c>
      <c r="D37" s="115">
        <f t="shared" si="18"/>
        <v>0</v>
      </c>
      <c r="E37" s="115">
        <f t="shared" si="18"/>
        <v>0</v>
      </c>
      <c r="F37" s="115">
        <f t="shared" ref="F37:G37" si="19">SUM(F35:F36)</f>
        <v>0</v>
      </c>
      <c r="G37" s="115">
        <f t="shared" si="19"/>
        <v>0</v>
      </c>
      <c r="H37" s="115">
        <f t="shared" si="18"/>
        <v>0</v>
      </c>
      <c r="I37" s="115">
        <f t="shared" si="18"/>
        <v>0</v>
      </c>
      <c r="J37" s="115">
        <f t="shared" si="18"/>
        <v>0</v>
      </c>
      <c r="K37" s="115">
        <f t="shared" si="18"/>
        <v>0</v>
      </c>
      <c r="L37" s="115">
        <f>SUM(L35:L36)</f>
        <v>0</v>
      </c>
      <c r="M37" s="117">
        <f t="shared" si="15"/>
        <v>0</v>
      </c>
    </row>
    <row r="38" spans="1:13" ht="13.5" thickTop="1" x14ac:dyDescent="0.2">
      <c r="A38" s="47"/>
      <c r="B38" s="97"/>
      <c r="C38" s="89"/>
      <c r="D38" s="97"/>
      <c r="E38" s="97"/>
      <c r="F38" s="97"/>
      <c r="G38" s="97"/>
      <c r="H38" s="97"/>
      <c r="I38" s="97"/>
      <c r="J38" s="97"/>
      <c r="K38" s="97"/>
      <c r="L38" s="97"/>
      <c r="M38" s="90"/>
    </row>
    <row r="39" spans="1:13" x14ac:dyDescent="0.2">
      <c r="A39" s="47" t="s">
        <v>44</v>
      </c>
      <c r="B39" s="97"/>
      <c r="C39" s="89"/>
      <c r="D39" s="97"/>
      <c r="E39" s="97"/>
      <c r="F39" s="97"/>
      <c r="G39" s="97"/>
      <c r="H39" s="97"/>
      <c r="I39" s="97"/>
      <c r="J39" s="97"/>
      <c r="K39" s="97"/>
      <c r="L39" s="97"/>
      <c r="M39" s="90"/>
    </row>
    <row r="40" spans="1:13" x14ac:dyDescent="0.2">
      <c r="A40" s="47" t="s">
        <v>45</v>
      </c>
      <c r="B40" s="97">
        <f t="shared" ref="B40:J42" si="20">SUM(B35,B30,B25)</f>
        <v>0</v>
      </c>
      <c r="C40" s="97">
        <f>SUM(C35,C30,C25)</f>
        <v>0</v>
      </c>
      <c r="D40" s="97">
        <f t="shared" si="20"/>
        <v>0</v>
      </c>
      <c r="E40" s="97">
        <f t="shared" ref="E40:F42" si="21">SUM(E35,E30,E25)</f>
        <v>0</v>
      </c>
      <c r="F40" s="97">
        <f t="shared" si="21"/>
        <v>1462</v>
      </c>
      <c r="G40" s="97">
        <f t="shared" ref="G40" si="22">SUM(G35,G30,G25)</f>
        <v>0</v>
      </c>
      <c r="H40" s="97">
        <f t="shared" si="20"/>
        <v>548</v>
      </c>
      <c r="I40" s="97">
        <f t="shared" si="20"/>
        <v>0</v>
      </c>
      <c r="J40" s="97">
        <f t="shared" si="20"/>
        <v>3327</v>
      </c>
      <c r="K40" s="97">
        <f>SUM(K35,K30,K25)</f>
        <v>0</v>
      </c>
      <c r="L40" s="97">
        <f>L35+L30+L25</f>
        <v>173</v>
      </c>
      <c r="M40" s="90">
        <f>SUM(B40:L40)</f>
        <v>5510</v>
      </c>
    </row>
    <row r="41" spans="1:13" x14ac:dyDescent="0.2">
      <c r="A41" s="47" t="s">
        <v>38</v>
      </c>
      <c r="B41" s="97">
        <f t="shared" si="20"/>
        <v>0</v>
      </c>
      <c r="C41" s="97">
        <f>SUM(C36,C31,C26)</f>
        <v>0</v>
      </c>
      <c r="D41" s="97">
        <f t="shared" si="20"/>
        <v>0</v>
      </c>
      <c r="E41" s="97">
        <f t="shared" si="21"/>
        <v>0</v>
      </c>
      <c r="F41" s="97">
        <f t="shared" si="21"/>
        <v>3330</v>
      </c>
      <c r="G41" s="97">
        <f t="shared" ref="G41" si="23">SUM(G36,G31,G26)</f>
        <v>0</v>
      </c>
      <c r="H41" s="97">
        <f t="shared" si="20"/>
        <v>0</v>
      </c>
      <c r="I41" s="97">
        <f t="shared" si="20"/>
        <v>0</v>
      </c>
      <c r="J41" s="97">
        <f t="shared" si="20"/>
        <v>0</v>
      </c>
      <c r="K41" s="97">
        <f>SUM(K36,K31,K26)</f>
        <v>0</v>
      </c>
      <c r="L41" s="97">
        <f>L36+L31+L26</f>
        <v>0</v>
      </c>
      <c r="M41" s="90">
        <f>SUM(B41:L41)</f>
        <v>3330</v>
      </c>
    </row>
    <row r="42" spans="1:13" ht="15" thickBot="1" x14ac:dyDescent="0.25">
      <c r="A42" s="57" t="s">
        <v>46</v>
      </c>
      <c r="B42" s="110">
        <f t="shared" si="20"/>
        <v>0</v>
      </c>
      <c r="C42" s="110">
        <f>SUM(C37,C32,C27)</f>
        <v>0</v>
      </c>
      <c r="D42" s="110">
        <f t="shared" si="20"/>
        <v>0</v>
      </c>
      <c r="E42" s="110">
        <f t="shared" si="21"/>
        <v>0</v>
      </c>
      <c r="F42" s="110">
        <f t="shared" si="21"/>
        <v>4792</v>
      </c>
      <c r="G42" s="110">
        <f t="shared" ref="G42" si="24">SUM(G37,G32,G27)</f>
        <v>0</v>
      </c>
      <c r="H42" s="110">
        <f t="shared" si="20"/>
        <v>548</v>
      </c>
      <c r="I42" s="110">
        <f t="shared" si="20"/>
        <v>0</v>
      </c>
      <c r="J42" s="110">
        <f t="shared" si="20"/>
        <v>3327</v>
      </c>
      <c r="K42" s="110">
        <f>SUM(K37,K32,K27)</f>
        <v>0</v>
      </c>
      <c r="L42" s="110">
        <f>SUM(L37,L32,L27)</f>
        <v>173</v>
      </c>
      <c r="M42" s="111">
        <f>SUM(B42:L42)</f>
        <v>8840</v>
      </c>
    </row>
    <row r="44" spans="1:13" x14ac:dyDescent="0.2">
      <c r="A44" s="322" t="s">
        <v>124</v>
      </c>
      <c r="B44" s="278">
        <f>[3]Pinnacle!$GK$70+[3]Pinnacle!$GK$73</f>
        <v>29520</v>
      </c>
      <c r="D44" s="279">
        <f>'[3]Sky West'!$GK$70+'[3]Sky West'!$GK$73</f>
        <v>50332</v>
      </c>
      <c r="E44" s="2"/>
      <c r="F44" s="2"/>
      <c r="G44" s="2"/>
      <c r="L44" s="279">
        <f>+'Other Regional'!J46</f>
        <v>1081</v>
      </c>
      <c r="M44" s="268">
        <f>SUM(B44:L44)</f>
        <v>80933</v>
      </c>
    </row>
    <row r="45" spans="1:13" x14ac:dyDescent="0.2">
      <c r="A45" s="335" t="s">
        <v>125</v>
      </c>
      <c r="B45" s="278">
        <f>[3]Pinnacle!$GK$71+[3]Pinnacle!$GK$74</f>
        <v>46790</v>
      </c>
      <c r="D45" s="279">
        <f>'[3]Sky West'!$GK$71+'[3]Sky West'!$GK$74</f>
        <v>120214</v>
      </c>
      <c r="E45" s="2"/>
      <c r="F45" s="2"/>
      <c r="G45" s="2"/>
      <c r="L45" s="279">
        <f>+'Other Regional'!J47</f>
        <v>2182</v>
      </c>
      <c r="M45" s="268">
        <f>SUM(B45:L45)</f>
        <v>169186</v>
      </c>
    </row>
    <row r="46" spans="1:13" x14ac:dyDescent="0.2">
      <c r="A46" s="269" t="s">
        <v>126</v>
      </c>
      <c r="B46" s="270">
        <f>SUM(B44:B45)</f>
        <v>76310</v>
      </c>
      <c r="L46" s="2"/>
      <c r="M46" s="254"/>
    </row>
    <row r="47" spans="1:13" x14ac:dyDescent="0.2">
      <c r="A47" s="271"/>
      <c r="B47" s="272" t="b">
        <f>IF(B46=B6,TRUE,FALSE)</f>
        <v>1</v>
      </c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4
&amp;CMinneapolis-St. Paul International Airport
&amp;"Arial,Bold"Regional Major
October 2019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J47" sqref="J4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6" customHeight="1" x14ac:dyDescent="0.2">
      <c r="A1" s="331"/>
    </row>
    <row r="2" spans="1:10" ht="55.5" customHeight="1" thickBot="1" x14ac:dyDescent="0.25">
      <c r="A2" s="325">
        <v>43739</v>
      </c>
      <c r="B2" s="427" t="s">
        <v>177</v>
      </c>
      <c r="C2" s="427" t="s">
        <v>176</v>
      </c>
      <c r="D2" s="427" t="s">
        <v>210</v>
      </c>
      <c r="E2" s="427" t="s">
        <v>187</v>
      </c>
      <c r="F2" s="427" t="s">
        <v>181</v>
      </c>
      <c r="G2" s="427" t="s">
        <v>180</v>
      </c>
      <c r="H2" s="427" t="s">
        <v>164</v>
      </c>
      <c r="I2" s="427" t="s">
        <v>168</v>
      </c>
      <c r="J2" s="428" t="s">
        <v>21</v>
      </c>
    </row>
    <row r="3" spans="1:10" ht="15" x14ac:dyDescent="0.25">
      <c r="A3" s="240" t="s">
        <v>3</v>
      </c>
      <c r="B3" s="347"/>
      <c r="C3" s="347"/>
      <c r="D3" s="347"/>
      <c r="E3" s="347"/>
      <c r="F3" s="348"/>
      <c r="G3" s="348"/>
      <c r="H3" s="348"/>
      <c r="I3" s="348"/>
      <c r="J3" s="426"/>
    </row>
    <row r="4" spans="1:10" x14ac:dyDescent="0.2">
      <c r="A4" s="47" t="s">
        <v>29</v>
      </c>
      <c r="B4" s="105"/>
      <c r="C4" s="105"/>
      <c r="D4" s="105"/>
      <c r="E4" s="106"/>
      <c r="F4" s="89"/>
      <c r="G4" s="89"/>
      <c r="H4" s="89"/>
      <c r="I4" s="89"/>
      <c r="J4" s="90"/>
    </row>
    <row r="5" spans="1:10" x14ac:dyDescent="0.2">
      <c r="A5" s="47" t="s">
        <v>30</v>
      </c>
      <c r="B5" s="89">
        <f>'[3]Shuttle America'!$GK$22</f>
        <v>0</v>
      </c>
      <c r="C5" s="89">
        <f>'[3]Shuttle America_Delta'!$GK$22</f>
        <v>0</v>
      </c>
      <c r="D5" s="384">
        <f>[3]Horizon_AS!$GK$22</f>
        <v>0</v>
      </c>
      <c r="E5" s="384">
        <f>[3]PSA!$GK$22</f>
        <v>0</v>
      </c>
      <c r="F5" s="89">
        <f>'[3]Atlantic Southeast'!$GK$22+'[3]Atlantic Southeast'!$GK$32</f>
        <v>0</v>
      </c>
      <c r="G5" s="89">
        <f>'[3]Continental Express'!$GK$22</f>
        <v>2576</v>
      </c>
      <c r="H5" s="97">
        <f>'[3]Go Jet_UA'!$GK$22</f>
        <v>329</v>
      </c>
      <c r="I5" s="13">
        <f>'[3]Go Jet'!$GK$22+'[3]Go Jet'!$GK$32</f>
        <v>3252</v>
      </c>
      <c r="J5" s="90">
        <f>SUM(B5:I5)</f>
        <v>6157</v>
      </c>
    </row>
    <row r="6" spans="1:10" s="6" customFormat="1" x14ac:dyDescent="0.2">
      <c r="A6" s="47" t="s">
        <v>31</v>
      </c>
      <c r="B6" s="89">
        <f>'[3]Shuttle America'!$GK$23</f>
        <v>0</v>
      </c>
      <c r="C6" s="89">
        <f>'[3]Shuttle America_Delta'!$GK$23</f>
        <v>0</v>
      </c>
      <c r="D6" s="384">
        <f>[3]Horizon_AS!$GK$23</f>
        <v>0</v>
      </c>
      <c r="E6" s="384">
        <f>[3]PSA!$GK$23</f>
        <v>0</v>
      </c>
      <c r="F6" s="89">
        <f>'[3]Atlantic Southeast'!$GK$23+'[3]Atlantic Southeast'!$GK$33</f>
        <v>0</v>
      </c>
      <c r="G6" s="89">
        <f>'[3]Continental Express'!$GK$23</f>
        <v>2722</v>
      </c>
      <c r="H6" s="97">
        <f>'[3]Go Jet_UA'!$GK$23</f>
        <v>316</v>
      </c>
      <c r="I6" s="7">
        <f>'[3]Go Jet'!$GK$23+'[3]Go Jet'!$GK$33</f>
        <v>3263</v>
      </c>
      <c r="J6" s="94">
        <f>SUM(B6:I6)</f>
        <v>6301</v>
      </c>
    </row>
    <row r="7" spans="1:10" ht="15" thickBot="1" x14ac:dyDescent="0.25">
      <c r="A7" s="56" t="s">
        <v>7</v>
      </c>
      <c r="B7" s="107">
        <f t="shared" ref="B7:H7" si="0">SUM(B5:B6)</f>
        <v>0</v>
      </c>
      <c r="C7" s="107">
        <f t="shared" si="0"/>
        <v>0</v>
      </c>
      <c r="D7" s="107">
        <f t="shared" ref="D7" si="1">SUM(D5:D6)</f>
        <v>0</v>
      </c>
      <c r="E7" s="107">
        <f t="shared" si="0"/>
        <v>0</v>
      </c>
      <c r="F7" s="107">
        <f t="shared" si="0"/>
        <v>0</v>
      </c>
      <c r="G7" s="107">
        <f t="shared" si="0"/>
        <v>5298</v>
      </c>
      <c r="H7" s="107">
        <f t="shared" si="0"/>
        <v>645</v>
      </c>
      <c r="I7" s="107">
        <f>SUM(I5:I6)</f>
        <v>6515</v>
      </c>
      <c r="J7" s="108">
        <f>SUM(B7:I7)</f>
        <v>12458</v>
      </c>
    </row>
    <row r="8" spans="1:10" ht="13.5" thickTop="1" x14ac:dyDescent="0.2">
      <c r="A8" s="47"/>
      <c r="B8" s="89"/>
      <c r="C8" s="89"/>
      <c r="D8" s="384"/>
      <c r="E8" s="384"/>
      <c r="F8" s="89"/>
      <c r="G8" s="89"/>
      <c r="H8" s="97"/>
      <c r="I8" s="297"/>
      <c r="J8" s="109"/>
    </row>
    <row r="9" spans="1:10" s="6" customFormat="1" x14ac:dyDescent="0.2">
      <c r="A9" s="47" t="s">
        <v>32</v>
      </c>
      <c r="B9" s="89"/>
      <c r="C9" s="89"/>
      <c r="D9" s="384"/>
      <c r="E9" s="384"/>
      <c r="F9" s="89"/>
      <c r="G9" s="89"/>
      <c r="H9" s="97"/>
      <c r="I9" s="13"/>
      <c r="J9" s="90"/>
    </row>
    <row r="10" spans="1:10" x14ac:dyDescent="0.2">
      <c r="A10" s="47" t="s">
        <v>30</v>
      </c>
      <c r="B10" s="89">
        <f>'[3]Shuttle America'!$GK$27</f>
        <v>0</v>
      </c>
      <c r="C10" s="89">
        <f>'[3]Shuttle America_Delta'!$GK$27</f>
        <v>0</v>
      </c>
      <c r="D10" s="384">
        <f>[3]Horizon_AS!$GK$27</f>
        <v>0</v>
      </c>
      <c r="E10" s="384">
        <f>[3]PSA!$GK$27</f>
        <v>0</v>
      </c>
      <c r="F10" s="13">
        <f>'[3]Atlantic Southeast'!$GK$27+'[3]Atlantic Southeast'!$GK$37</f>
        <v>0</v>
      </c>
      <c r="G10" s="89">
        <f>'[3]Continental Express'!$GK$27</f>
        <v>111</v>
      </c>
      <c r="H10" s="97">
        <f>'[3]Go Jet_UA'!$GK$27</f>
        <v>7</v>
      </c>
      <c r="I10" s="13">
        <f>'[3]Go Jet'!$GK$27+'[3]Go Jet'!$GK$37</f>
        <v>76</v>
      </c>
      <c r="J10" s="90">
        <f>SUM(B10:I10)</f>
        <v>194</v>
      </c>
    </row>
    <row r="11" spans="1:10" x14ac:dyDescent="0.2">
      <c r="A11" s="47" t="s">
        <v>33</v>
      </c>
      <c r="B11" s="89">
        <f>'[3]Shuttle America'!$GK$28</f>
        <v>0</v>
      </c>
      <c r="C11" s="89">
        <f>'[3]Shuttle America_Delta'!$GK$28</f>
        <v>0</v>
      </c>
      <c r="D11" s="384">
        <f>[3]Horizon_AS!$GK$28</f>
        <v>0</v>
      </c>
      <c r="E11" s="384">
        <f>[3]PSA!$GK$28</f>
        <v>0</v>
      </c>
      <c r="F11" s="7">
        <f>'[3]Atlantic Southeast'!$GK$28+'[3]Atlantic Southeast'!$GK$38</f>
        <v>0</v>
      </c>
      <c r="G11" s="89">
        <f>'[3]Continental Express'!$GK$28</f>
        <v>68</v>
      </c>
      <c r="H11" s="97">
        <f>'[3]Go Jet_UA'!$GK$28</f>
        <v>14</v>
      </c>
      <c r="I11" s="7">
        <f>'[3]Go Jet'!$GK$28+'[3]Go Jet'!$GK$38</f>
        <v>91</v>
      </c>
      <c r="J11" s="94">
        <f>SUM(B11:I11)</f>
        <v>173</v>
      </c>
    </row>
    <row r="12" spans="1:10" ht="15" thickBot="1" x14ac:dyDescent="0.25">
      <c r="A12" s="57" t="s">
        <v>34</v>
      </c>
      <c r="B12" s="110">
        <f>SUM(B10:B11)</f>
        <v>0</v>
      </c>
      <c r="C12" s="110">
        <f>SUM(C10:C11)</f>
        <v>0</v>
      </c>
      <c r="D12" s="110">
        <f t="shared" ref="D12:E12" si="2">SUM(D10:D11)</f>
        <v>0</v>
      </c>
      <c r="E12" s="110">
        <f t="shared" si="2"/>
        <v>0</v>
      </c>
      <c r="F12" s="110">
        <f t="shared" ref="F12:H12" si="3">SUM(F10:F11)</f>
        <v>0</v>
      </c>
      <c r="G12" s="110">
        <f t="shared" si="3"/>
        <v>179</v>
      </c>
      <c r="H12" s="110">
        <f t="shared" si="3"/>
        <v>21</v>
      </c>
      <c r="I12" s="110">
        <f t="shared" ref="I12" si="4">SUM(I10:I11)</f>
        <v>167</v>
      </c>
      <c r="J12" s="111">
        <f>SUM(B12:I12)</f>
        <v>367</v>
      </c>
    </row>
    <row r="13" spans="1:10" ht="6" customHeight="1" thickBot="1" x14ac:dyDescent="0.25"/>
    <row r="14" spans="1:10" ht="15.75" thickTop="1" x14ac:dyDescent="0.25">
      <c r="A14" s="46" t="s">
        <v>9</v>
      </c>
      <c r="B14" s="84"/>
      <c r="C14" s="84"/>
      <c r="D14" s="84"/>
      <c r="E14" s="84"/>
      <c r="F14" s="85"/>
      <c r="G14" s="85"/>
      <c r="H14" s="84"/>
      <c r="I14" s="84"/>
      <c r="J14" s="86"/>
    </row>
    <row r="15" spans="1:10" x14ac:dyDescent="0.2">
      <c r="A15" s="47" t="s">
        <v>53</v>
      </c>
      <c r="B15" s="87">
        <f>'[3]Shuttle America'!$GK$4</f>
        <v>0</v>
      </c>
      <c r="C15" s="87">
        <f>'[3]Shuttle America_Delta'!$GK$4</f>
        <v>0</v>
      </c>
      <c r="D15" s="385">
        <f>[3]Horizon_AS!$GK$4</f>
        <v>0</v>
      </c>
      <c r="E15" s="385">
        <f>[3]PSA!$GK$4</f>
        <v>0</v>
      </c>
      <c r="F15" s="88">
        <f>'[3]Atlantic Southeast'!$GK$4+'[3]Atlantic Southeast'!$GK$15</f>
        <v>0</v>
      </c>
      <c r="G15" s="88">
        <f>'[3]Continental Express'!$GK$4</f>
        <v>46</v>
      </c>
      <c r="H15" s="87">
        <f>'[3]Go Jet_UA'!$GK$4</f>
        <v>5</v>
      </c>
      <c r="I15" s="13">
        <f>'[3]Go Jet'!$GK$4+'[3]Go Jet'!$GK$15</f>
        <v>54</v>
      </c>
      <c r="J15" s="90">
        <f t="shared" ref="J15:J21" si="5">SUM(B15:I15)</f>
        <v>105</v>
      </c>
    </row>
    <row r="16" spans="1:10" x14ac:dyDescent="0.2">
      <c r="A16" s="47" t="s">
        <v>54</v>
      </c>
      <c r="B16" s="91">
        <f>'[3]Shuttle America'!$GK$5</f>
        <v>0</v>
      </c>
      <c r="C16" s="91">
        <f>'[3]Shuttle America_Delta'!$GK$5</f>
        <v>0</v>
      </c>
      <c r="D16" s="386">
        <f>[3]Horizon_AS!$GK$5</f>
        <v>0</v>
      </c>
      <c r="E16" s="386">
        <f>[3]PSA!$GK$5</f>
        <v>0</v>
      </c>
      <c r="F16" s="92">
        <f>'[3]Atlantic Southeast'!$GK$5+'[3]Atlantic Southeast'!$GK$16</f>
        <v>0</v>
      </c>
      <c r="G16" s="92">
        <f>'[3]Continental Express'!$GK$5</f>
        <v>46</v>
      </c>
      <c r="H16" s="91">
        <f>'[3]Go Jet_UA'!$GK$5</f>
        <v>5</v>
      </c>
      <c r="I16" s="7">
        <f>'[3]Go Jet'!$GK$5+'[3]Go Jet'!$GK$16</f>
        <v>54</v>
      </c>
      <c r="J16" s="94">
        <f t="shared" si="5"/>
        <v>105</v>
      </c>
    </row>
    <row r="17" spans="1:10" x14ac:dyDescent="0.2">
      <c r="A17" s="51" t="s">
        <v>55</v>
      </c>
      <c r="B17" s="95">
        <f>SUM(B15:B16)</f>
        <v>0</v>
      </c>
      <c r="C17" s="95">
        <f>SUM(C15:C16)</f>
        <v>0</v>
      </c>
      <c r="D17" s="95">
        <f t="shared" ref="D17:E17" si="6">SUM(D15:D16)</f>
        <v>0</v>
      </c>
      <c r="E17" s="95">
        <f t="shared" si="6"/>
        <v>0</v>
      </c>
      <c r="F17" s="95">
        <f t="shared" ref="F17:H17" si="7">SUM(F15:F16)</f>
        <v>0</v>
      </c>
      <c r="G17" s="95">
        <f t="shared" si="7"/>
        <v>92</v>
      </c>
      <c r="H17" s="95">
        <f t="shared" si="7"/>
        <v>10</v>
      </c>
      <c r="I17" s="247">
        <f>SUM(I15:I16)</f>
        <v>108</v>
      </c>
      <c r="J17" s="96">
        <f t="shared" si="5"/>
        <v>210</v>
      </c>
    </row>
    <row r="18" spans="1:10" x14ac:dyDescent="0.2">
      <c r="A18" s="47" t="s">
        <v>56</v>
      </c>
      <c r="B18" s="97">
        <f>'[3]Shuttle America'!$GK$8</f>
        <v>0</v>
      </c>
      <c r="C18" s="97">
        <f>'[3]Shuttle America_Delta'!$GK$8</f>
        <v>0</v>
      </c>
      <c r="D18" s="97">
        <f>[3]Horizon_AS!$GK$8</f>
        <v>0</v>
      </c>
      <c r="E18" s="97">
        <f>[3]PSA!$GK$8</f>
        <v>0</v>
      </c>
      <c r="F18" s="89">
        <f>'[3]Atlantic Southeast'!$GK$8</f>
        <v>0</v>
      </c>
      <c r="G18" s="89">
        <f>'[3]Continental Express'!$GK$8</f>
        <v>0</v>
      </c>
      <c r="H18" s="97">
        <f>'[3]Go Jet_UA'!$GK$8</f>
        <v>0</v>
      </c>
      <c r="I18" s="13">
        <f>'[3]Go Jet'!$GK$8</f>
        <v>0</v>
      </c>
      <c r="J18" s="90">
        <f t="shared" si="5"/>
        <v>0</v>
      </c>
    </row>
    <row r="19" spans="1:10" x14ac:dyDescent="0.2">
      <c r="A19" s="47" t="s">
        <v>57</v>
      </c>
      <c r="B19" s="98">
        <f>'[3]Shuttle America'!$GK$9</f>
        <v>0</v>
      </c>
      <c r="C19" s="98">
        <f>'[3]Shuttle America_Delta'!$GK$9</f>
        <v>0</v>
      </c>
      <c r="D19" s="98">
        <f>[3]Horizon_AS!$GK$9</f>
        <v>0</v>
      </c>
      <c r="E19" s="98">
        <f>[3]PSA!$GK$9</f>
        <v>0</v>
      </c>
      <c r="F19" s="93">
        <f>'[3]Atlantic Southeast'!$GK$9</f>
        <v>0</v>
      </c>
      <c r="G19" s="93">
        <f>'[3]Continental Express'!$GK$9</f>
        <v>0</v>
      </c>
      <c r="H19" s="98">
        <f>'[3]Go Jet_UA'!$GK$9</f>
        <v>0</v>
      </c>
      <c r="I19" s="7">
        <f>'[3]Go Jet'!$GK$9</f>
        <v>0</v>
      </c>
      <c r="J19" s="94">
        <f t="shared" si="5"/>
        <v>0</v>
      </c>
    </row>
    <row r="20" spans="1:10" x14ac:dyDescent="0.2">
      <c r="A20" s="51" t="s">
        <v>58</v>
      </c>
      <c r="B20" s="95">
        <f>SUM(B18:B19)</f>
        <v>0</v>
      </c>
      <c r="C20" s="95">
        <f>SUM(C18:C19)</f>
        <v>0</v>
      </c>
      <c r="D20" s="95">
        <f t="shared" ref="D20:E20" si="8">SUM(D18:D19)</f>
        <v>0</v>
      </c>
      <c r="E20" s="95">
        <f t="shared" si="8"/>
        <v>0</v>
      </c>
      <c r="F20" s="95">
        <f t="shared" ref="F20:H20" si="9">SUM(F18:F19)</f>
        <v>0</v>
      </c>
      <c r="G20" s="95">
        <f t="shared" si="9"/>
        <v>0</v>
      </c>
      <c r="H20" s="95">
        <f t="shared" si="9"/>
        <v>0</v>
      </c>
      <c r="I20" s="247">
        <f>SUM(I18:I19)</f>
        <v>0</v>
      </c>
      <c r="J20" s="96">
        <f t="shared" si="5"/>
        <v>0</v>
      </c>
    </row>
    <row r="21" spans="1:10" ht="15.75" thickBot="1" x14ac:dyDescent="0.3">
      <c r="A21" s="55" t="s">
        <v>28</v>
      </c>
      <c r="B21" s="99">
        <f>SUM(B20,B17)</f>
        <v>0</v>
      </c>
      <c r="C21" s="99">
        <f>SUM(C20,C17)</f>
        <v>0</v>
      </c>
      <c r="D21" s="99">
        <f t="shared" ref="D21:E21" si="10">SUM(D20,D17)</f>
        <v>0</v>
      </c>
      <c r="E21" s="99">
        <f t="shared" si="10"/>
        <v>0</v>
      </c>
      <c r="F21" s="99">
        <f t="shared" ref="F21:H21" si="11">SUM(F20,F17)</f>
        <v>0</v>
      </c>
      <c r="G21" s="99">
        <f t="shared" si="11"/>
        <v>92</v>
      </c>
      <c r="H21" s="99">
        <f t="shared" si="11"/>
        <v>10</v>
      </c>
      <c r="I21" s="99">
        <f t="shared" ref="I21" si="12">SUM(I20,I17)</f>
        <v>108</v>
      </c>
      <c r="J21" s="100">
        <f t="shared" si="5"/>
        <v>210</v>
      </c>
    </row>
    <row r="22" spans="1:10" ht="3.75" customHeight="1" thickBot="1" x14ac:dyDescent="0.25"/>
    <row r="23" spans="1:10" ht="15.75" thickTop="1" x14ac:dyDescent="0.25">
      <c r="A23" s="50" t="s">
        <v>117</v>
      </c>
      <c r="B23" s="112"/>
      <c r="C23" s="112"/>
      <c r="D23" s="112"/>
      <c r="E23" s="112"/>
      <c r="F23" s="113"/>
      <c r="G23" s="113"/>
      <c r="H23" s="112"/>
      <c r="I23" s="112"/>
      <c r="J23" s="114"/>
    </row>
    <row r="24" spans="1:10" x14ac:dyDescent="0.2">
      <c r="A24" s="47" t="s">
        <v>36</v>
      </c>
      <c r="B24" s="97"/>
      <c r="C24" s="97"/>
      <c r="D24" s="97"/>
      <c r="E24" s="97"/>
      <c r="F24" s="89"/>
      <c r="G24" s="89"/>
      <c r="H24" s="97"/>
      <c r="J24" s="90"/>
    </row>
    <row r="25" spans="1:10" x14ac:dyDescent="0.2">
      <c r="A25" s="47" t="s">
        <v>37</v>
      </c>
      <c r="B25" s="97">
        <f>'[3]Shuttle America'!$GK$47</f>
        <v>0</v>
      </c>
      <c r="C25" s="97">
        <f>'[3]Shuttle America_Delta'!$GK$47</f>
        <v>0</v>
      </c>
      <c r="D25" s="97">
        <f>[3]Horizon_AS!$GK$47</f>
        <v>0</v>
      </c>
      <c r="E25" s="97">
        <f>[3]PSA!$GK$47</f>
        <v>0</v>
      </c>
      <c r="F25" s="89">
        <f>'[3]Atlantic Southeast'!$GK$47</f>
        <v>0</v>
      </c>
      <c r="G25" s="89">
        <f>'[3]Continental Express'!$GK$47</f>
        <v>0</v>
      </c>
      <c r="H25" s="97">
        <f>'[3]Go Jet_UA'!$GK$47</f>
        <v>0</v>
      </c>
      <c r="I25" s="97">
        <f>'[3]Go Jet'!$GK$47</f>
        <v>173</v>
      </c>
      <c r="J25" s="90">
        <f>SUM(B25:I25)</f>
        <v>173</v>
      </c>
    </row>
    <row r="26" spans="1:10" x14ac:dyDescent="0.2">
      <c r="A26" s="47" t="s">
        <v>38</v>
      </c>
      <c r="B26" s="97">
        <f>'[3]Shuttle America'!$GK$48</f>
        <v>0</v>
      </c>
      <c r="C26" s="97">
        <f>'[3]Shuttle America_Delta'!$GK$48</f>
        <v>0</v>
      </c>
      <c r="D26" s="97">
        <f>[3]Horizon_AS!$GK$48</f>
        <v>0</v>
      </c>
      <c r="E26" s="97">
        <f>[3]PSA!$GK$48</f>
        <v>0</v>
      </c>
      <c r="F26" s="89">
        <f>'[3]Atlantic Southeast'!$GK$48</f>
        <v>0</v>
      </c>
      <c r="G26" s="89">
        <f>'[3]Continental Express'!$GK$48</f>
        <v>0</v>
      </c>
      <c r="H26" s="97">
        <f>'[3]Go Jet_UA'!$GK$48</f>
        <v>0</v>
      </c>
      <c r="I26" s="97">
        <f>'[3]Go Jet'!$GK$48</f>
        <v>0</v>
      </c>
      <c r="J26" s="90">
        <f>SUM(B26:I26)</f>
        <v>0</v>
      </c>
    </row>
    <row r="27" spans="1:10" ht="15" thickBot="1" x14ac:dyDescent="0.25">
      <c r="A27" s="56" t="s">
        <v>39</v>
      </c>
      <c r="B27" s="107">
        <f>SUM(B25:B26)</f>
        <v>0</v>
      </c>
      <c r="C27" s="107">
        <f>SUM(C25:C26)</f>
        <v>0</v>
      </c>
      <c r="D27" s="107">
        <f t="shared" ref="D27:E27" si="13">SUM(D25:D26)</f>
        <v>0</v>
      </c>
      <c r="E27" s="107">
        <f t="shared" si="13"/>
        <v>0</v>
      </c>
      <c r="F27" s="107">
        <f t="shared" ref="F27:H27" si="14">SUM(F25:F26)</f>
        <v>0</v>
      </c>
      <c r="G27" s="107">
        <f t="shared" si="14"/>
        <v>0</v>
      </c>
      <c r="H27" s="107">
        <f t="shared" si="14"/>
        <v>0</v>
      </c>
      <c r="I27" s="107">
        <f>SUM(I25:I26)</f>
        <v>173</v>
      </c>
      <c r="J27" s="108">
        <f>SUM(B27:I27)</f>
        <v>173</v>
      </c>
    </row>
    <row r="28" spans="1:10" ht="7.5" customHeight="1" thickTop="1" x14ac:dyDescent="0.2">
      <c r="A28" s="47"/>
      <c r="B28" s="97"/>
      <c r="C28" s="97"/>
      <c r="D28" s="97"/>
      <c r="E28" s="97"/>
      <c r="F28" s="89"/>
      <c r="G28" s="89"/>
      <c r="H28" s="97"/>
      <c r="I28" s="97"/>
      <c r="J28" s="90"/>
    </row>
    <row r="29" spans="1:10" x14ac:dyDescent="0.2">
      <c r="A29" s="47" t="s">
        <v>40</v>
      </c>
      <c r="B29" s="97"/>
      <c r="C29" s="97"/>
      <c r="D29" s="97"/>
      <c r="E29" s="97"/>
      <c r="F29" s="89"/>
      <c r="G29" s="89"/>
      <c r="H29" s="97"/>
      <c r="I29" s="97"/>
      <c r="J29" s="90"/>
    </row>
    <row r="30" spans="1:10" x14ac:dyDescent="0.2">
      <c r="A30" s="47" t="s">
        <v>59</v>
      </c>
      <c r="B30" s="97">
        <f>'[3]Shuttle America'!$GK$52</f>
        <v>0</v>
      </c>
      <c r="C30" s="97">
        <f>'[3]Shuttle America_Delta'!$GK$52</f>
        <v>0</v>
      </c>
      <c r="D30" s="97">
        <f>[3]Horizon_AS!$GK$52</f>
        <v>0</v>
      </c>
      <c r="E30" s="97">
        <f>[3]PSA!$GK$52</f>
        <v>0</v>
      </c>
      <c r="F30" s="89">
        <f>'[3]Atlantic Southeast'!$GK$52</f>
        <v>0</v>
      </c>
      <c r="G30" s="89">
        <f>'[3]Continental Express'!$GK$52</f>
        <v>0</v>
      </c>
      <c r="H30" s="97">
        <f>'[3]Go Jet_UA'!$GK$52</f>
        <v>0</v>
      </c>
      <c r="I30" s="97">
        <f>'[3]Go Jet'!$GK$52</f>
        <v>0</v>
      </c>
      <c r="J30" s="90">
        <f>SUM(B30:I30)</f>
        <v>0</v>
      </c>
    </row>
    <row r="31" spans="1:10" x14ac:dyDescent="0.2">
      <c r="A31" s="47" t="s">
        <v>60</v>
      </c>
      <c r="B31" s="97">
        <f>'[3]Shuttle America'!$GK$53</f>
        <v>0</v>
      </c>
      <c r="C31" s="97">
        <f>'[3]Shuttle America_Delta'!$GK$53</f>
        <v>0</v>
      </c>
      <c r="D31" s="97">
        <f>[3]Horizon_AS!$GK$53</f>
        <v>0</v>
      </c>
      <c r="E31" s="97">
        <f>[3]PSA!$GK$53</f>
        <v>0</v>
      </c>
      <c r="F31" s="89">
        <f>'[3]Atlantic Southeast'!$GK$53</f>
        <v>0</v>
      </c>
      <c r="G31" s="89">
        <f>'[3]Continental Express'!$GK$53</f>
        <v>0</v>
      </c>
      <c r="H31" s="97">
        <f>'[3]Go Jet_UA'!$GK$53</f>
        <v>0</v>
      </c>
      <c r="I31" s="97">
        <f>'[3]Go Jet'!$GK$53</f>
        <v>0</v>
      </c>
      <c r="J31" s="90">
        <f>SUM(B31:I31)</f>
        <v>0</v>
      </c>
    </row>
    <row r="32" spans="1:10" ht="15" thickBot="1" x14ac:dyDescent="0.25">
      <c r="A32" s="56" t="s">
        <v>41</v>
      </c>
      <c r="B32" s="107">
        <f t="shared" ref="B32:H32" si="15">SUM(B30:B31)</f>
        <v>0</v>
      </c>
      <c r="C32" s="107">
        <f t="shared" si="15"/>
        <v>0</v>
      </c>
      <c r="D32" s="107">
        <f t="shared" ref="D32" si="16">SUM(D30:D31)</f>
        <v>0</v>
      </c>
      <c r="E32" s="107">
        <f t="shared" si="15"/>
        <v>0</v>
      </c>
      <c r="F32" s="107">
        <f t="shared" si="15"/>
        <v>0</v>
      </c>
      <c r="G32" s="107">
        <f t="shared" si="15"/>
        <v>0</v>
      </c>
      <c r="H32" s="107">
        <f t="shared" si="15"/>
        <v>0</v>
      </c>
      <c r="I32" s="107">
        <f t="shared" ref="I32" si="17">SUM(I30:I31)</f>
        <v>0</v>
      </c>
      <c r="J32" s="108">
        <f>SUM(B32:I32)</f>
        <v>0</v>
      </c>
    </row>
    <row r="33" spans="1:10" ht="13.5" hidden="1" thickTop="1" x14ac:dyDescent="0.2">
      <c r="A33" s="47"/>
      <c r="B33" s="97"/>
      <c r="C33" s="97"/>
      <c r="D33" s="97"/>
      <c r="E33" s="97"/>
      <c r="F33" s="89"/>
      <c r="G33" s="89"/>
      <c r="H33" s="97"/>
      <c r="I33" s="97"/>
      <c r="J33" s="90"/>
    </row>
    <row r="34" spans="1:10" ht="13.5" hidden="1" thickTop="1" x14ac:dyDescent="0.2">
      <c r="A34" s="47" t="s">
        <v>42</v>
      </c>
      <c r="B34" s="97"/>
      <c r="C34" s="97"/>
      <c r="D34" s="97"/>
      <c r="E34" s="97"/>
      <c r="F34" s="89"/>
      <c r="G34" s="89"/>
      <c r="H34" s="97"/>
      <c r="I34" s="97"/>
      <c r="J34" s="90"/>
    </row>
    <row r="35" spans="1:10" ht="13.5" hidden="1" thickTop="1" x14ac:dyDescent="0.2">
      <c r="A35" s="47" t="s">
        <v>37</v>
      </c>
      <c r="B35" s="97">
        <f>'[3]Shuttle America'!$GK$57</f>
        <v>0</v>
      </c>
      <c r="C35" s="97">
        <f>'[3]Shuttle America_Delta'!$GK$57</f>
        <v>0</v>
      </c>
      <c r="D35" s="97">
        <f>[3]Horizon_AS!$GK$57</f>
        <v>0</v>
      </c>
      <c r="E35" s="97">
        <f>[3]PSA!$GK$57</f>
        <v>0</v>
      </c>
      <c r="F35" s="89">
        <f>'[3]Atlantic Southeast'!$GK$57</f>
        <v>0</v>
      </c>
      <c r="G35" s="89">
        <f>'[3]Continental Express'!$GK$57</f>
        <v>0</v>
      </c>
      <c r="H35" s="97">
        <f>'[3]Go Jet_UA'!$AJ$57</f>
        <v>0</v>
      </c>
      <c r="I35" s="97">
        <f>'[3]Go Jet'!$GK$57</f>
        <v>0</v>
      </c>
      <c r="J35" s="90">
        <f>SUM(B35:I35)</f>
        <v>0</v>
      </c>
    </row>
    <row r="36" spans="1:10" ht="13.5" hidden="1" thickTop="1" x14ac:dyDescent="0.2">
      <c r="A36" s="47" t="s">
        <v>38</v>
      </c>
      <c r="B36" s="97">
        <f>'[3]Shuttle America'!BG$58</f>
        <v>0</v>
      </c>
      <c r="C36" s="97">
        <f>'[3]Shuttle America_Delta'!BH$58</f>
        <v>0</v>
      </c>
      <c r="D36" s="97">
        <f>[3]Horizon_AS!BF$58</f>
        <v>0</v>
      </c>
      <c r="E36" s="97">
        <f>[3]PSA!BG$58</f>
        <v>0</v>
      </c>
      <c r="F36" s="89">
        <f>'[3]Atlantic Southeast'!BG$58</f>
        <v>0</v>
      </c>
      <c r="G36" s="89">
        <f>'[3]Continental Express'!BG$58</f>
        <v>0</v>
      </c>
      <c r="H36" s="97">
        <f>'[3]Go Jet_UA'!$AJ$58</f>
        <v>0</v>
      </c>
      <c r="I36" s="97">
        <f>'[3]Go Jet'!BK$58</f>
        <v>0</v>
      </c>
      <c r="J36" s="90">
        <f>SUM(B36:I36)</f>
        <v>0</v>
      </c>
    </row>
    <row r="37" spans="1:10" ht="13.5" hidden="1" thickTop="1" x14ac:dyDescent="0.2">
      <c r="A37" s="58" t="s">
        <v>43</v>
      </c>
      <c r="B37" s="115">
        <f>SUM(B35:B36)</f>
        <v>0</v>
      </c>
      <c r="C37" s="115">
        <f>SUM(C35:C36)</f>
        <v>0</v>
      </c>
      <c r="D37" s="115">
        <f t="shared" ref="D37:E37" si="18">SUM(D35:D36)</f>
        <v>0</v>
      </c>
      <c r="E37" s="115">
        <f t="shared" si="18"/>
        <v>0</v>
      </c>
      <c r="F37" s="116">
        <f t="shared" ref="F37:H37" si="19">SUM(F35:F36)</f>
        <v>0</v>
      </c>
      <c r="G37" s="116">
        <f t="shared" si="19"/>
        <v>0</v>
      </c>
      <c r="H37" s="115">
        <f t="shared" si="19"/>
        <v>0</v>
      </c>
      <c r="I37" s="115">
        <f>SUM(I35:I36)</f>
        <v>0</v>
      </c>
      <c r="J37" s="117">
        <f>SUM(B37:I37)</f>
        <v>0</v>
      </c>
    </row>
    <row r="38" spans="1:10" ht="6.75" customHeight="1" thickTop="1" x14ac:dyDescent="0.2">
      <c r="A38" s="47"/>
      <c r="B38" s="97"/>
      <c r="C38" s="97"/>
      <c r="D38" s="97"/>
      <c r="E38" s="97"/>
      <c r="F38" s="89"/>
      <c r="G38" s="89"/>
      <c r="H38" s="97"/>
      <c r="I38" s="97"/>
      <c r="J38" s="90"/>
    </row>
    <row r="39" spans="1:10" x14ac:dyDescent="0.2">
      <c r="A39" s="47" t="s">
        <v>44</v>
      </c>
      <c r="B39" s="97"/>
      <c r="C39" s="97"/>
      <c r="D39" s="97"/>
      <c r="E39" s="97"/>
      <c r="F39" s="89"/>
      <c r="G39" s="89"/>
      <c r="H39" s="97"/>
      <c r="I39" s="97"/>
      <c r="J39" s="90"/>
    </row>
    <row r="40" spans="1:10" x14ac:dyDescent="0.2">
      <c r="A40" s="47" t="s">
        <v>45</v>
      </c>
      <c r="B40" s="97">
        <f t="shared" ref="B40:G40" si="20">SUM(B35,B30,B25)</f>
        <v>0</v>
      </c>
      <c r="C40" s="97">
        <f>SUM(C35,C30,C25)</f>
        <v>0</v>
      </c>
      <c r="D40" s="97">
        <f t="shared" ref="D40:E41" si="21">SUM(D35,D30,D25)</f>
        <v>0</v>
      </c>
      <c r="E40" s="97">
        <f t="shared" si="21"/>
        <v>0</v>
      </c>
      <c r="F40" s="97">
        <f t="shared" si="20"/>
        <v>0</v>
      </c>
      <c r="G40" s="97">
        <f t="shared" si="20"/>
        <v>0</v>
      </c>
      <c r="H40" s="97">
        <f>SUM(H35,H30,H25)</f>
        <v>0</v>
      </c>
      <c r="I40" s="97">
        <f t="shared" ref="I40" si="22">SUM(I35,I30,I25)</f>
        <v>173</v>
      </c>
      <c r="J40" s="90">
        <f>SUM(B40:I40)</f>
        <v>173</v>
      </c>
    </row>
    <row r="41" spans="1:10" x14ac:dyDescent="0.2">
      <c r="A41" s="47" t="s">
        <v>38</v>
      </c>
      <c r="B41" s="97">
        <f>SUM(B36,B31,B26)</f>
        <v>0</v>
      </c>
      <c r="C41" s="97">
        <f>SUM(C36,C31,C26)</f>
        <v>0</v>
      </c>
      <c r="D41" s="97">
        <f t="shared" si="21"/>
        <v>0</v>
      </c>
      <c r="E41" s="97">
        <f t="shared" si="21"/>
        <v>0</v>
      </c>
      <c r="F41" s="97">
        <f t="shared" ref="F41:G41" si="23">SUM(F36,F31,F26)</f>
        <v>0</v>
      </c>
      <c r="G41" s="97">
        <f t="shared" si="23"/>
        <v>0</v>
      </c>
      <c r="H41" s="97">
        <f>SUM(H36,H31,H26)</f>
        <v>0</v>
      </c>
      <c r="I41" s="97">
        <f t="shared" ref="I41" si="24">SUM(I36,I31,I26)</f>
        <v>0</v>
      </c>
      <c r="J41" s="90">
        <f>SUM(B41:I41)</f>
        <v>0</v>
      </c>
    </row>
    <row r="42" spans="1:10" ht="15" thickBot="1" x14ac:dyDescent="0.25">
      <c r="A42" s="57" t="s">
        <v>46</v>
      </c>
      <c r="B42" s="110">
        <f>SUM(B40:B41)</f>
        <v>0</v>
      </c>
      <c r="C42" s="110">
        <f>SUM(C40:C41)</f>
        <v>0</v>
      </c>
      <c r="D42" s="110">
        <f t="shared" ref="D42:E42" si="25">SUM(D40:D41)</f>
        <v>0</v>
      </c>
      <c r="E42" s="110">
        <f t="shared" si="25"/>
        <v>0</v>
      </c>
      <c r="F42" s="110">
        <f t="shared" ref="F42:H42" si="26">SUM(F40:F41)</f>
        <v>0</v>
      </c>
      <c r="G42" s="110">
        <f t="shared" si="26"/>
        <v>0</v>
      </c>
      <c r="H42" s="110">
        <f t="shared" si="26"/>
        <v>0</v>
      </c>
      <c r="I42" s="110">
        <f t="shared" ref="I42" si="27">SUM(I40:I41)</f>
        <v>173</v>
      </c>
      <c r="J42" s="111">
        <f>SUM(B42:I42)</f>
        <v>173</v>
      </c>
    </row>
    <row r="43" spans="1:10" ht="4.5" customHeight="1" x14ac:dyDescent="0.2"/>
    <row r="44" spans="1:10" hidden="1" x14ac:dyDescent="0.2">
      <c r="A44" s="280" t="s">
        <v>127</v>
      </c>
      <c r="F44" s="266"/>
      <c r="I44" s="279">
        <f>'[3]Go Jet'!BK$70+'[3]Go Jet'!BK$73</f>
        <v>0</v>
      </c>
      <c r="J44" s="268" t="e">
        <f>SUM(#REF!)</f>
        <v>#REF!</v>
      </c>
    </row>
    <row r="45" spans="1:10" hidden="1" x14ac:dyDescent="0.2">
      <c r="A45" s="280" t="s">
        <v>128</v>
      </c>
      <c r="F45" s="283"/>
      <c r="I45" s="279">
        <f>'[3]Go Jet'!BK$71+'[3]Go Jet'!BK$74</f>
        <v>0</v>
      </c>
      <c r="J45" s="268" t="e">
        <f>SUM(#REF!)</f>
        <v>#REF!</v>
      </c>
    </row>
    <row r="46" spans="1:10" x14ac:dyDescent="0.2">
      <c r="A46" s="322" t="s">
        <v>124</v>
      </c>
      <c r="C46" s="279">
        <f>'[3]Shuttle America_Delta'!$GK$70+'[3]Shuttle America_Delta'!$GK$73</f>
        <v>0</v>
      </c>
      <c r="D46" s="2"/>
      <c r="F46" s="279">
        <f>'[3]Atlantic Southeast'!$GK$70+'[3]Atlantic Southeast'!$GK$73</f>
        <v>0</v>
      </c>
      <c r="I46" s="279">
        <f>'[3]Go Jet'!$GK$70+'[3]Go Jet'!$GK$73</f>
        <v>1081</v>
      </c>
      <c r="J46" s="334">
        <f>SUM(B46:I46)</f>
        <v>1081</v>
      </c>
    </row>
    <row r="47" spans="1:10" x14ac:dyDescent="0.2">
      <c r="A47" s="335" t="s">
        <v>125</v>
      </c>
      <c r="C47" s="279">
        <f>'[3]Shuttle America_Delta'!$GK$71+'[3]Shuttle America_Delta'!$GK$74</f>
        <v>0</v>
      </c>
      <c r="D47" s="2"/>
      <c r="F47" s="279">
        <f>'[3]Atlantic Southeast'!$GK$71+'[3]Atlantic Southeast'!$GK$74</f>
        <v>0</v>
      </c>
      <c r="I47" s="279">
        <f>'[3]Go Jet'!$GK$71+'[3]Go Jet'!$GK$74</f>
        <v>2182</v>
      </c>
      <c r="J47" s="334">
        <f>SUM(B47:I47)</f>
        <v>2182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October 2019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B30" sqref="B30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25">
        <v>43739</v>
      </c>
      <c r="B2" s="152" t="s">
        <v>119</v>
      </c>
      <c r="C2" s="152" t="s">
        <v>157</v>
      </c>
      <c r="D2" s="83" t="s">
        <v>78</v>
      </c>
      <c r="E2" s="83" t="s">
        <v>158</v>
      </c>
      <c r="F2" s="152" t="s">
        <v>133</v>
      </c>
      <c r="G2" s="146" t="s">
        <v>79</v>
      </c>
    </row>
    <row r="3" spans="1:17" x14ac:dyDescent="0.2">
      <c r="A3" s="239" t="s">
        <v>3</v>
      </c>
      <c r="B3" s="158"/>
      <c r="C3" s="157"/>
      <c r="D3" s="157"/>
      <c r="E3" s="157"/>
      <c r="F3" s="157"/>
      <c r="G3" s="231"/>
    </row>
    <row r="4" spans="1:17" x14ac:dyDescent="0.2">
      <c r="A4" s="47" t="s">
        <v>29</v>
      </c>
      <c r="B4" s="359"/>
      <c r="C4" s="156"/>
      <c r="D4" s="156"/>
      <c r="E4" s="156"/>
      <c r="F4" s="156"/>
      <c r="G4" s="217"/>
    </row>
    <row r="5" spans="1:17" x14ac:dyDescent="0.2">
      <c r="A5" s="47" t="s">
        <v>30</v>
      </c>
      <c r="B5" s="359">
        <f>'[3]Charter Misc'!$GK$22</f>
        <v>146</v>
      </c>
      <c r="C5" s="156">
        <f>[3]Ryan!$GK$22</f>
        <v>0</v>
      </c>
      <c r="D5" s="156">
        <f>'[3]Charter Misc'!$GK$32</f>
        <v>0</v>
      </c>
      <c r="E5" s="156">
        <f>[3]Omni!$GK$32</f>
        <v>0</v>
      </c>
      <c r="F5" s="156">
        <f>[3]Xtra!$GK$32+[3]Xtra!$GK$22</f>
        <v>0</v>
      </c>
      <c r="G5" s="296">
        <f>SUM(B5:F5)</f>
        <v>146</v>
      </c>
    </row>
    <row r="6" spans="1:17" x14ac:dyDescent="0.2">
      <c r="A6" s="47" t="s">
        <v>31</v>
      </c>
      <c r="B6" s="360">
        <f>'[3]Charter Misc'!$GK$23</f>
        <v>102</v>
      </c>
      <c r="C6" s="159">
        <f>[3]Ryan!$GK$23</f>
        <v>0</v>
      </c>
      <c r="D6" s="159">
        <f>'[3]Charter Misc'!$GK$33</f>
        <v>0</v>
      </c>
      <c r="E6" s="159">
        <f>[3]Omni!$GK$33+[3]Omni!$GK$23</f>
        <v>0</v>
      </c>
      <c r="F6" s="159">
        <f>[3]Xtra!$GK$33+[3]Xtra!$GK$23</f>
        <v>0</v>
      </c>
      <c r="G6" s="295">
        <f>SUM(B6:F6)</f>
        <v>102</v>
      </c>
    </row>
    <row r="7" spans="1:17" ht="15.75" thickBot="1" x14ac:dyDescent="0.3">
      <c r="A7" s="155" t="s">
        <v>7</v>
      </c>
      <c r="B7" s="361">
        <f>SUM(B5:B6)</f>
        <v>248</v>
      </c>
      <c r="C7" s="256">
        <f>SUM(C5:C6)</f>
        <v>0</v>
      </c>
      <c r="D7" s="256">
        <f>SUM(D5:D6)</f>
        <v>0</v>
      </c>
      <c r="E7" s="256">
        <f>SUM(E5:E6)</f>
        <v>0</v>
      </c>
      <c r="F7" s="256">
        <f>SUM(F5:F6)</f>
        <v>0</v>
      </c>
      <c r="G7" s="257">
        <f>SUM(B7:F7)</f>
        <v>248</v>
      </c>
    </row>
    <row r="8" spans="1:17" ht="13.5" thickBot="1" x14ac:dyDescent="0.25"/>
    <row r="9" spans="1:17" x14ac:dyDescent="0.2">
      <c r="A9" s="153" t="s">
        <v>9</v>
      </c>
      <c r="B9" s="362"/>
      <c r="C9" s="30"/>
      <c r="D9" s="30"/>
      <c r="E9" s="30"/>
      <c r="F9" s="30"/>
      <c r="G9" s="42"/>
    </row>
    <row r="10" spans="1:17" x14ac:dyDescent="0.2">
      <c r="A10" s="154" t="s">
        <v>80</v>
      </c>
      <c r="B10" s="359">
        <f>'[3]Charter Misc'!$GK$4</f>
        <v>1</v>
      </c>
      <c r="C10" s="156">
        <f>[3]Ryan!$GK$4</f>
        <v>0</v>
      </c>
      <c r="D10" s="156">
        <f>'[3]Charter Misc'!$GK$15</f>
        <v>0</v>
      </c>
      <c r="E10" s="156">
        <f>[3]Omni!$GK$15+[3]Omni!$GK$4+[3]Omni!$GK$8</f>
        <v>0</v>
      </c>
      <c r="F10" s="156">
        <f>[3]Xtra!$GK$15+[3]Xtra!$GK$4+[3]Omni!$GK$8</f>
        <v>0</v>
      </c>
      <c r="G10" s="295">
        <f>SUM(B10:F10)</f>
        <v>1</v>
      </c>
    </row>
    <row r="11" spans="1:17" x14ac:dyDescent="0.2">
      <c r="A11" s="154" t="s">
        <v>81</v>
      </c>
      <c r="B11" s="359">
        <f>'[3]Charter Misc'!$GK$5</f>
        <v>1</v>
      </c>
      <c r="C11" s="156">
        <f>[3]Ryan!$GK$5</f>
        <v>0</v>
      </c>
      <c r="D11" s="156">
        <f>'[3]Charter Misc'!$GK$16</f>
        <v>0</v>
      </c>
      <c r="E11" s="156">
        <f>[3]Omni!$GK$16+[3]Omni!$GK$5+[3]Omni!$GK$9</f>
        <v>0</v>
      </c>
      <c r="F11" s="156">
        <f>[3]Xtra!$GK$16+[3]Xtra!$GK$5+[3]Omni!$GK$9</f>
        <v>0</v>
      </c>
      <c r="G11" s="295">
        <f>SUM(B11:F11)</f>
        <v>1</v>
      </c>
    </row>
    <row r="12" spans="1:17" ht="15.75" thickBot="1" x14ac:dyDescent="0.3">
      <c r="A12" s="238" t="s">
        <v>28</v>
      </c>
      <c r="B12" s="363">
        <f>SUM(B10:B11)</f>
        <v>2</v>
      </c>
      <c r="C12" s="258">
        <f>SUM(C10:C11)</f>
        <v>0</v>
      </c>
      <c r="D12" s="258">
        <f>SUM(D10:D11)</f>
        <v>0</v>
      </c>
      <c r="E12" s="258">
        <f>SUM(E10:E11)</f>
        <v>0</v>
      </c>
      <c r="F12" s="258">
        <f>SUM(F10:F11)</f>
        <v>0</v>
      </c>
      <c r="G12" s="259">
        <f>SUM(B12:F12)</f>
        <v>2</v>
      </c>
      <c r="Q12" s="97"/>
    </row>
    <row r="17" spans="1:16" x14ac:dyDescent="0.2">
      <c r="B17" s="462" t="s">
        <v>155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4"/>
    </row>
    <row r="18" spans="1:16" ht="13.5" thickBot="1" x14ac:dyDescent="0.25">
      <c r="A18" s="274"/>
      <c r="E18" s="193"/>
      <c r="G18" s="193"/>
      <c r="H18" s="193"/>
      <c r="L18" s="197"/>
      <c r="N18" s="4"/>
    </row>
    <row r="19" spans="1:16" ht="13.5" customHeight="1" thickBot="1" x14ac:dyDescent="0.25">
      <c r="A19" s="349"/>
      <c r="B19" s="465" t="s">
        <v>121</v>
      </c>
      <c r="C19" s="466"/>
      <c r="D19" s="466"/>
      <c r="E19" s="467"/>
      <c r="G19" s="465" t="s">
        <v>122</v>
      </c>
      <c r="H19" s="468"/>
      <c r="I19" s="468"/>
      <c r="J19" s="469"/>
      <c r="L19" s="470" t="s">
        <v>123</v>
      </c>
      <c r="M19" s="471"/>
      <c r="N19" s="471"/>
      <c r="O19" s="472"/>
    </row>
    <row r="20" spans="1:16" ht="13.5" thickBot="1" x14ac:dyDescent="0.25">
      <c r="A20" s="200" t="s">
        <v>102</v>
      </c>
      <c r="B20" s="205" t="s">
        <v>103</v>
      </c>
      <c r="C20" s="5" t="s">
        <v>104</v>
      </c>
      <c r="D20" s="5" t="s">
        <v>216</v>
      </c>
      <c r="E20" s="5" t="s">
        <v>209</v>
      </c>
      <c r="F20" s="206" t="s">
        <v>99</v>
      </c>
      <c r="G20" s="5" t="s">
        <v>103</v>
      </c>
      <c r="H20" s="5" t="s">
        <v>104</v>
      </c>
      <c r="I20" s="5" t="s">
        <v>216</v>
      </c>
      <c r="J20" s="5" t="s">
        <v>209</v>
      </c>
      <c r="K20" s="206" t="s">
        <v>99</v>
      </c>
      <c r="L20" s="205" t="s">
        <v>103</v>
      </c>
      <c r="M20" s="199" t="s">
        <v>104</v>
      </c>
      <c r="N20" s="5" t="s">
        <v>216</v>
      </c>
      <c r="O20" s="5" t="s">
        <v>209</v>
      </c>
      <c r="P20" s="206" t="s">
        <v>99</v>
      </c>
    </row>
    <row r="21" spans="1:16" ht="14.1" customHeight="1" x14ac:dyDescent="0.2">
      <c r="A21" s="209" t="s">
        <v>105</v>
      </c>
      <c r="B21" s="436">
        <f>+[4]Charter!$B$21</f>
        <v>137103</v>
      </c>
      <c r="C21" s="437">
        <f>+[4]Charter!$C$21</f>
        <v>129608</v>
      </c>
      <c r="D21" s="434">
        <f t="shared" ref="D21:D32" si="0">SUM(B21:C21)</f>
        <v>266711</v>
      </c>
      <c r="E21" s="435">
        <f>[5]Charter!$D$21</f>
        <v>268837</v>
      </c>
      <c r="F21" s="294">
        <f t="shared" ref="F21:F32" si="1">(D21-E21)/E21</f>
        <v>-7.9081376447438408E-3</v>
      </c>
      <c r="G21" s="290">
        <f t="shared" ref="G21:H22" si="2">L21-B21</f>
        <v>1214024</v>
      </c>
      <c r="H21" s="291">
        <f t="shared" si="2"/>
        <v>1256106</v>
      </c>
      <c r="I21" s="291">
        <f t="shared" ref="I21:I26" si="3">SUM(G21:H21)</f>
        <v>2470130</v>
      </c>
      <c r="J21" s="292">
        <f>[5]Charter!$I$21</f>
        <v>2415973</v>
      </c>
      <c r="K21" s="210">
        <f t="shared" ref="K21:K32" si="4">(I21-J21)/J21</f>
        <v>2.2416227333666394E-2</v>
      </c>
      <c r="L21" s="440">
        <f>+[4]Charter!$L$21</f>
        <v>1351127</v>
      </c>
      <c r="M21" s="441">
        <f>+[4]Charter!$M$21</f>
        <v>1385714</v>
      </c>
      <c r="N21" s="291">
        <f t="shared" ref="N21:N32" si="5">SUM(L21:M21)</f>
        <v>2736841</v>
      </c>
      <c r="O21" s="292">
        <f>[5]Charter!$N$21</f>
        <v>2684810</v>
      </c>
      <c r="P21" s="210">
        <f>(N21-O21)/O21</f>
        <v>1.9379769890606784E-2</v>
      </c>
    </row>
    <row r="22" spans="1:16" ht="14.1" customHeight="1" x14ac:dyDescent="0.2">
      <c r="A22" s="211" t="s">
        <v>106</v>
      </c>
      <c r="B22" s="438">
        <f>+[6]Charter!$B22</f>
        <v>135822</v>
      </c>
      <c r="C22" s="439">
        <f>+[6]Charter!$C22</f>
        <v>139060</v>
      </c>
      <c r="D22" s="430">
        <f t="shared" ref="D22" si="6">SUM(B22:C22)</f>
        <v>274882</v>
      </c>
      <c r="E22" s="431">
        <f>[7]Charter!$D22</f>
        <v>285115</v>
      </c>
      <c r="F22" s="289">
        <f t="shared" si="1"/>
        <v>-3.5890780912964944E-2</v>
      </c>
      <c r="G22" s="432">
        <f t="shared" si="2"/>
        <v>1165574</v>
      </c>
      <c r="H22" s="433">
        <f t="shared" si="2"/>
        <v>1184555</v>
      </c>
      <c r="I22" s="433">
        <f t="shared" si="3"/>
        <v>2350129</v>
      </c>
      <c r="J22" s="293">
        <f>[7]Charter!$I22</f>
        <v>2426258</v>
      </c>
      <c r="K22" s="213">
        <f t="shared" si="4"/>
        <v>-3.1377124774034745E-2</v>
      </c>
      <c r="L22" s="286">
        <f>+[6]Charter!$L22</f>
        <v>1301396</v>
      </c>
      <c r="M22" s="288">
        <f>+[6]Charter!$M22</f>
        <v>1323615</v>
      </c>
      <c r="N22" s="433">
        <f t="shared" ref="N22" si="7">SUM(L22:M22)</f>
        <v>2625011</v>
      </c>
      <c r="O22" s="293">
        <f>[7]Charter!$N22</f>
        <v>2711373</v>
      </c>
      <c r="P22" s="212">
        <f t="shared" ref="P22:P32" si="8">(N22-O22)/O22</f>
        <v>-3.1851759237847395E-2</v>
      </c>
    </row>
    <row r="23" spans="1:16" ht="14.1" customHeight="1" x14ac:dyDescent="0.2">
      <c r="A23" s="211" t="s">
        <v>107</v>
      </c>
      <c r="B23" s="438">
        <f>+[8]Charter!$B23</f>
        <v>182334</v>
      </c>
      <c r="C23" s="439">
        <f>+[8]Charter!$C23</f>
        <v>184603</v>
      </c>
      <c r="D23" s="430">
        <f t="shared" ref="D23" si="9">SUM(B23:C23)</f>
        <v>366937</v>
      </c>
      <c r="E23" s="431">
        <f>[9]Charter!$D23</f>
        <v>367828</v>
      </c>
      <c r="F23" s="212">
        <f t="shared" si="1"/>
        <v>-2.4223278271365964E-3</v>
      </c>
      <c r="G23" s="432">
        <f t="shared" ref="G23" si="10">L23-B23</f>
        <v>1576599</v>
      </c>
      <c r="H23" s="433">
        <f t="shared" ref="H23" si="11">M23-C23</f>
        <v>1593868</v>
      </c>
      <c r="I23" s="433">
        <f t="shared" si="3"/>
        <v>3170467</v>
      </c>
      <c r="J23" s="293">
        <f>[9]Charter!$I23</f>
        <v>3043039</v>
      </c>
      <c r="K23" s="213">
        <f t="shared" si="4"/>
        <v>4.187524379411503E-2</v>
      </c>
      <c r="L23" s="286">
        <f>+[8]Charter!$L23</f>
        <v>1758933</v>
      </c>
      <c r="M23" s="288">
        <f>+[8]Charter!$M23</f>
        <v>1778471</v>
      </c>
      <c r="N23" s="433">
        <f t="shared" ref="N23" si="12">SUM(L23:M23)</f>
        <v>3537404</v>
      </c>
      <c r="O23" s="293">
        <f>[9]Charter!$N23</f>
        <v>3410867</v>
      </c>
      <c r="P23" s="212">
        <f t="shared" si="8"/>
        <v>3.7098192336435284E-2</v>
      </c>
    </row>
    <row r="24" spans="1:16" ht="14.1" customHeight="1" x14ac:dyDescent="0.2">
      <c r="A24" s="211" t="s">
        <v>108</v>
      </c>
      <c r="B24" s="438">
        <f>+[10]Charter!$B24</f>
        <v>134432</v>
      </c>
      <c r="C24" s="439">
        <f>+[10]Charter!$C24</f>
        <v>115520</v>
      </c>
      <c r="D24" s="430">
        <f t="shared" ref="D24" si="13">SUM(B24:C24)</f>
        <v>249952</v>
      </c>
      <c r="E24" s="431">
        <f>[11]Charter!$D24</f>
        <v>242418</v>
      </c>
      <c r="F24" s="212">
        <f t="shared" si="1"/>
        <v>3.1078550272669522E-2</v>
      </c>
      <c r="G24" s="432">
        <f t="shared" ref="G24" si="14">L24-B24</f>
        <v>1483600</v>
      </c>
      <c r="H24" s="433">
        <f t="shared" ref="H24" si="15">M24-C24</f>
        <v>1402478</v>
      </c>
      <c r="I24" s="287">
        <f t="shared" si="3"/>
        <v>2886078</v>
      </c>
      <c r="J24" s="293">
        <f>[11]Charter!$I24</f>
        <v>2750844</v>
      </c>
      <c r="K24" s="213">
        <f t="shared" si="4"/>
        <v>4.9160912069168589E-2</v>
      </c>
      <c r="L24" s="286">
        <f>+[10]Charter!$L24</f>
        <v>1618032</v>
      </c>
      <c r="M24" s="288">
        <f>+[10]Charter!$M24</f>
        <v>1517998</v>
      </c>
      <c r="N24" s="433">
        <f t="shared" ref="N24" si="16">SUM(L24:M24)</f>
        <v>3136030</v>
      </c>
      <c r="O24" s="293">
        <f>[11]Charter!$N24</f>
        <v>2993262</v>
      </c>
      <c r="P24" s="212">
        <f t="shared" si="8"/>
        <v>4.7696459581553503E-2</v>
      </c>
    </row>
    <row r="25" spans="1:16" ht="14.1" customHeight="1" x14ac:dyDescent="0.2">
      <c r="A25" s="198" t="s">
        <v>76</v>
      </c>
      <c r="B25" s="438">
        <f>+[12]Charter!$B25</f>
        <v>120364</v>
      </c>
      <c r="C25" s="439">
        <f>+[12]Charter!$C25</f>
        <v>132909</v>
      </c>
      <c r="D25" s="430">
        <f t="shared" ref="D25" si="17">SUM(B25:C25)</f>
        <v>253273</v>
      </c>
      <c r="E25" s="431">
        <f>[13]Charter!$D25</f>
        <v>246334</v>
      </c>
      <c r="F25" s="201">
        <f t="shared" si="1"/>
        <v>2.8169071260970877E-2</v>
      </c>
      <c r="G25" s="432">
        <f t="shared" ref="G25" si="18">L25-B25</f>
        <v>1558009</v>
      </c>
      <c r="H25" s="433">
        <f t="shared" ref="H25" si="19">M25-C25</f>
        <v>1529530</v>
      </c>
      <c r="I25" s="287">
        <f t="shared" si="3"/>
        <v>3087539</v>
      </c>
      <c r="J25" s="293">
        <f>[13]Charter!$I25</f>
        <v>2981156</v>
      </c>
      <c r="K25" s="207">
        <f t="shared" si="4"/>
        <v>3.5685150324236636E-2</v>
      </c>
      <c r="L25" s="286">
        <f>+[12]Charter!$L25</f>
        <v>1678373</v>
      </c>
      <c r="M25" s="288">
        <f>+[12]Charter!$M25</f>
        <v>1662439</v>
      </c>
      <c r="N25" s="433">
        <f t="shared" ref="N25" si="20">SUM(L25:M25)</f>
        <v>3340812</v>
      </c>
      <c r="O25" s="293">
        <f>[13]Charter!$N25</f>
        <v>3227490</v>
      </c>
      <c r="P25" s="201">
        <f t="shared" si="8"/>
        <v>3.5111495310597401E-2</v>
      </c>
    </row>
    <row r="26" spans="1:16" ht="14.1" customHeight="1" x14ac:dyDescent="0.2">
      <c r="A26" s="211" t="s">
        <v>109</v>
      </c>
      <c r="B26" s="438">
        <f>+[14]Charter!$B26</f>
        <v>140743</v>
      </c>
      <c r="C26" s="439">
        <f>+[14]Charter!$C26</f>
        <v>147358</v>
      </c>
      <c r="D26" s="430">
        <f t="shared" ref="D26" si="21">SUM(B26:C26)</f>
        <v>288101</v>
      </c>
      <c r="E26" s="431">
        <f>[15]Charter!$D26</f>
        <v>260189</v>
      </c>
      <c r="F26" s="212">
        <f t="shared" si="1"/>
        <v>0.10727586485208829</v>
      </c>
      <c r="G26" s="432">
        <f t="shared" ref="G26" si="22">L26-B26</f>
        <v>1698978</v>
      </c>
      <c r="H26" s="433">
        <f t="shared" ref="H26" si="23">M26-C26</f>
        <v>1680266</v>
      </c>
      <c r="I26" s="287">
        <f t="shared" si="3"/>
        <v>3379244</v>
      </c>
      <c r="J26" s="293">
        <f>[15]Charter!$I26</f>
        <v>3255476</v>
      </c>
      <c r="K26" s="213">
        <f t="shared" si="4"/>
        <v>3.8018403453135577E-2</v>
      </c>
      <c r="L26" s="286">
        <f>+[14]Charter!$L26</f>
        <v>1839721</v>
      </c>
      <c r="M26" s="288">
        <f>+[14]Charter!$M26</f>
        <v>1827624</v>
      </c>
      <c r="N26" s="433">
        <f t="shared" ref="N26" si="24">SUM(L26:M26)</f>
        <v>3667345</v>
      </c>
      <c r="O26" s="293">
        <f>[15]Charter!$N26</f>
        <v>3515665</v>
      </c>
      <c r="P26" s="212">
        <f t="shared" si="8"/>
        <v>4.3144042450005901E-2</v>
      </c>
    </row>
    <row r="27" spans="1:16" ht="14.1" customHeight="1" x14ac:dyDescent="0.2">
      <c r="A27" s="198" t="s">
        <v>110</v>
      </c>
      <c r="B27" s="438">
        <f>+[16]Charter!$B27</f>
        <v>155961</v>
      </c>
      <c r="C27" s="439">
        <f>+[16]Charter!$C27</f>
        <v>140807</v>
      </c>
      <c r="D27" s="430">
        <f t="shared" ref="D27" si="25">SUM(B27:C27)</f>
        <v>296768</v>
      </c>
      <c r="E27" s="431">
        <f>[17]Charter!$D27</f>
        <v>266074</v>
      </c>
      <c r="F27" s="201">
        <f t="shared" si="1"/>
        <v>0.11535888512218405</v>
      </c>
      <c r="G27" s="432">
        <f t="shared" ref="G27" si="26">L27-B27</f>
        <v>1770399</v>
      </c>
      <c r="H27" s="433">
        <f t="shared" ref="H27" si="27">M27-C27</f>
        <v>1777862</v>
      </c>
      <c r="I27" s="287">
        <f t="shared" ref="I27" si="28">SUM(G27:H27)</f>
        <v>3548261</v>
      </c>
      <c r="J27" s="293">
        <f>[17]Charter!$I27</f>
        <v>3398934</v>
      </c>
      <c r="K27" s="207">
        <f t="shared" si="4"/>
        <v>4.3933480320594631E-2</v>
      </c>
      <c r="L27" s="286">
        <f>+[16]Charter!$L27</f>
        <v>1926360</v>
      </c>
      <c r="M27" s="288">
        <f>+[16]Charter!$M27</f>
        <v>1918669</v>
      </c>
      <c r="N27" s="433">
        <f t="shared" ref="N27" si="29">SUM(L27:M27)</f>
        <v>3845029</v>
      </c>
      <c r="O27" s="293">
        <f>[17]Charter!$N27</f>
        <v>3665008</v>
      </c>
      <c r="P27" s="201">
        <f t="shared" si="8"/>
        <v>4.911885594792699E-2</v>
      </c>
    </row>
    <row r="28" spans="1:16" ht="14.1" customHeight="1" x14ac:dyDescent="0.2">
      <c r="A28" s="211" t="s">
        <v>111</v>
      </c>
      <c r="B28" s="438">
        <f>+[18]Charter!$B28</f>
        <v>155262</v>
      </c>
      <c r="C28" s="439">
        <f>+[18]Charter!$C28</f>
        <v>151595</v>
      </c>
      <c r="D28" s="430">
        <f t="shared" ref="D28" si="30">SUM(B28:C28)</f>
        <v>306857</v>
      </c>
      <c r="E28" s="431">
        <f>[19]Charter!$D28</f>
        <v>275867</v>
      </c>
      <c r="F28" s="212">
        <f t="shared" si="1"/>
        <v>0.11233674198073709</v>
      </c>
      <c r="G28" s="432">
        <f t="shared" ref="G28" si="31">L28-B28</f>
        <v>1774347</v>
      </c>
      <c r="H28" s="433">
        <f t="shared" ref="H28" si="32">M28-C28</f>
        <v>1764393</v>
      </c>
      <c r="I28" s="287">
        <f t="shared" ref="I28" si="33">SUM(G28:H28)</f>
        <v>3538740</v>
      </c>
      <c r="J28" s="293">
        <f>[19]Charter!$I28</f>
        <v>3463238</v>
      </c>
      <c r="K28" s="213">
        <f t="shared" si="4"/>
        <v>2.1800985089676192E-2</v>
      </c>
      <c r="L28" s="286">
        <f>+[18]Charter!$L28</f>
        <v>1929609</v>
      </c>
      <c r="M28" s="288">
        <f>+[18]Charter!$M28</f>
        <v>1915988</v>
      </c>
      <c r="N28" s="433">
        <f t="shared" ref="N28" si="34">SUM(L28:M28)</f>
        <v>3845597</v>
      </c>
      <c r="O28" s="293">
        <f>[19]Charter!$N28</f>
        <v>3739105</v>
      </c>
      <c r="P28" s="212">
        <f t="shared" si="8"/>
        <v>2.8480612339049052E-2</v>
      </c>
    </row>
    <row r="29" spans="1:16" ht="14.1" customHeight="1" x14ac:dyDescent="0.2">
      <c r="A29" s="198" t="s">
        <v>112</v>
      </c>
      <c r="B29" s="438">
        <f>+[2]Charter!$B29</f>
        <v>134390</v>
      </c>
      <c r="C29" s="439">
        <f>+[2]Charter!$C29</f>
        <v>135820</v>
      </c>
      <c r="D29" s="430">
        <f t="shared" ref="D29" si="35">SUM(B29:C29)</f>
        <v>270210</v>
      </c>
      <c r="E29" s="431">
        <f>[20]Charter!$D29</f>
        <v>225661</v>
      </c>
      <c r="F29" s="201">
        <f t="shared" si="1"/>
        <v>0.19741559241517143</v>
      </c>
      <c r="G29" s="432">
        <f t="shared" ref="G29" si="36">L29-B29</f>
        <v>1484438</v>
      </c>
      <c r="H29" s="433">
        <f t="shared" ref="H29" si="37">M29-C29</f>
        <v>1493914</v>
      </c>
      <c r="I29" s="287">
        <f t="shared" ref="I29" si="38">SUM(G29:H29)</f>
        <v>2978352</v>
      </c>
      <c r="J29" s="293">
        <f>[20]Charter!$I29</f>
        <v>2824553</v>
      </c>
      <c r="K29" s="207">
        <f t="shared" si="4"/>
        <v>5.4450739639157066E-2</v>
      </c>
      <c r="L29" s="286">
        <f>+[2]Charter!$L29</f>
        <v>1618828</v>
      </c>
      <c r="M29" s="288">
        <f>+[2]Charter!$M29</f>
        <v>1629734</v>
      </c>
      <c r="N29" s="433">
        <f t="shared" ref="N29" si="39">SUM(L29:M29)</f>
        <v>3248562</v>
      </c>
      <c r="O29" s="293">
        <f>[20]Charter!$N29</f>
        <v>3050214</v>
      </c>
      <c r="P29" s="201">
        <f t="shared" si="8"/>
        <v>6.5027568557484816E-2</v>
      </c>
    </row>
    <row r="30" spans="1:16" ht="14.1" customHeight="1" x14ac:dyDescent="0.2">
      <c r="A30" s="211" t="s">
        <v>113</v>
      </c>
      <c r="B30" s="429">
        <f>'Intl Detail'!$N$4+'Intl Detail'!$N$9</f>
        <v>127725</v>
      </c>
      <c r="C30" s="430">
        <f>'Intl Detail'!$N$5+'Intl Detail'!$N$10</f>
        <v>122290</v>
      </c>
      <c r="D30" s="430">
        <f>SUM(B30:C30)</f>
        <v>250015</v>
      </c>
      <c r="E30" s="431">
        <f>[1]Charter!$D30</f>
        <v>208545</v>
      </c>
      <c r="F30" s="212">
        <f t="shared" si="1"/>
        <v>0.19885396437219785</v>
      </c>
      <c r="G30" s="432">
        <f>L30-B30</f>
        <v>1557720</v>
      </c>
      <c r="H30" s="433">
        <f>M30-C30</f>
        <v>1576987</v>
      </c>
      <c r="I30" s="287">
        <f>SUM(G30:H30)</f>
        <v>3134707</v>
      </c>
      <c r="J30" s="293">
        <f>[1]Charter!$I30</f>
        <v>3017398</v>
      </c>
      <c r="K30" s="213">
        <f t="shared" si="4"/>
        <v>3.8877536208349051E-2</v>
      </c>
      <c r="L30" s="432">
        <f>'Monthly Summary'!$B$11</f>
        <v>1685445</v>
      </c>
      <c r="M30" s="433">
        <f>'Monthly Summary'!$C$11</f>
        <v>1699277</v>
      </c>
      <c r="N30" s="287">
        <f t="shared" ref="N30" si="40">SUM(L30:M30)</f>
        <v>3384722</v>
      </c>
      <c r="O30" s="293">
        <f>[1]Charter!$N30</f>
        <v>3225943</v>
      </c>
      <c r="P30" s="212">
        <f t="shared" si="8"/>
        <v>4.9219406542521056E-2</v>
      </c>
    </row>
    <row r="31" spans="1:16" ht="14.1" customHeight="1" x14ac:dyDescent="0.2">
      <c r="A31" s="198" t="s">
        <v>114</v>
      </c>
      <c r="B31" s="286"/>
      <c r="C31" s="288"/>
      <c r="D31" s="287">
        <f>SUM(B31:C31)</f>
        <v>0</v>
      </c>
      <c r="E31" s="293"/>
      <c r="F31" s="201" t="e">
        <f t="shared" si="1"/>
        <v>#DIV/0!</v>
      </c>
      <c r="G31" s="286"/>
      <c r="H31" s="288"/>
      <c r="I31" s="287">
        <f t="shared" ref="I31:I32" si="41">SUM(G31:H31)</f>
        <v>0</v>
      </c>
      <c r="J31" s="293"/>
      <c r="K31" s="207" t="e">
        <f t="shared" si="4"/>
        <v>#DIV/0!</v>
      </c>
      <c r="L31" s="286"/>
      <c r="M31" s="288"/>
      <c r="N31" s="287">
        <f>SUM(L31:M31)</f>
        <v>0</v>
      </c>
      <c r="O31" s="293"/>
      <c r="P31" s="201" t="e">
        <f t="shared" si="8"/>
        <v>#DIV/0!</v>
      </c>
    </row>
    <row r="32" spans="1:16" ht="14.1" customHeight="1" x14ac:dyDescent="0.2">
      <c r="A32" s="214" t="s">
        <v>115</v>
      </c>
      <c r="B32" s="286"/>
      <c r="C32" s="288"/>
      <c r="D32" s="134">
        <f t="shared" si="0"/>
        <v>0</v>
      </c>
      <c r="E32" s="293"/>
      <c r="F32" s="215" t="e">
        <f t="shared" si="1"/>
        <v>#DIV/0!</v>
      </c>
      <c r="G32" s="216"/>
      <c r="H32" s="134"/>
      <c r="I32" s="134">
        <f t="shared" si="41"/>
        <v>0</v>
      </c>
      <c r="J32" s="293"/>
      <c r="K32" s="215" t="e">
        <f t="shared" si="4"/>
        <v>#DIV/0!</v>
      </c>
      <c r="L32" s="286"/>
      <c r="M32" s="288"/>
      <c r="N32" s="134">
        <f t="shared" si="5"/>
        <v>0</v>
      </c>
      <c r="O32" s="293"/>
      <c r="P32" s="215" t="e">
        <f t="shared" si="8"/>
        <v>#DIV/0!</v>
      </c>
    </row>
    <row r="33" spans="1:16" ht="13.5" thickBot="1" x14ac:dyDescent="0.25">
      <c r="A33" s="208" t="s">
        <v>77</v>
      </c>
      <c r="B33" s="218">
        <f>SUM(B21:B32)</f>
        <v>1424136</v>
      </c>
      <c r="C33" s="219">
        <f>SUM(C21:C32)</f>
        <v>1399570</v>
      </c>
      <c r="D33" s="219">
        <f>SUM(D21:D32)</f>
        <v>2823706</v>
      </c>
      <c r="E33" s="220">
        <f>SUM(E21:E32)</f>
        <v>2646868</v>
      </c>
      <c r="F33" s="203">
        <f>(D33-E33)/E33</f>
        <v>6.6810282945730576E-2</v>
      </c>
      <c r="G33" s="221">
        <f>SUM(G21:G32)</f>
        <v>15283688</v>
      </c>
      <c r="H33" s="219">
        <f>SUM(H21:H32)</f>
        <v>15259959</v>
      </c>
      <c r="I33" s="219">
        <f>SUM(I21:I32)</f>
        <v>30543647</v>
      </c>
      <c r="J33" s="222">
        <f>SUM(J21:J32)</f>
        <v>29576869</v>
      </c>
      <c r="K33" s="204">
        <f>(I33-J33)/J33</f>
        <v>3.268696223389974E-2</v>
      </c>
      <c r="L33" s="221">
        <f>SUM(L21:L32)</f>
        <v>16707824</v>
      </c>
      <c r="M33" s="219">
        <f>SUM(M21:M32)</f>
        <v>16659529</v>
      </c>
      <c r="N33" s="219">
        <f>SUM(N21:N32)</f>
        <v>33367353</v>
      </c>
      <c r="O33" s="220">
        <f>SUM(O21:O32)</f>
        <v>32223737</v>
      </c>
      <c r="P33" s="202">
        <f>(N33-O33)/O33</f>
        <v>3.5489862643801988E-2</v>
      </c>
    </row>
    <row r="35" spans="1:16" x14ac:dyDescent="0.2">
      <c r="N35" s="97"/>
      <c r="O35" s="97"/>
    </row>
    <row r="36" spans="1:16" x14ac:dyDescent="0.2">
      <c r="O36" s="97"/>
    </row>
    <row r="37" spans="1:16" x14ac:dyDescent="0.2">
      <c r="N37" s="97"/>
      <c r="O37" s="9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October 2019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43"/>
  <sheetViews>
    <sheetView zoomScaleNormal="100" workbookViewId="0">
      <selection activeCell="Q32" sqref="Q32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3" width="10.28515625" customWidth="1"/>
    <col min="4" max="5" width="11.28515625" bestFit="1" customWidth="1"/>
    <col min="6" max="6" width="1" customWidth="1"/>
    <col min="7" max="7" width="11.28515625" bestFit="1" customWidth="1"/>
    <col min="8" max="10" width="11.28515625" customWidth="1"/>
    <col min="12" max="13" width="11.28515625" bestFit="1" customWidth="1"/>
    <col min="15" max="15" width="11.28515625" bestFit="1" customWidth="1"/>
  </cols>
  <sheetData>
    <row r="1" spans="1:18" s="44" customFormat="1" ht="15.75" thickBot="1" x14ac:dyDescent="0.3">
      <c r="B1" s="476" t="s">
        <v>227</v>
      </c>
      <c r="C1" s="477"/>
      <c r="D1" s="477"/>
      <c r="E1" s="478"/>
      <c r="F1" s="451"/>
      <c r="G1" s="476" t="s">
        <v>94</v>
      </c>
      <c r="H1" s="477"/>
      <c r="I1" s="477"/>
      <c r="J1" s="477"/>
      <c r="K1" s="477"/>
      <c r="L1" s="477"/>
      <c r="M1" s="477"/>
      <c r="N1" s="478"/>
    </row>
    <row r="2" spans="1:18" s="28" customFormat="1" ht="30.75" customHeight="1" thickBot="1" x14ac:dyDescent="0.25">
      <c r="A2" s="325">
        <v>43739</v>
      </c>
      <c r="B2" s="372" t="s">
        <v>182</v>
      </c>
      <c r="C2" s="372" t="s">
        <v>218</v>
      </c>
      <c r="D2" s="373" t="s">
        <v>82</v>
      </c>
      <c r="E2" s="373" t="s">
        <v>83</v>
      </c>
      <c r="F2" s="452"/>
      <c r="G2" s="453" t="s">
        <v>84</v>
      </c>
      <c r="H2" s="453" t="s">
        <v>228</v>
      </c>
      <c r="I2" s="453" t="s">
        <v>183</v>
      </c>
      <c r="J2" s="453" t="s">
        <v>166</v>
      </c>
      <c r="K2" s="454" t="s">
        <v>85</v>
      </c>
      <c r="L2" s="373" t="s">
        <v>86</v>
      </c>
      <c r="M2" s="453" t="s">
        <v>87</v>
      </c>
      <c r="N2" s="453" t="s">
        <v>130</v>
      </c>
      <c r="O2" s="453" t="s">
        <v>21</v>
      </c>
    </row>
    <row r="3" spans="1:18" ht="15" x14ac:dyDescent="0.25">
      <c r="A3" s="168" t="s">
        <v>9</v>
      </c>
      <c r="B3" s="169"/>
      <c r="C3" s="169"/>
      <c r="D3" s="169"/>
      <c r="E3" s="169"/>
      <c r="F3" s="170"/>
      <c r="G3" s="30"/>
      <c r="H3" s="30"/>
      <c r="I3" s="30"/>
      <c r="J3" s="30"/>
      <c r="K3" s="30"/>
      <c r="L3" s="41"/>
      <c r="M3" s="30"/>
      <c r="N3" s="30"/>
      <c r="O3" s="171"/>
    </row>
    <row r="4" spans="1:18" x14ac:dyDescent="0.2">
      <c r="A4" s="38" t="s">
        <v>53</v>
      </c>
      <c r="B4" s="134">
        <f>[3]DHL!$GK$4</f>
        <v>23</v>
      </c>
      <c r="C4" s="134">
        <f>'[3]Atlas Air'!$GK$4</f>
        <v>31</v>
      </c>
      <c r="D4" s="134">
        <f>[3]FedEx!$GK$4+[3]FedEx!$GK$15</f>
        <v>144</v>
      </c>
      <c r="E4" s="134">
        <f>[3]UPS!$GK$4+[3]UPS!$GK$15</f>
        <v>150</v>
      </c>
      <c r="F4" s="161"/>
      <c r="G4" s="97">
        <f>[3]ATI_BAX!$GK$4</f>
        <v>0</v>
      </c>
      <c r="H4" s="134">
        <f>[3]Encore!$GK$4+[3]Encore!$GK$15</f>
        <v>44</v>
      </c>
      <c r="I4" s="134">
        <f>[3]IFL!$GK$4+[3]IFL!$GK$15</f>
        <v>18</v>
      </c>
      <c r="J4" s="97">
        <f>'[3]Suburban Air Freight'!$GK$15</f>
        <v>0</v>
      </c>
      <c r="K4" s="97">
        <f>[3]Bemidji!$GK$4</f>
        <v>210</v>
      </c>
      <c r="L4" s="97">
        <f>'[3]CSA Air'!$GK$4</f>
        <v>0</v>
      </c>
      <c r="M4" s="97">
        <f>'[3]Mountain Cargo'!$GK$4</f>
        <v>23</v>
      </c>
      <c r="N4" s="97">
        <f>'[3]Misc Cargo'!$GK$4</f>
        <v>1</v>
      </c>
      <c r="O4" s="172">
        <f>SUM(B4:N4)</f>
        <v>644</v>
      </c>
    </row>
    <row r="5" spans="1:18" x14ac:dyDescent="0.2">
      <c r="A5" s="38" t="s">
        <v>54</v>
      </c>
      <c r="B5" s="167">
        <f>[3]DHL!$GK$5</f>
        <v>23</v>
      </c>
      <c r="C5" s="167">
        <f>'[3]Atlas Air'!$GK$5</f>
        <v>31</v>
      </c>
      <c r="D5" s="167">
        <f>[3]FedEx!$GK$5</f>
        <v>144</v>
      </c>
      <c r="E5" s="167">
        <f>[3]UPS!$GK$5+[3]UPS!$GK$16</f>
        <v>150</v>
      </c>
      <c r="F5" s="161"/>
      <c r="G5" s="98">
        <f>[3]ATI_BAX!$GK$5</f>
        <v>0</v>
      </c>
      <c r="H5" s="167">
        <f>[3]Encore!$GK$5</f>
        <v>44</v>
      </c>
      <c r="I5" s="167">
        <f>[3]IFL!$GK$5</f>
        <v>18</v>
      </c>
      <c r="J5" s="98">
        <f>'[3]Suburban Air Freight'!$GK$16</f>
        <v>0</v>
      </c>
      <c r="K5" s="98">
        <f>[3]Bemidji!$GK$5</f>
        <v>210</v>
      </c>
      <c r="L5" s="98">
        <f>'[3]CSA Air'!$GK$5</f>
        <v>0</v>
      </c>
      <c r="M5" s="98">
        <f>'[3]Mountain Cargo'!$GK$5</f>
        <v>23</v>
      </c>
      <c r="N5" s="98">
        <f>'[3]Misc Cargo'!$GK$5</f>
        <v>0</v>
      </c>
      <c r="O5" s="176">
        <f>SUM(B5:N5)</f>
        <v>643</v>
      </c>
    </row>
    <row r="6" spans="1:18" s="160" customFormat="1" x14ac:dyDescent="0.2">
      <c r="A6" s="173" t="s">
        <v>55</v>
      </c>
      <c r="B6" s="174">
        <f>SUM(B4:B5)</f>
        <v>46</v>
      </c>
      <c r="C6" s="174">
        <f>SUM(C4:C5)</f>
        <v>62</v>
      </c>
      <c r="D6" s="174">
        <f>SUM(D4:D5)</f>
        <v>288</v>
      </c>
      <c r="E6" s="174">
        <f>SUM(E4:E5)</f>
        <v>300</v>
      </c>
      <c r="F6" s="162"/>
      <c r="G6" s="95">
        <f t="shared" ref="G6:N6" si="0">SUM(G4:G5)</f>
        <v>0</v>
      </c>
      <c r="H6" s="174">
        <f>SUM(H4:H5)</f>
        <v>88</v>
      </c>
      <c r="I6" s="174">
        <f>SUM(I4:I5)</f>
        <v>36</v>
      </c>
      <c r="J6" s="95">
        <f t="shared" si="0"/>
        <v>0</v>
      </c>
      <c r="K6" s="95">
        <f t="shared" si="0"/>
        <v>420</v>
      </c>
      <c r="L6" s="95">
        <f t="shared" si="0"/>
        <v>0</v>
      </c>
      <c r="M6" s="95">
        <f t="shared" si="0"/>
        <v>46</v>
      </c>
      <c r="N6" s="95">
        <f t="shared" si="0"/>
        <v>1</v>
      </c>
      <c r="O6" s="175">
        <f>SUM(B6:N6)</f>
        <v>1287</v>
      </c>
    </row>
    <row r="7" spans="1:18" x14ac:dyDescent="0.2">
      <c r="A7" s="38"/>
      <c r="B7" s="134"/>
      <c r="C7" s="134"/>
      <c r="D7" s="134"/>
      <c r="E7" s="134"/>
      <c r="F7" s="161"/>
      <c r="G7" s="97"/>
      <c r="H7" s="134"/>
      <c r="I7" s="134"/>
      <c r="J7" s="97"/>
      <c r="K7" s="97"/>
      <c r="L7" s="97"/>
      <c r="M7" s="97"/>
      <c r="N7" s="97"/>
      <c r="O7" s="172"/>
    </row>
    <row r="8" spans="1:18" x14ac:dyDescent="0.2">
      <c r="A8" s="38" t="s">
        <v>56</v>
      </c>
      <c r="B8" s="134"/>
      <c r="C8" s="134"/>
      <c r="D8" s="134"/>
      <c r="E8" s="134"/>
      <c r="F8" s="161"/>
      <c r="G8" s="97"/>
      <c r="H8" s="134"/>
      <c r="I8" s="134"/>
      <c r="J8" s="97"/>
      <c r="K8" s="97"/>
      <c r="L8" s="97"/>
      <c r="M8" s="97"/>
      <c r="N8" s="97">
        <f>'[3]Misc Cargo'!$GK$8</f>
        <v>1</v>
      </c>
      <c r="O8" s="172">
        <f>SUM(B8:N8)</f>
        <v>1</v>
      </c>
    </row>
    <row r="9" spans="1:18" ht="15" x14ac:dyDescent="0.25">
      <c r="A9" s="38" t="s">
        <v>57</v>
      </c>
      <c r="B9" s="167"/>
      <c r="C9" s="167"/>
      <c r="D9" s="167"/>
      <c r="E9" s="167"/>
      <c r="F9" s="161"/>
      <c r="G9" s="98"/>
      <c r="H9" s="167"/>
      <c r="I9" s="167"/>
      <c r="J9" s="98"/>
      <c r="K9" s="98"/>
      <c r="L9" s="98"/>
      <c r="M9" s="98"/>
      <c r="N9" s="98">
        <f>'[3]Misc Cargo'!$GK$9</f>
        <v>1</v>
      </c>
      <c r="O9" s="176">
        <f>SUM(B9:N9)</f>
        <v>1</v>
      </c>
      <c r="R9" s="8"/>
    </row>
    <row r="10" spans="1:18" s="160" customFormat="1" x14ac:dyDescent="0.2">
      <c r="A10" s="173" t="s">
        <v>58</v>
      </c>
      <c r="B10" s="174">
        <f>SUM(B8:B9)</f>
        <v>0</v>
      </c>
      <c r="C10" s="174">
        <f>SUM(C8:C9)</f>
        <v>0</v>
      </c>
      <c r="D10" s="174">
        <f>SUM(D8:D9)</f>
        <v>0</v>
      </c>
      <c r="E10" s="174">
        <f>SUM(E8:E9)</f>
        <v>0</v>
      </c>
      <c r="F10" s="162"/>
      <c r="G10" s="95">
        <f t="shared" ref="G10:N10" si="1">SUM(G8:G9)</f>
        <v>0</v>
      </c>
      <c r="H10" s="174">
        <f>SUM(H8:H9)</f>
        <v>0</v>
      </c>
      <c r="I10" s="174">
        <f>SUM(I8:I9)</f>
        <v>0</v>
      </c>
      <c r="J10" s="95">
        <f t="shared" si="1"/>
        <v>0</v>
      </c>
      <c r="K10" s="95">
        <f t="shared" si="1"/>
        <v>0</v>
      </c>
      <c r="L10" s="95">
        <f t="shared" si="1"/>
        <v>0</v>
      </c>
      <c r="M10" s="95">
        <f t="shared" si="1"/>
        <v>0</v>
      </c>
      <c r="N10" s="95">
        <f t="shared" si="1"/>
        <v>2</v>
      </c>
      <c r="O10" s="175">
        <f>SUM(B10:N10)</f>
        <v>2</v>
      </c>
    </row>
    <row r="11" spans="1:18" x14ac:dyDescent="0.2">
      <c r="A11" s="38"/>
      <c r="B11" s="134"/>
      <c r="C11" s="134"/>
      <c r="D11" s="134"/>
      <c r="E11" s="134"/>
      <c r="F11" s="161"/>
      <c r="G11" s="97"/>
      <c r="H11" s="134"/>
      <c r="I11" s="134"/>
      <c r="J11" s="97"/>
      <c r="K11" s="97"/>
      <c r="L11" s="97"/>
      <c r="M11" s="97"/>
      <c r="N11" s="97"/>
      <c r="O11" s="142"/>
    </row>
    <row r="12" spans="1:18" ht="18" customHeight="1" thickBot="1" x14ac:dyDescent="0.25">
      <c r="A12" s="177" t="s">
        <v>28</v>
      </c>
      <c r="B12" s="178">
        <f>B6+B10</f>
        <v>46</v>
      </c>
      <c r="C12" s="178">
        <f>C6+C10</f>
        <v>62</v>
      </c>
      <c r="D12" s="178">
        <f>D6+D10</f>
        <v>288</v>
      </c>
      <c r="E12" s="178">
        <f>E6+E10</f>
        <v>300</v>
      </c>
      <c r="F12" s="179"/>
      <c r="G12" s="180">
        <f t="shared" ref="G12:N12" si="2">G6+G10</f>
        <v>0</v>
      </c>
      <c r="H12" s="178">
        <f>H6+H10</f>
        <v>88</v>
      </c>
      <c r="I12" s="178">
        <f>I6+I10</f>
        <v>36</v>
      </c>
      <c r="J12" s="180">
        <f t="shared" si="2"/>
        <v>0</v>
      </c>
      <c r="K12" s="180">
        <f t="shared" si="2"/>
        <v>420</v>
      </c>
      <c r="L12" s="180">
        <f t="shared" si="2"/>
        <v>0</v>
      </c>
      <c r="M12" s="180">
        <f t="shared" si="2"/>
        <v>46</v>
      </c>
      <c r="N12" s="180">
        <f t="shared" si="2"/>
        <v>3</v>
      </c>
      <c r="O12" s="181">
        <f>SUM(B12:N12)</f>
        <v>1289</v>
      </c>
    </row>
    <row r="13" spans="1:18" ht="18" customHeight="1" thickBot="1" x14ac:dyDescent="0.25">
      <c r="A13" s="149"/>
      <c r="B13" s="163"/>
      <c r="C13" s="163"/>
      <c r="D13" s="163"/>
      <c r="E13" s="163"/>
      <c r="F13" s="164"/>
      <c r="G13" s="165"/>
      <c r="H13" s="163"/>
      <c r="I13" s="163"/>
      <c r="J13" s="165"/>
      <c r="K13" s="150"/>
      <c r="L13" s="150"/>
      <c r="M13" s="150"/>
      <c r="N13" s="150"/>
      <c r="O13" s="2"/>
    </row>
    <row r="14" spans="1:18" ht="15" x14ac:dyDescent="0.25">
      <c r="A14" s="182" t="s">
        <v>95</v>
      </c>
      <c r="B14" s="183"/>
      <c r="C14" s="183"/>
      <c r="D14" s="183"/>
      <c r="E14" s="183"/>
      <c r="F14" s="184"/>
      <c r="G14" s="147"/>
      <c r="H14" s="183"/>
      <c r="I14" s="183"/>
      <c r="J14" s="147"/>
      <c r="K14" s="63"/>
      <c r="L14" s="63"/>
      <c r="M14" s="63"/>
      <c r="N14" s="63"/>
      <c r="O14" s="185"/>
    </row>
    <row r="15" spans="1:18" x14ac:dyDescent="0.2">
      <c r="A15" s="186" t="s">
        <v>96</v>
      </c>
      <c r="B15" s="134"/>
      <c r="C15" s="134"/>
      <c r="D15" s="134"/>
      <c r="E15" s="134"/>
      <c r="F15" s="161"/>
      <c r="G15" s="97"/>
      <c r="H15" s="134"/>
      <c r="I15" s="134"/>
      <c r="J15" s="97"/>
      <c r="K15" s="2"/>
      <c r="L15" s="2"/>
      <c r="M15" s="2"/>
      <c r="N15" s="2"/>
      <c r="O15" s="151"/>
    </row>
    <row r="16" spans="1:18" x14ac:dyDescent="0.2">
      <c r="A16" s="38" t="s">
        <v>37</v>
      </c>
      <c r="B16" s="134">
        <f>[3]DHL!$GK$47</f>
        <v>694370</v>
      </c>
      <c r="C16" s="134">
        <f>'[3]Atlas Air'!$GK$47</f>
        <v>1525011</v>
      </c>
      <c r="D16" s="134">
        <f>[3]FedEx!$GK$47</f>
        <v>9218632</v>
      </c>
      <c r="E16" s="134">
        <f>[3]UPS!$GK$47</f>
        <v>8036301</v>
      </c>
      <c r="F16" s="161"/>
      <c r="G16" s="97">
        <f>[3]ATI_BAX!$GK$47</f>
        <v>0</v>
      </c>
      <c r="H16" s="134">
        <f>[3]Encore!$GK$47</f>
        <v>61112</v>
      </c>
      <c r="I16" s="134">
        <f>[3]IFL!$GK$47</f>
        <v>51002</v>
      </c>
      <c r="J16" s="97">
        <f>'[3]Suburban Air Freight'!$GK$47</f>
        <v>0</v>
      </c>
      <c r="K16" s="473" t="s">
        <v>88</v>
      </c>
      <c r="L16" s="97">
        <f>'[3]CSA Air'!$GK$47</f>
        <v>0</v>
      </c>
      <c r="M16" s="97">
        <f>'[3]Mountain Cargo'!$GK$47</f>
        <v>6959</v>
      </c>
      <c r="N16" s="97">
        <f>'[3]Misc Cargo'!$GK$47</f>
        <v>0</v>
      </c>
      <c r="O16" s="172">
        <f>SUM(B16:J16)+SUM(L16:N16)</f>
        <v>19593387</v>
      </c>
    </row>
    <row r="17" spans="1:15" x14ac:dyDescent="0.2">
      <c r="A17" s="38" t="s">
        <v>38</v>
      </c>
      <c r="B17" s="134">
        <f>[3]DHL!$GK$48</f>
        <v>0</v>
      </c>
      <c r="C17" s="134">
        <f>'[3]Atlas Air'!$GK$48</f>
        <v>0</v>
      </c>
      <c r="D17" s="134">
        <f>[3]FedEx!$GK$48</f>
        <v>0</v>
      </c>
      <c r="E17" s="134">
        <f>[3]UPS!$GK$48</f>
        <v>34</v>
      </c>
      <c r="F17" s="161"/>
      <c r="G17" s="97">
        <f>[3]ATI_BAX!$GK$48</f>
        <v>0</v>
      </c>
      <c r="H17" s="134">
        <f>[3]Encore!$GK$48</f>
        <v>0</v>
      </c>
      <c r="I17" s="134">
        <f>[3]IFL!$GK$48</f>
        <v>0</v>
      </c>
      <c r="J17" s="97">
        <f>'[3]Suburban Air Freight'!$GK$48</f>
        <v>0</v>
      </c>
      <c r="K17" s="474"/>
      <c r="L17" s="97">
        <f>'[3]CSA Air'!$GK$48</f>
        <v>0</v>
      </c>
      <c r="M17" s="97">
        <f>'[3]Mountain Cargo'!$GK$48</f>
        <v>0</v>
      </c>
      <c r="N17" s="97">
        <f>'[3]Misc Cargo'!$GK$48</f>
        <v>0</v>
      </c>
      <c r="O17" s="172">
        <f>SUM(B17:J17)+SUM(L17:N17)</f>
        <v>34</v>
      </c>
    </row>
    <row r="18" spans="1:15" ht="18" customHeight="1" x14ac:dyDescent="0.2">
      <c r="A18" s="187" t="s">
        <v>39</v>
      </c>
      <c r="B18" s="260">
        <f>SUM(B16:B17)</f>
        <v>694370</v>
      </c>
      <c r="C18" s="260">
        <f>SUM(C16:C17)</f>
        <v>1525011</v>
      </c>
      <c r="D18" s="260">
        <f>SUM(D16:D17)</f>
        <v>9218632</v>
      </c>
      <c r="E18" s="260">
        <f>SUM(E16:E17)</f>
        <v>8036335</v>
      </c>
      <c r="F18" s="166"/>
      <c r="G18" s="261">
        <f>SUM(G16:G17)</f>
        <v>0</v>
      </c>
      <c r="H18" s="260">
        <f>SUM(H16:H17)</f>
        <v>61112</v>
      </c>
      <c r="I18" s="260">
        <f>SUM(I16:I17)</f>
        <v>51002</v>
      </c>
      <c r="J18" s="261">
        <f>SUM(J16:J17)</f>
        <v>0</v>
      </c>
      <c r="K18" s="474"/>
      <c r="L18" s="261">
        <f>SUM(L16:L17)</f>
        <v>0</v>
      </c>
      <c r="M18" s="261">
        <f>SUM(M16:M17)</f>
        <v>6959</v>
      </c>
      <c r="N18" s="261">
        <f>SUM(N16:N17)</f>
        <v>0</v>
      </c>
      <c r="O18" s="188">
        <f>SUM(B18:J18)+SUM(L18:N18)</f>
        <v>19593421</v>
      </c>
    </row>
    <row r="19" spans="1:15" x14ac:dyDescent="0.2">
      <c r="A19" s="38"/>
      <c r="B19" s="134"/>
      <c r="C19" s="134"/>
      <c r="D19" s="134"/>
      <c r="E19" s="134"/>
      <c r="F19" s="161"/>
      <c r="G19" s="97"/>
      <c r="H19" s="134"/>
      <c r="I19" s="134"/>
      <c r="J19" s="97"/>
      <c r="K19" s="474"/>
      <c r="L19" s="97"/>
      <c r="M19" s="97"/>
      <c r="N19" s="97"/>
      <c r="O19" s="172"/>
    </row>
    <row r="20" spans="1:15" x14ac:dyDescent="0.2">
      <c r="A20" s="189" t="s">
        <v>89</v>
      </c>
      <c r="B20" s="134"/>
      <c r="C20" s="134"/>
      <c r="D20" s="134"/>
      <c r="E20" s="134"/>
      <c r="F20" s="161"/>
      <c r="G20" s="97"/>
      <c r="H20" s="134"/>
      <c r="I20" s="134"/>
      <c r="J20" s="97"/>
      <c r="K20" s="474"/>
      <c r="L20" s="97"/>
      <c r="M20" s="97"/>
      <c r="N20" s="97"/>
      <c r="O20" s="172"/>
    </row>
    <row r="21" spans="1:15" x14ac:dyDescent="0.2">
      <c r="A21" s="38" t="s">
        <v>59</v>
      </c>
      <c r="B21" s="134">
        <f>[3]DHL!$GK$52</f>
        <v>441694</v>
      </c>
      <c r="C21" s="134">
        <f>'[3]Atlas Air'!$GK$52</f>
        <v>621213</v>
      </c>
      <c r="D21" s="134">
        <f>[3]FedEx!$GK$52</f>
        <v>8712223</v>
      </c>
      <c r="E21" s="134">
        <f>[3]UPS!$GK$52</f>
        <v>6705190</v>
      </c>
      <c r="F21" s="161"/>
      <c r="G21" s="97">
        <f>[3]ATI_BAX!$GK$52</f>
        <v>0</v>
      </c>
      <c r="H21" s="134">
        <f>[3]Encore!$GK$52</f>
        <v>1894</v>
      </c>
      <c r="I21" s="134">
        <f>[3]IFL!$GK$52</f>
        <v>0</v>
      </c>
      <c r="J21" s="97">
        <f>'[3]Suburban Air Freight'!$GK$52</f>
        <v>0</v>
      </c>
      <c r="K21" s="474"/>
      <c r="L21" s="97">
        <f>'[3]CSA Air'!$GK$52</f>
        <v>0</v>
      </c>
      <c r="M21" s="97">
        <f>'[3]Mountain Cargo'!$GK$52</f>
        <v>4610</v>
      </c>
      <c r="N21" s="97">
        <f>'[3]Misc Cargo'!$GK$52</f>
        <v>3500</v>
      </c>
      <c r="O21" s="172">
        <f>SUM(B21:J21)+SUM(L21:N21)</f>
        <v>16490324</v>
      </c>
    </row>
    <row r="22" spans="1:15" x14ac:dyDescent="0.2">
      <c r="A22" s="38" t="s">
        <v>60</v>
      </c>
      <c r="B22" s="134">
        <f>[3]DHL!$GK$53</f>
        <v>0</v>
      </c>
      <c r="C22" s="134">
        <f>'[3]Atlas Air'!$GK$53</f>
        <v>0</v>
      </c>
      <c r="D22" s="134">
        <f>[3]FedEx!$GK$53</f>
        <v>0</v>
      </c>
      <c r="E22" s="134">
        <f>[3]UPS!$GK$53</f>
        <v>661110</v>
      </c>
      <c r="F22" s="161"/>
      <c r="G22" s="97">
        <f>[3]ATI_BAX!$GK$53</f>
        <v>0</v>
      </c>
      <c r="H22" s="134">
        <f>[3]Encore!$GK$53</f>
        <v>0</v>
      </c>
      <c r="I22" s="134">
        <f>[3]IFL!$GK$53</f>
        <v>0</v>
      </c>
      <c r="J22" s="97">
        <f>'[3]Suburban Air Freight'!$GK$53</f>
        <v>0</v>
      </c>
      <c r="K22" s="474"/>
      <c r="L22" s="97">
        <f>'[3]CSA Air'!$GK$53</f>
        <v>0</v>
      </c>
      <c r="M22" s="97">
        <f>'[3]Mountain Cargo'!$GK$53</f>
        <v>0</v>
      </c>
      <c r="N22" s="97">
        <f>'[3]Misc Cargo'!$GK$53</f>
        <v>0</v>
      </c>
      <c r="O22" s="172">
        <f>SUM(B22:J22)+SUM(L22:N22)</f>
        <v>661110</v>
      </c>
    </row>
    <row r="23" spans="1:15" ht="18" customHeight="1" x14ac:dyDescent="0.2">
      <c r="A23" s="187" t="s">
        <v>41</v>
      </c>
      <c r="B23" s="260">
        <f>SUM(B21:B22)</f>
        <v>441694</v>
      </c>
      <c r="C23" s="260">
        <f>SUM(C21:C22)</f>
        <v>621213</v>
      </c>
      <c r="D23" s="260">
        <f>SUM(D21:D22)</f>
        <v>8712223</v>
      </c>
      <c r="E23" s="260">
        <f>SUM(E21:E22)</f>
        <v>7366300</v>
      </c>
      <c r="F23" s="166"/>
      <c r="G23" s="261">
        <f>SUM(G21:G22)</f>
        <v>0</v>
      </c>
      <c r="H23" s="260">
        <f>SUM(H21:H22)</f>
        <v>1894</v>
      </c>
      <c r="I23" s="260">
        <f>SUM(I21:I22)</f>
        <v>0</v>
      </c>
      <c r="J23" s="261">
        <f>SUM(J21:J22)</f>
        <v>0</v>
      </c>
      <c r="K23" s="474"/>
      <c r="L23" s="261">
        <f>SUM(L21:L22)</f>
        <v>0</v>
      </c>
      <c r="M23" s="261">
        <f>SUM(M21:M22)</f>
        <v>4610</v>
      </c>
      <c r="N23" s="261">
        <f>SUM(N21:N22)</f>
        <v>3500</v>
      </c>
      <c r="O23" s="188">
        <f>SUM(B23:J23)+SUM(L23:N23)</f>
        <v>17151434</v>
      </c>
    </row>
    <row r="24" spans="1:15" x14ac:dyDescent="0.2">
      <c r="A24" s="38"/>
      <c r="B24" s="134"/>
      <c r="C24" s="134"/>
      <c r="D24" s="134"/>
      <c r="E24" s="134"/>
      <c r="F24" s="161"/>
      <c r="G24" s="97"/>
      <c r="H24" s="134"/>
      <c r="I24" s="134"/>
      <c r="J24" s="97"/>
      <c r="K24" s="474"/>
      <c r="L24" s="97"/>
      <c r="M24" s="97"/>
      <c r="N24" s="97"/>
      <c r="O24" s="172"/>
    </row>
    <row r="25" spans="1:15" x14ac:dyDescent="0.2">
      <c r="A25" s="189" t="s">
        <v>97</v>
      </c>
      <c r="B25" s="134"/>
      <c r="C25" s="134"/>
      <c r="D25" s="134"/>
      <c r="E25" s="134"/>
      <c r="F25" s="161"/>
      <c r="G25" s="97"/>
      <c r="H25" s="134"/>
      <c r="I25" s="134"/>
      <c r="J25" s="97"/>
      <c r="K25" s="474"/>
      <c r="L25" s="97"/>
      <c r="M25" s="97"/>
      <c r="N25" s="97"/>
      <c r="O25" s="172"/>
    </row>
    <row r="26" spans="1:15" x14ac:dyDescent="0.2">
      <c r="A26" s="38" t="s">
        <v>59</v>
      </c>
      <c r="B26" s="134">
        <f>[3]DHL!$GK$57</f>
        <v>0</v>
      </c>
      <c r="C26" s="134">
        <f>'[3]Atlas Air'!$GK$57</f>
        <v>0</v>
      </c>
      <c r="D26" s="134">
        <f>[3]FedEx!$GK$57</f>
        <v>0</v>
      </c>
      <c r="E26" s="134">
        <f>[3]UPS!$GK$57</f>
        <v>0</v>
      </c>
      <c r="F26" s="161"/>
      <c r="G26" s="97">
        <f>[3]ATI_BAX!$GK$57</f>
        <v>0</v>
      </c>
      <c r="H26" s="134">
        <f>[3]Encore!$GK$57</f>
        <v>0</v>
      </c>
      <c r="I26" s="134">
        <f>[3]IFL!$GK$57</f>
        <v>0</v>
      </c>
      <c r="J26" s="97">
        <f>'[3]Suburban Air Freight'!$GK$57</f>
        <v>0</v>
      </c>
      <c r="K26" s="474"/>
      <c r="L26" s="97">
        <f>'[3]CSA Air'!$GK$57</f>
        <v>0</v>
      </c>
      <c r="M26" s="97">
        <f>'[3]Mountain Cargo'!$GK$57</f>
        <v>0</v>
      </c>
      <c r="N26" s="97">
        <f>'[3]Misc Cargo'!$GK$57</f>
        <v>0</v>
      </c>
      <c r="O26" s="172">
        <f>SUM(B26:J26)+SUM(L26:N26)</f>
        <v>0</v>
      </c>
    </row>
    <row r="27" spans="1:15" x14ac:dyDescent="0.2">
      <c r="A27" s="38" t="s">
        <v>60</v>
      </c>
      <c r="B27" s="134">
        <f>[3]DHL!$GK$58</f>
        <v>0</v>
      </c>
      <c r="C27" s="134">
        <f>'[3]Atlas Air'!$GK$58</f>
        <v>0</v>
      </c>
      <c r="D27" s="134">
        <f>[3]FedEx!$GK$58</f>
        <v>0</v>
      </c>
      <c r="E27" s="134">
        <f>[3]UPS!$GK$58</f>
        <v>0</v>
      </c>
      <c r="F27" s="161"/>
      <c r="G27" s="97">
        <f>[3]ATI_BAX!$GK$58</f>
        <v>0</v>
      </c>
      <c r="H27" s="134">
        <f>[3]Encore!$GK$58</f>
        <v>0</v>
      </c>
      <c r="I27" s="134">
        <f>[3]IFL!$GK$58</f>
        <v>0</v>
      </c>
      <c r="J27" s="97">
        <f>'[3]Suburban Air Freight'!$GK$58</f>
        <v>0</v>
      </c>
      <c r="K27" s="474"/>
      <c r="L27" s="97">
        <f>'[3]CSA Air'!$GK$58</f>
        <v>0</v>
      </c>
      <c r="M27" s="97">
        <f>'[3]Mountain Cargo'!$GK$58</f>
        <v>0</v>
      </c>
      <c r="N27" s="97">
        <f>'[3]Misc Cargo'!$GK$58</f>
        <v>0</v>
      </c>
      <c r="O27" s="172">
        <f>SUM(B27:J27)+SUM(L27:N27)</f>
        <v>0</v>
      </c>
    </row>
    <row r="28" spans="1:15" ht="18" customHeight="1" x14ac:dyDescent="0.2">
      <c r="A28" s="187" t="s">
        <v>43</v>
      </c>
      <c r="B28" s="260">
        <f>SUM(B26:B27)</f>
        <v>0</v>
      </c>
      <c r="C28" s="260">
        <f>SUM(C26:C27)</f>
        <v>0</v>
      </c>
      <c r="D28" s="260">
        <f>SUM(D26:D27)</f>
        <v>0</v>
      </c>
      <c r="E28" s="260">
        <f>SUM(E26:E27)</f>
        <v>0</v>
      </c>
      <c r="F28" s="166"/>
      <c r="G28" s="261">
        <f>SUM(G26:G27)</f>
        <v>0</v>
      </c>
      <c r="H28" s="260">
        <f>SUM(H26:H27)</f>
        <v>0</v>
      </c>
      <c r="I28" s="260">
        <f>SUM(I26:I27)</f>
        <v>0</v>
      </c>
      <c r="J28" s="261">
        <f>SUM(J26:J27)</f>
        <v>0</v>
      </c>
      <c r="K28" s="474"/>
      <c r="L28" s="261">
        <f>SUM(L26:L27)</f>
        <v>0</v>
      </c>
      <c r="M28" s="261">
        <f>SUM(M26:M27)</f>
        <v>0</v>
      </c>
      <c r="N28" s="261">
        <f>SUM(N26:N27)</f>
        <v>0</v>
      </c>
      <c r="O28" s="188">
        <f>SUM(B28:J28)+SUM(L28:N28)</f>
        <v>0</v>
      </c>
    </row>
    <row r="29" spans="1:15" x14ac:dyDescent="0.2">
      <c r="A29" s="38"/>
      <c r="B29" s="134"/>
      <c r="C29" s="134"/>
      <c r="D29" s="134"/>
      <c r="E29" s="134"/>
      <c r="F29" s="161"/>
      <c r="G29" s="97"/>
      <c r="H29" s="134"/>
      <c r="I29" s="134"/>
      <c r="J29" s="97"/>
      <c r="K29" s="474"/>
      <c r="L29" s="97"/>
      <c r="M29" s="97"/>
      <c r="N29" s="97"/>
      <c r="O29" s="172"/>
    </row>
    <row r="30" spans="1:15" x14ac:dyDescent="0.2">
      <c r="A30" s="190" t="s">
        <v>44</v>
      </c>
      <c r="B30" s="134"/>
      <c r="C30" s="134"/>
      <c r="D30" s="134"/>
      <c r="E30" s="134"/>
      <c r="F30" s="161"/>
      <c r="G30" s="97"/>
      <c r="H30" s="134"/>
      <c r="I30" s="134"/>
      <c r="J30" s="97"/>
      <c r="K30" s="474"/>
      <c r="L30" s="97"/>
      <c r="M30" s="97"/>
      <c r="N30" s="97"/>
      <c r="O30" s="172"/>
    </row>
    <row r="31" spans="1:15" x14ac:dyDescent="0.2">
      <c r="A31" s="38" t="s">
        <v>90</v>
      </c>
      <c r="B31" s="134">
        <f t="shared" ref="B31:E33" si="3">B26+B21+B16</f>
        <v>1136064</v>
      </c>
      <c r="C31" s="134">
        <f t="shared" ref="C31" si="4">C26+C21+C16</f>
        <v>2146224</v>
      </c>
      <c r="D31" s="134">
        <f t="shared" si="3"/>
        <v>17930855</v>
      </c>
      <c r="E31" s="134">
        <f t="shared" si="3"/>
        <v>14741491</v>
      </c>
      <c r="F31" s="161"/>
      <c r="G31" s="97">
        <f t="shared" ref="G31:J33" si="5">G26+G21+G16</f>
        <v>0</v>
      </c>
      <c r="H31" s="134">
        <f t="shared" ref="H31" si="6">H26+H21+H16</f>
        <v>63006</v>
      </c>
      <c r="I31" s="134">
        <f t="shared" si="5"/>
        <v>51002</v>
      </c>
      <c r="J31" s="97">
        <f t="shared" si="5"/>
        <v>0</v>
      </c>
      <c r="K31" s="474"/>
      <c r="L31" s="97">
        <f t="shared" ref="L31:N33" si="7">L26+L21+L16</f>
        <v>0</v>
      </c>
      <c r="M31" s="97">
        <f t="shared" si="7"/>
        <v>11569</v>
      </c>
      <c r="N31" s="97">
        <f>N26+N21+N16</f>
        <v>3500</v>
      </c>
      <c r="O31" s="172">
        <f>SUM(B31:J31)+SUM(L31:N31)</f>
        <v>36083711</v>
      </c>
    </row>
    <row r="32" spans="1:15" x14ac:dyDescent="0.2">
      <c r="A32" s="38" t="s">
        <v>60</v>
      </c>
      <c r="B32" s="134">
        <f t="shared" si="3"/>
        <v>0</v>
      </c>
      <c r="C32" s="134">
        <f t="shared" ref="C32" si="8">C27+C22+C17</f>
        <v>0</v>
      </c>
      <c r="D32" s="134">
        <f t="shared" si="3"/>
        <v>0</v>
      </c>
      <c r="E32" s="134">
        <f t="shared" si="3"/>
        <v>661144</v>
      </c>
      <c r="F32" s="161"/>
      <c r="G32" s="97">
        <f t="shared" si="5"/>
        <v>0</v>
      </c>
      <c r="H32" s="134">
        <f t="shared" ref="H32" si="9">H27+H22+H17</f>
        <v>0</v>
      </c>
      <c r="I32" s="134">
        <f t="shared" si="5"/>
        <v>0</v>
      </c>
      <c r="J32" s="97">
        <f t="shared" si="5"/>
        <v>0</v>
      </c>
      <c r="K32" s="475"/>
      <c r="L32" s="97">
        <f t="shared" si="7"/>
        <v>0</v>
      </c>
      <c r="M32" s="97">
        <f t="shared" si="7"/>
        <v>0</v>
      </c>
      <c r="N32" s="97">
        <f>N27+N22+N17</f>
        <v>0</v>
      </c>
      <c r="O32" s="176">
        <f>SUM(B32:J32)+SUM(L32:N32)</f>
        <v>661144</v>
      </c>
    </row>
    <row r="33" spans="1:15" ht="18" customHeight="1" thickBot="1" x14ac:dyDescent="0.25">
      <c r="A33" s="177" t="s">
        <v>46</v>
      </c>
      <c r="B33" s="178">
        <f t="shared" si="3"/>
        <v>1136064</v>
      </c>
      <c r="C33" s="178">
        <f t="shared" ref="C33" si="10">C28+C23+C18</f>
        <v>2146224</v>
      </c>
      <c r="D33" s="178">
        <f t="shared" si="3"/>
        <v>17930855</v>
      </c>
      <c r="E33" s="178">
        <f t="shared" si="3"/>
        <v>15402635</v>
      </c>
      <c r="F33" s="191"/>
      <c r="G33" s="180">
        <f t="shared" si="5"/>
        <v>0</v>
      </c>
      <c r="H33" s="178">
        <f t="shared" ref="H33" si="11">H28+H23+H18</f>
        <v>63006</v>
      </c>
      <c r="I33" s="178">
        <f t="shared" si="5"/>
        <v>51002</v>
      </c>
      <c r="J33" s="180">
        <f t="shared" si="5"/>
        <v>0</v>
      </c>
      <c r="K33" s="262">
        <f>K28+K23+K18</f>
        <v>0</v>
      </c>
      <c r="L33" s="180">
        <f t="shared" si="7"/>
        <v>0</v>
      </c>
      <c r="M33" s="180">
        <f t="shared" si="7"/>
        <v>11569</v>
      </c>
      <c r="N33" s="180">
        <f t="shared" si="7"/>
        <v>3500</v>
      </c>
      <c r="O33" s="181">
        <f>SUM(B33:J33)+SUM(L33:N33)</f>
        <v>36744855</v>
      </c>
    </row>
    <row r="34" spans="1:15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M34" s="2"/>
      <c r="N34" s="2"/>
      <c r="O34" s="2"/>
    </row>
    <row r="35" spans="1:15" x14ac:dyDescent="0.2">
      <c r="A35" t="s">
        <v>91</v>
      </c>
      <c r="B35" s="2"/>
      <c r="C35" s="2"/>
      <c r="D35" s="2"/>
      <c r="E35" s="2"/>
      <c r="F35" s="2"/>
    </row>
    <row r="36" spans="1:15" x14ac:dyDescent="0.2">
      <c r="A36" t="s">
        <v>92</v>
      </c>
    </row>
    <row r="37" spans="1:15" x14ac:dyDescent="0.2">
      <c r="A37" t="s">
        <v>93</v>
      </c>
    </row>
    <row r="43" spans="1:15" ht="15" x14ac:dyDescent="0.25">
      <c r="K43" s="44"/>
    </row>
  </sheetData>
  <mergeCells count="3">
    <mergeCell ref="K16:K32"/>
    <mergeCell ref="B1:E1"/>
    <mergeCell ref="G1:N1"/>
  </mergeCells>
  <phoneticPr fontId="6" type="noConversion"/>
  <pageMargins left="0.75" right="0.75" top="1" bottom="1" header="0.5" footer="0.5"/>
  <pageSetup scale="78" orientation="landscape" r:id="rId1"/>
  <headerFooter alignWithMargins="0">
    <oddHeader>&amp;L
Schedule 7
&amp;CMinneapolis-St. Paul International Airport
&amp;"Arial,Bold"Cargo
October 2019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5" sqref="J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10.140625" bestFit="1" customWidth="1"/>
  </cols>
  <sheetData>
    <row r="1" spans="1:18" s="28" customFormat="1" ht="12" customHeight="1" x14ac:dyDescent="0.2">
      <c r="A1" s="15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325">
        <v>43739</v>
      </c>
      <c r="B2" s="59" t="s">
        <v>63</v>
      </c>
      <c r="C2" s="59" t="s">
        <v>64</v>
      </c>
      <c r="D2" s="59" t="s">
        <v>65</v>
      </c>
      <c r="E2" s="273" t="s">
        <v>75</v>
      </c>
      <c r="F2" s="60" t="s">
        <v>217</v>
      </c>
      <c r="G2" s="60" t="s">
        <v>208</v>
      </c>
      <c r="H2" s="61" t="s">
        <v>66</v>
      </c>
      <c r="I2" s="62" t="s">
        <v>213</v>
      </c>
      <c r="J2" s="62" t="s">
        <v>199</v>
      </c>
      <c r="K2" s="71" t="s">
        <v>2</v>
      </c>
    </row>
    <row r="3" spans="1:18" ht="20.25" customHeight="1" x14ac:dyDescent="0.2">
      <c r="A3" s="68" t="s">
        <v>67</v>
      </c>
      <c r="B3" s="70"/>
      <c r="C3" s="63"/>
      <c r="D3" s="63"/>
      <c r="E3" s="63"/>
      <c r="F3" s="64"/>
      <c r="G3" s="64"/>
      <c r="H3" s="65"/>
      <c r="I3" s="64"/>
      <c r="J3" s="64"/>
      <c r="K3" s="66"/>
    </row>
    <row r="4" spans="1:18" x14ac:dyDescent="0.2">
      <c r="A4" s="47" t="s">
        <v>68</v>
      </c>
      <c r="B4" s="141"/>
      <c r="C4" s="97"/>
      <c r="D4" s="97"/>
      <c r="E4" s="97"/>
      <c r="F4" s="97"/>
      <c r="G4" s="97"/>
      <c r="H4" s="97"/>
      <c r="I4" s="97"/>
      <c r="J4" s="97"/>
      <c r="K4" s="142"/>
    </row>
    <row r="5" spans="1:18" x14ac:dyDescent="0.2">
      <c r="A5" s="47" t="s">
        <v>69</v>
      </c>
      <c r="B5" s="141">
        <f>'Major Airline Stats'!K28</f>
        <v>3367486</v>
      </c>
      <c r="C5" s="97">
        <f>'Regional Major'!M25</f>
        <v>3370</v>
      </c>
      <c r="D5" s="97">
        <f>Cargo!O16</f>
        <v>19593387</v>
      </c>
      <c r="E5" s="97">
        <f>SUM(B5:D5)</f>
        <v>22964243</v>
      </c>
      <c r="F5" s="97">
        <f>E5*0.00045359237</f>
        <v>10416.405407625909</v>
      </c>
      <c r="G5" s="97">
        <f>'[1]Cargo Summary'!F5</f>
        <v>10947.249547752979</v>
      </c>
      <c r="H5" s="79">
        <f>(F5-G5)/G5</f>
        <v>-4.849109703871058E-2</v>
      </c>
      <c r="I5" s="97">
        <f>+F5+'[2]Cargo Summary'!I5</f>
        <v>92773.629360875537</v>
      </c>
      <c r="J5" s="97">
        <f>'[1]Cargo Summary'!I5</f>
        <v>99689.184362853455</v>
      </c>
      <c r="K5" s="67">
        <f>(I5-J5)/J5</f>
        <v>-6.9371166452785404E-2</v>
      </c>
      <c r="M5" s="26"/>
    </row>
    <row r="6" spans="1:18" x14ac:dyDescent="0.2">
      <c r="A6" s="47" t="s">
        <v>16</v>
      </c>
      <c r="B6" s="141">
        <f>'Major Airline Stats'!K29</f>
        <v>2211303</v>
      </c>
      <c r="C6" s="97">
        <f>'Regional Major'!M26</f>
        <v>0</v>
      </c>
      <c r="D6" s="97">
        <f>Cargo!O17</f>
        <v>34</v>
      </c>
      <c r="E6" s="97">
        <f>SUM(B6:D6)</f>
        <v>2211337</v>
      </c>
      <c r="F6" s="97">
        <f>E6*0.00045359237</f>
        <v>1003.0455906986899</v>
      </c>
      <c r="G6" s="97">
        <f>'[1]Cargo Summary'!F6</f>
        <v>914.30069710056</v>
      </c>
      <c r="H6" s="3">
        <f>(F6-G6)/G6</f>
        <v>9.7063136755291407E-2</v>
      </c>
      <c r="I6" s="97">
        <f>+F6+'[2]Cargo Summary'!I6</f>
        <v>8655.2568275827507</v>
      </c>
      <c r="J6" s="97">
        <f>'[1]Cargo Summary'!I6</f>
        <v>8543.2775720161117</v>
      </c>
      <c r="K6" s="67">
        <f>(I6-J6)/J6</f>
        <v>1.3107294550914757E-2</v>
      </c>
      <c r="M6" s="26"/>
    </row>
    <row r="7" spans="1:18" ht="18" customHeight="1" thickBot="1" x14ac:dyDescent="0.25">
      <c r="A7" s="56" t="s">
        <v>72</v>
      </c>
      <c r="B7" s="143">
        <f>SUM(B5:B6)</f>
        <v>5578789</v>
      </c>
      <c r="C7" s="107">
        <f t="shared" ref="C7:J7" si="0">SUM(C5:C6)</f>
        <v>3370</v>
      </c>
      <c r="D7" s="107">
        <f t="shared" si="0"/>
        <v>19593421</v>
      </c>
      <c r="E7" s="107">
        <f t="shared" si="0"/>
        <v>25175580</v>
      </c>
      <c r="F7" s="107">
        <f t="shared" si="0"/>
        <v>11419.450998324599</v>
      </c>
      <c r="G7" s="107">
        <f t="shared" si="0"/>
        <v>11861.550244853539</v>
      </c>
      <c r="H7" s="29">
        <f>(F7-G7)/G7</f>
        <v>-3.7271624484392925E-2</v>
      </c>
      <c r="I7" s="107">
        <f t="shared" si="0"/>
        <v>101428.88618845829</v>
      </c>
      <c r="J7" s="107">
        <f t="shared" si="0"/>
        <v>108232.46193486957</v>
      </c>
      <c r="K7" s="275">
        <f>(I7-J7)/J7</f>
        <v>-6.2860768615846802E-2</v>
      </c>
      <c r="M7" s="26"/>
    </row>
    <row r="8" spans="1:18" ht="13.5" thickTop="1" x14ac:dyDescent="0.2">
      <c r="A8" s="47"/>
      <c r="B8" s="141"/>
      <c r="C8" s="97"/>
      <c r="D8" s="97"/>
      <c r="E8" s="97"/>
      <c r="F8" s="97"/>
      <c r="G8" s="97"/>
      <c r="I8" s="97"/>
      <c r="J8" s="97"/>
      <c r="K8" s="67"/>
      <c r="M8" s="26"/>
    </row>
    <row r="9" spans="1:18" x14ac:dyDescent="0.2">
      <c r="A9" s="47" t="s">
        <v>70</v>
      </c>
      <c r="B9" s="141"/>
      <c r="C9" s="97"/>
      <c r="D9" s="97"/>
      <c r="E9" s="97"/>
      <c r="F9" s="97"/>
      <c r="G9" s="97"/>
      <c r="I9" s="97"/>
      <c r="J9" s="97"/>
      <c r="K9" s="67"/>
      <c r="M9" s="26"/>
    </row>
    <row r="10" spans="1:18" x14ac:dyDescent="0.2">
      <c r="A10" s="47" t="s">
        <v>69</v>
      </c>
      <c r="B10" s="141">
        <f>'Major Airline Stats'!K33</f>
        <v>2101727</v>
      </c>
      <c r="C10" s="97">
        <f>'Regional Major'!M30</f>
        <v>2140</v>
      </c>
      <c r="D10" s="97">
        <f>Cargo!O21</f>
        <v>16490324</v>
      </c>
      <c r="E10" s="97">
        <f>SUM(B10:D10)</f>
        <v>18594191</v>
      </c>
      <c r="F10" s="97">
        <f>E10*0.00045359237</f>
        <v>8434.1831639226693</v>
      </c>
      <c r="G10" s="97">
        <f>'[1]Cargo Summary'!F10</f>
        <v>8547.9005854511506</v>
      </c>
      <c r="H10" s="3">
        <f>(F10-G10)/G10</f>
        <v>-1.3303549847319542E-2</v>
      </c>
      <c r="I10" s="97">
        <f>+F10+'[2]Cargo Summary'!I10</f>
        <v>75727.588633739346</v>
      </c>
      <c r="J10" s="97">
        <f>'[1]Cargo Summary'!I10</f>
        <v>78109.339572862285</v>
      </c>
      <c r="K10" s="67">
        <f>(I10-J10)/J10</f>
        <v>-3.0492524353008831E-2</v>
      </c>
      <c r="M10" s="26"/>
    </row>
    <row r="11" spans="1:18" x14ac:dyDescent="0.2">
      <c r="A11" s="47" t="s">
        <v>16</v>
      </c>
      <c r="B11" s="141">
        <f>'Major Airline Stats'!K34</f>
        <v>2362753</v>
      </c>
      <c r="C11" s="97">
        <f>'Regional Major'!M31</f>
        <v>3330</v>
      </c>
      <c r="D11" s="97">
        <f>Cargo!O22</f>
        <v>661110</v>
      </c>
      <c r="E11" s="97">
        <f>SUM(B11:D11)</f>
        <v>3027193</v>
      </c>
      <c r="F11" s="97">
        <f>E11*0.00045359237</f>
        <v>1373.11164731741</v>
      </c>
      <c r="G11" s="97">
        <f>'[1]Cargo Summary'!F11</f>
        <v>1334.6379424940101</v>
      </c>
      <c r="H11" s="26">
        <f>(F11-G11)/G11</f>
        <v>2.8827072570336846E-2</v>
      </c>
      <c r="I11" s="97">
        <f>+F11+'[2]Cargo Summary'!I11</f>
        <v>12116.079974540078</v>
      </c>
      <c r="J11" s="97">
        <f>'[1]Cargo Summary'!I11</f>
        <v>12391.53664180894</v>
      </c>
      <c r="K11" s="67">
        <f>(I11-J11)/J11</f>
        <v>-2.2229419581383726E-2</v>
      </c>
      <c r="M11" s="26"/>
    </row>
    <row r="12" spans="1:18" ht="18" customHeight="1" thickBot="1" x14ac:dyDescent="0.25">
      <c r="A12" s="56" t="s">
        <v>73</v>
      </c>
      <c r="B12" s="143">
        <f>SUM(B10:B11)</f>
        <v>4464480</v>
      </c>
      <c r="C12" s="107">
        <f t="shared" ref="C12:J12" si="1">SUM(C10:C11)</f>
        <v>5470</v>
      </c>
      <c r="D12" s="107">
        <f t="shared" si="1"/>
        <v>17151434</v>
      </c>
      <c r="E12" s="107">
        <f t="shared" si="1"/>
        <v>21621384</v>
      </c>
      <c r="F12" s="107">
        <f t="shared" si="1"/>
        <v>9807.2948112400791</v>
      </c>
      <c r="G12" s="107">
        <f t="shared" si="1"/>
        <v>9882.5385279451602</v>
      </c>
      <c r="H12" s="29">
        <f>(F12-G12)/G12</f>
        <v>-7.613804539421949E-3</v>
      </c>
      <c r="I12" s="107">
        <f t="shared" si="1"/>
        <v>87843.668608279419</v>
      </c>
      <c r="J12" s="107">
        <f t="shared" si="1"/>
        <v>90500.876214671225</v>
      </c>
      <c r="K12" s="275">
        <f>(I12-J12)/J12</f>
        <v>-2.9361125743012893E-2</v>
      </c>
      <c r="M12" s="26"/>
    </row>
    <row r="13" spans="1:18" ht="13.5" thickTop="1" x14ac:dyDescent="0.2">
      <c r="A13" s="47"/>
      <c r="B13" s="141"/>
      <c r="C13" s="97"/>
      <c r="D13" s="97"/>
      <c r="E13" s="97"/>
      <c r="F13" s="97"/>
      <c r="G13" s="97"/>
      <c r="I13" s="97"/>
      <c r="J13" s="97"/>
      <c r="K13" s="67"/>
      <c r="M13" s="26"/>
    </row>
    <row r="14" spans="1:18" x14ac:dyDescent="0.2">
      <c r="A14" s="47" t="s">
        <v>71</v>
      </c>
      <c r="B14" s="141"/>
      <c r="C14" s="97"/>
      <c r="D14" s="97"/>
      <c r="E14" s="97"/>
      <c r="F14" s="97"/>
      <c r="G14" s="97"/>
      <c r="I14" s="97"/>
      <c r="J14" s="97"/>
      <c r="K14" s="67"/>
      <c r="M14" s="26"/>
    </row>
    <row r="15" spans="1:18" x14ac:dyDescent="0.2">
      <c r="A15" s="47" t="s">
        <v>69</v>
      </c>
      <c r="B15" s="141">
        <f>'Major Airline Stats'!K38</f>
        <v>0</v>
      </c>
      <c r="C15" s="97">
        <f>'Regional Major'!M35</f>
        <v>0</v>
      </c>
      <c r="D15" s="97">
        <f>Cargo!O26</f>
        <v>0</v>
      </c>
      <c r="E15" s="97">
        <f>SUM(B15:D15)</f>
        <v>0</v>
      </c>
      <c r="F15" s="97">
        <f>E15*0.00045359237</f>
        <v>0</v>
      </c>
      <c r="G15" s="97">
        <f>'[1]Cargo Summary'!F15</f>
        <v>0</v>
      </c>
      <c r="H15" t="e">
        <f>(F15-G15)/G15</f>
        <v>#DIV/0!</v>
      </c>
      <c r="I15" s="97">
        <f>+F15+'[2]Cargo Summary'!I15</f>
        <v>0</v>
      </c>
      <c r="J15" s="97">
        <f>'[1]Cargo Summary'!I15</f>
        <v>0</v>
      </c>
      <c r="K15" s="67" t="e">
        <f>(I15-J15)/J15</f>
        <v>#DIV/0!</v>
      </c>
      <c r="M15" s="26"/>
    </row>
    <row r="16" spans="1:18" ht="15" customHeight="1" x14ac:dyDescent="0.2">
      <c r="A16" s="47" t="s">
        <v>16</v>
      </c>
      <c r="B16" s="141">
        <f>'Major Airline Stats'!K39</f>
        <v>0</v>
      </c>
      <c r="C16" s="97">
        <f>'Regional Major'!M36</f>
        <v>0</v>
      </c>
      <c r="D16" s="97">
        <f>Cargo!O27</f>
        <v>0</v>
      </c>
      <c r="E16" s="97">
        <f>SUM(B16:D16)</f>
        <v>0</v>
      </c>
      <c r="F16" s="97">
        <f>E16*0.00045359237</f>
        <v>0</v>
      </c>
      <c r="G16" s="97">
        <f>'[1]Cargo Summary'!F16</f>
        <v>0</v>
      </c>
      <c r="H16" s="3" t="e">
        <f>(F16-G16)/G16</f>
        <v>#DIV/0!</v>
      </c>
      <c r="I16" s="97">
        <f>+F16+'[2]Cargo Summary'!I16</f>
        <v>0</v>
      </c>
      <c r="J16" s="97">
        <f>'[1]Cargo Summary'!I16</f>
        <v>0</v>
      </c>
      <c r="K16" s="67">
        <v>1</v>
      </c>
      <c r="M16" s="26"/>
    </row>
    <row r="17" spans="1:13" ht="18" customHeight="1" thickBot="1" x14ac:dyDescent="0.25">
      <c r="A17" s="56" t="s">
        <v>74</v>
      </c>
      <c r="B17" s="143">
        <f>SUM(B15:B16)</f>
        <v>0</v>
      </c>
      <c r="C17" s="107">
        <f t="shared" ref="C17:J17" si="2">SUM(C15:C16)</f>
        <v>0</v>
      </c>
      <c r="D17" s="107">
        <f t="shared" si="2"/>
        <v>0</v>
      </c>
      <c r="E17" s="107">
        <f t="shared" si="2"/>
        <v>0</v>
      </c>
      <c r="F17" s="107">
        <f t="shared" si="2"/>
        <v>0</v>
      </c>
      <c r="G17" s="107">
        <f t="shared" si="2"/>
        <v>0</v>
      </c>
      <c r="H17" s="29" t="e">
        <f>(F17-G17)/G17</f>
        <v>#DIV/0!</v>
      </c>
      <c r="I17" s="107">
        <f t="shared" si="2"/>
        <v>0</v>
      </c>
      <c r="J17" s="107">
        <f t="shared" si="2"/>
        <v>0</v>
      </c>
      <c r="K17" s="275" t="e">
        <f>(I17-J17)/J17</f>
        <v>#DIV/0!</v>
      </c>
      <c r="M17" s="26"/>
    </row>
    <row r="18" spans="1:13" ht="13.5" thickTop="1" x14ac:dyDescent="0.2">
      <c r="A18" s="47"/>
      <c r="B18" s="141"/>
      <c r="C18" s="97"/>
      <c r="D18" s="97"/>
      <c r="E18" s="97"/>
      <c r="F18" s="97"/>
      <c r="G18" s="97"/>
      <c r="I18" s="97"/>
      <c r="J18" s="97"/>
      <c r="K18" s="67"/>
      <c r="M18" s="26"/>
    </row>
    <row r="19" spans="1:13" x14ac:dyDescent="0.2">
      <c r="A19" s="47" t="s">
        <v>14</v>
      </c>
      <c r="B19" s="141"/>
      <c r="C19" s="97"/>
      <c r="D19" s="97"/>
      <c r="E19" s="97"/>
      <c r="F19" s="97"/>
      <c r="G19" s="97"/>
      <c r="I19" s="97"/>
      <c r="J19" s="97"/>
      <c r="K19" s="67"/>
      <c r="M19" s="26"/>
    </row>
    <row r="20" spans="1:13" x14ac:dyDescent="0.2">
      <c r="A20" s="47" t="s">
        <v>69</v>
      </c>
      <c r="B20" s="141">
        <f t="shared" ref="B20:D21" si="3">B15+B10+B5</f>
        <v>5469213</v>
      </c>
      <c r="C20" s="97">
        <f t="shared" si="3"/>
        <v>5510</v>
      </c>
      <c r="D20" s="97">
        <f t="shared" si="3"/>
        <v>36083711</v>
      </c>
      <c r="E20" s="97">
        <f>SUM(B20:D20)</f>
        <v>41558434</v>
      </c>
      <c r="F20" s="97">
        <f>E20*0.00045359237</f>
        <v>18850.588571548578</v>
      </c>
      <c r="G20" s="97">
        <f>'[1]Cargo Summary'!F20</f>
        <v>19495.15013320413</v>
      </c>
      <c r="H20" s="3">
        <f>(F20-G20)/G20</f>
        <v>-3.3062662110908012E-2</v>
      </c>
      <c r="I20" s="97">
        <f>+I5+I10+I15</f>
        <v>168501.21799461488</v>
      </c>
      <c r="J20" s="97">
        <f>+J5+J10+J15</f>
        <v>177798.52393571573</v>
      </c>
      <c r="K20" s="67">
        <f>(I20-J20)/J20</f>
        <v>-5.2291243680191342E-2</v>
      </c>
      <c r="M20" s="26"/>
    </row>
    <row r="21" spans="1:13" x14ac:dyDescent="0.2">
      <c r="A21" s="47" t="s">
        <v>16</v>
      </c>
      <c r="B21" s="141">
        <f t="shared" si="3"/>
        <v>4574056</v>
      </c>
      <c r="C21" s="98">
        <f t="shared" si="3"/>
        <v>3330</v>
      </c>
      <c r="D21" s="98">
        <f t="shared" si="3"/>
        <v>661144</v>
      </c>
      <c r="E21" s="97">
        <f>SUM(B21:D21)</f>
        <v>5238530</v>
      </c>
      <c r="F21" s="97">
        <f>E21*0.00045359237</f>
        <v>2376.1572380161001</v>
      </c>
      <c r="G21" s="97">
        <f>'[1]Cargo Summary'!F21</f>
        <v>2248.9386395945698</v>
      </c>
      <c r="H21" s="3">
        <f>(F21-G21)/G21</f>
        <v>5.6568283447904454E-2</v>
      </c>
      <c r="I21" s="97">
        <f>+I6+I11+I16</f>
        <v>20771.336802122831</v>
      </c>
      <c r="J21" s="97">
        <f>+J6+J11+J16</f>
        <v>20934.814213825051</v>
      </c>
      <c r="K21" s="67">
        <f>(I21-J21)/J21</f>
        <v>-7.8088780742206236E-3</v>
      </c>
      <c r="M21" s="26"/>
    </row>
    <row r="22" spans="1:13" ht="18" customHeight="1" thickBot="1" x14ac:dyDescent="0.25">
      <c r="A22" s="69" t="s">
        <v>62</v>
      </c>
      <c r="B22" s="144">
        <f>SUM(B20:B21)</f>
        <v>10043269</v>
      </c>
      <c r="C22" s="145">
        <f t="shared" ref="C22:J22" si="4">SUM(C20:C21)</f>
        <v>8840</v>
      </c>
      <c r="D22" s="145">
        <f t="shared" si="4"/>
        <v>36744855</v>
      </c>
      <c r="E22" s="145">
        <f t="shared" si="4"/>
        <v>46796964</v>
      </c>
      <c r="F22" s="145">
        <f t="shared" si="4"/>
        <v>21226.74580956468</v>
      </c>
      <c r="G22" s="145">
        <f t="shared" si="4"/>
        <v>21744.088772798699</v>
      </c>
      <c r="H22" s="281">
        <f>(F22-G22)/G22</f>
        <v>-2.3792349665220383E-2</v>
      </c>
      <c r="I22" s="145">
        <f t="shared" si="4"/>
        <v>189272.55479673771</v>
      </c>
      <c r="J22" s="145">
        <f t="shared" si="4"/>
        <v>198733.33814954077</v>
      </c>
      <c r="K22" s="282">
        <f>(I22-J22)/J22</f>
        <v>-4.7605416589360114E-2</v>
      </c>
      <c r="M22" s="26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October 2019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5"/>
  <sheetViews>
    <sheetView zoomScaleNormal="100" workbookViewId="0">
      <selection activeCell="A9" sqref="A9:XFD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2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96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8" ht="13.5" thickBot="1" x14ac:dyDescent="0.25">
      <c r="F1" s="195"/>
      <c r="K1"/>
    </row>
    <row r="2" spans="1:18" s="9" customFormat="1" ht="26.25" thickBot="1" x14ac:dyDescent="0.25">
      <c r="A2" s="485" t="s">
        <v>194</v>
      </c>
      <c r="B2" s="486"/>
      <c r="C2" s="387" t="s">
        <v>220</v>
      </c>
      <c r="D2" s="389" t="s">
        <v>203</v>
      </c>
      <c r="E2" s="390" t="s">
        <v>98</v>
      </c>
      <c r="F2" s="391" t="s">
        <v>221</v>
      </c>
      <c r="G2" s="389" t="s">
        <v>204</v>
      </c>
      <c r="H2" s="388" t="s">
        <v>99</v>
      </c>
      <c r="I2" s="390" t="s">
        <v>140</v>
      </c>
      <c r="J2" s="485" t="s">
        <v>189</v>
      </c>
      <c r="K2" s="486"/>
      <c r="L2" s="387" t="s">
        <v>222</v>
      </c>
      <c r="M2" s="389" t="s">
        <v>205</v>
      </c>
      <c r="N2" s="392" t="s">
        <v>99</v>
      </c>
      <c r="O2" s="393" t="s">
        <v>223</v>
      </c>
      <c r="P2" s="393" t="s">
        <v>206</v>
      </c>
      <c r="Q2" s="420" t="s">
        <v>99</v>
      </c>
      <c r="R2" s="390" t="s">
        <v>224</v>
      </c>
    </row>
    <row r="3" spans="1:18" s="9" customFormat="1" ht="13.5" customHeight="1" thickBot="1" x14ac:dyDescent="0.25">
      <c r="A3" s="487">
        <v>43739</v>
      </c>
      <c r="B3" s="488"/>
      <c r="C3" s="489" t="s">
        <v>9</v>
      </c>
      <c r="D3" s="490"/>
      <c r="E3" s="490"/>
      <c r="F3" s="490"/>
      <c r="G3" s="490"/>
      <c r="H3" s="491"/>
      <c r="I3" s="394"/>
      <c r="J3" s="487">
        <f>+A3</f>
        <v>43739</v>
      </c>
      <c r="K3" s="488"/>
      <c r="L3" s="479" t="s">
        <v>190</v>
      </c>
      <c r="M3" s="480"/>
      <c r="N3" s="480"/>
      <c r="O3" s="480"/>
      <c r="P3" s="480"/>
      <c r="Q3" s="480"/>
      <c r="R3" s="481"/>
    </row>
    <row r="4" spans="1:18" x14ac:dyDescent="0.2">
      <c r="A4" s="299"/>
      <c r="B4" s="300"/>
      <c r="C4" s="301"/>
      <c r="D4" s="302"/>
      <c r="E4" s="303"/>
      <c r="F4" s="395"/>
      <c r="G4" s="302"/>
      <c r="H4" s="411"/>
      <c r="I4" s="303"/>
      <c r="J4" s="304"/>
      <c r="K4" s="300"/>
      <c r="L4" s="310"/>
      <c r="N4" s="67"/>
      <c r="O4" s="38"/>
      <c r="R4" s="40"/>
    </row>
    <row r="5" spans="1:18" ht="14.1" customHeight="1" x14ac:dyDescent="0.2">
      <c r="A5" s="306" t="s">
        <v>191</v>
      </c>
      <c r="B5" s="40"/>
      <c r="C5" s="307">
        <f>+[3]DHL!$GK$19</f>
        <v>46</v>
      </c>
      <c r="D5" s="150">
        <f>+[3]DHL!$FW$19</f>
        <v>46</v>
      </c>
      <c r="E5" s="309">
        <f>(C5-D5)/D5</f>
        <v>0</v>
      </c>
      <c r="F5" s="307">
        <f>+SUM([3]DHL!$GB$12:$GK$12)</f>
        <v>425</v>
      </c>
      <c r="G5" s="150">
        <f>+SUM([3]DHL!$FN$12:$FW$12)</f>
        <v>412</v>
      </c>
      <c r="H5" s="308">
        <f>(F5-G5)/G5</f>
        <v>3.1553398058252427E-2</v>
      </c>
      <c r="I5" s="309" t="e">
        <f>+F5/$FW$28</f>
        <v>#DIV/0!</v>
      </c>
      <c r="J5" s="306" t="s">
        <v>191</v>
      </c>
      <c r="K5" s="40"/>
      <c r="L5" s="307">
        <f>+[3]DHL!$GK$64</f>
        <v>1136064</v>
      </c>
      <c r="M5" s="150">
        <f>+[3]DHL!$FW$64</f>
        <v>1480638</v>
      </c>
      <c r="N5" s="309">
        <f>(L5-M5)/M5</f>
        <v>-0.23271994910302179</v>
      </c>
      <c r="O5" s="307">
        <f>+SUM([3]DHL!$GB$64:$GK$64)</f>
        <v>12785404</v>
      </c>
      <c r="P5" s="150">
        <f>+SUM([3]DHL!$FN$64:$FW$64)</f>
        <v>12698011</v>
      </c>
      <c r="Q5" s="308">
        <f>(O5-P5)/P5</f>
        <v>6.8824164666419019E-3</v>
      </c>
      <c r="R5" s="309">
        <f>O5/$O$28</f>
        <v>4.0787070846482511E-2</v>
      </c>
    </row>
    <row r="6" spans="1:18" ht="14.1" customHeight="1" x14ac:dyDescent="0.2">
      <c r="A6" s="306"/>
      <c r="B6" s="40"/>
      <c r="C6" s="307"/>
      <c r="D6" s="150"/>
      <c r="E6" s="309"/>
      <c r="F6" s="307"/>
      <c r="G6" s="150"/>
      <c r="H6" s="308"/>
      <c r="I6" s="309"/>
      <c r="J6" s="306"/>
      <c r="K6" s="40"/>
      <c r="L6" s="310"/>
      <c r="N6" s="67"/>
      <c r="O6" s="310"/>
      <c r="P6" s="150"/>
      <c r="Q6" s="3"/>
      <c r="R6" s="67"/>
    </row>
    <row r="7" spans="1:18" ht="14.1" customHeight="1" x14ac:dyDescent="0.2">
      <c r="A7" s="306" t="s">
        <v>219</v>
      </c>
      <c r="B7" s="40"/>
      <c r="C7" s="307">
        <f>+'[3]Atlas Air'!$GK$19</f>
        <v>62</v>
      </c>
      <c r="D7" s="150">
        <f>+'[3]Atlas Air'!$FW$19</f>
        <v>64</v>
      </c>
      <c r="E7" s="309">
        <f>(C7-D7)/D7</f>
        <v>-3.125E-2</v>
      </c>
      <c r="F7" s="307">
        <f>+SUM('[3]Atlas Air'!$GB$12:$GK$12)</f>
        <v>606</v>
      </c>
      <c r="G7" s="150">
        <f>+SUM('[3]Atlas Air'!$FN$12:$FW$12)</f>
        <v>308</v>
      </c>
      <c r="H7" s="308">
        <f>(F7-G7)/G7</f>
        <v>0.96753246753246758</v>
      </c>
      <c r="I7" s="309" t="e">
        <f>+F7/$FW$28</f>
        <v>#DIV/0!</v>
      </c>
      <c r="J7" s="306" t="s">
        <v>219</v>
      </c>
      <c r="K7" s="40"/>
      <c r="L7" s="307">
        <f>+'[3]Atlas Air'!$GK$64</f>
        <v>2146224</v>
      </c>
      <c r="M7" s="150">
        <f>+'[3]Atlas Air'!$FW$64</f>
        <v>2170491</v>
      </c>
      <c r="N7" s="309">
        <f>(L7-M7)/M7</f>
        <v>-1.1180419545623549E-2</v>
      </c>
      <c r="O7" s="307">
        <f>+SUM('[3]Atlas Air'!$GB$64:$GK$64)</f>
        <v>23542577</v>
      </c>
      <c r="P7" s="150">
        <f>+SUM('[3]Atlas Air'!$FN$64:$FW$64)</f>
        <v>10438565</v>
      </c>
      <c r="Q7" s="308">
        <f>(O7-P7)/P7</f>
        <v>1.2553461131870138</v>
      </c>
      <c r="R7" s="309">
        <f>O7/$O$28</f>
        <v>7.5103825894572401E-2</v>
      </c>
    </row>
    <row r="8" spans="1:18" ht="14.1" customHeight="1" x14ac:dyDescent="0.2">
      <c r="A8" s="306"/>
      <c r="B8" s="40"/>
      <c r="C8" s="307"/>
      <c r="D8" s="150"/>
      <c r="E8" s="309"/>
      <c r="F8" s="307"/>
      <c r="G8" s="150"/>
      <c r="H8" s="308"/>
      <c r="I8" s="309"/>
      <c r="J8" s="306"/>
      <c r="K8" s="40"/>
      <c r="L8" s="310"/>
      <c r="N8" s="67"/>
      <c r="O8" s="310"/>
      <c r="P8" s="150"/>
      <c r="Q8" s="3"/>
      <c r="R8" s="67"/>
    </row>
    <row r="9" spans="1:18" ht="14.1" customHeight="1" x14ac:dyDescent="0.2">
      <c r="A9" s="306" t="s">
        <v>229</v>
      </c>
      <c r="B9" s="40"/>
      <c r="C9" s="307">
        <f>+[3]Encore!$GK$19</f>
        <v>88</v>
      </c>
      <c r="D9" s="150">
        <f>+[3]Encore!$FW$19</f>
        <v>0</v>
      </c>
      <c r="E9" s="309" t="e">
        <f>(C9-D9)/D9</f>
        <v>#DIV/0!</v>
      </c>
      <c r="F9" s="307">
        <f>+SUM([3]Encore!$GB$12:$GK$12)</f>
        <v>851</v>
      </c>
      <c r="G9" s="150">
        <f>+SUM([3]Encore!$FN$12:$FW$12)</f>
        <v>0</v>
      </c>
      <c r="H9" s="308" t="e">
        <f>(F9-G9)/G9</f>
        <v>#DIV/0!</v>
      </c>
      <c r="I9" s="309" t="e">
        <f>+F9/$FW$28</f>
        <v>#DIV/0!</v>
      </c>
      <c r="J9" s="306" t="s">
        <v>229</v>
      </c>
      <c r="K9" s="40"/>
      <c r="L9" s="307">
        <f>+[3]Encore!$GK$64</f>
        <v>63006</v>
      </c>
      <c r="M9" s="150">
        <f>+[3]Encore!$FW$64</f>
        <v>0</v>
      </c>
      <c r="N9" s="309" t="e">
        <f>(L9-M9)/M9</f>
        <v>#DIV/0!</v>
      </c>
      <c r="O9" s="307">
        <f>+SUM([3]Encore!$GB$64:$GK$64)</f>
        <v>974724</v>
      </c>
      <c r="P9" s="150">
        <f>+SUM([3]Encore!$FN$64:$FW$64)</f>
        <v>0</v>
      </c>
      <c r="Q9" s="308" t="e">
        <f>(O9-P9)/P9</f>
        <v>#DIV/0!</v>
      </c>
      <c r="R9" s="309">
        <f>O9/$O$28</f>
        <v>3.1094939857799421E-3</v>
      </c>
    </row>
    <row r="10" spans="1:18" ht="14.1" customHeight="1" x14ac:dyDescent="0.2">
      <c r="A10" s="306"/>
      <c r="B10" s="40"/>
      <c r="C10" s="307"/>
      <c r="D10" s="150"/>
      <c r="E10" s="309"/>
      <c r="F10" s="307"/>
      <c r="G10" s="150"/>
      <c r="H10" s="308"/>
      <c r="I10" s="309"/>
      <c r="J10" s="306"/>
      <c r="K10" s="40"/>
      <c r="L10" s="310"/>
      <c r="N10" s="67"/>
      <c r="O10" s="310"/>
      <c r="P10" s="150"/>
      <c r="Q10" s="3"/>
      <c r="R10" s="67"/>
    </row>
    <row r="11" spans="1:18" ht="14.1" customHeight="1" x14ac:dyDescent="0.2">
      <c r="A11" s="306" t="s">
        <v>192</v>
      </c>
      <c r="B11" s="40"/>
      <c r="C11" s="307">
        <f>+[3]FedEx!$GK$19</f>
        <v>288</v>
      </c>
      <c r="D11" s="150">
        <f>+[3]FedEx!$FW$19</f>
        <v>300</v>
      </c>
      <c r="E11" s="309">
        <f>(C11-D11)/D11</f>
        <v>-0.04</v>
      </c>
      <c r="F11" s="307">
        <f>+SUM([3]FedEx!$GB$12:$GK$12)</f>
        <v>2586</v>
      </c>
      <c r="G11" s="150">
        <f>+SUM([3]FedEx!$FN$12:$FW$12)</f>
        <v>2454</v>
      </c>
      <c r="H11" s="308">
        <f t="shared" ref="H11" si="0">(F11-G11)/G11</f>
        <v>5.3789731051344741E-2</v>
      </c>
      <c r="I11" s="309" t="e">
        <f>+F11/$FW$28</f>
        <v>#DIV/0!</v>
      </c>
      <c r="J11" s="306" t="s">
        <v>192</v>
      </c>
      <c r="K11" s="40"/>
      <c r="L11" s="307">
        <f>+[3]FedEx!$GK$64</f>
        <v>17930855</v>
      </c>
      <c r="M11" s="150">
        <f>+[3]FedEx!$FW$64</f>
        <v>18366037</v>
      </c>
      <c r="N11" s="309">
        <f>(L11-M11)/M11</f>
        <v>-2.3694932118453207E-2</v>
      </c>
      <c r="O11" s="307">
        <f>+SUM([3]FedEx!$GB$64:$GK$64)</f>
        <v>150870736</v>
      </c>
      <c r="P11" s="150">
        <f>+SUM([3]FedEx!$FN$64:$FW$64)</f>
        <v>169764080</v>
      </c>
      <c r="Q11" s="308">
        <f t="shared" ref="Q11" si="1">(O11-P11)/P11</f>
        <v>-0.11129176442978986</v>
      </c>
      <c r="R11" s="309">
        <f>O11/$O$28</f>
        <v>0.4812969068394678</v>
      </c>
    </row>
    <row r="12" spans="1:18" ht="14.1" customHeight="1" x14ac:dyDescent="0.2">
      <c r="A12" s="306"/>
      <c r="B12" s="40"/>
      <c r="C12" s="307"/>
      <c r="D12" s="150"/>
      <c r="E12" s="309"/>
      <c r="F12" s="307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83</v>
      </c>
      <c r="B13" s="40"/>
      <c r="C13" s="307">
        <f>+[3]UPS!$GK$19</f>
        <v>300</v>
      </c>
      <c r="D13" s="150">
        <f>+[3]UPS!$FW$19</f>
        <v>292</v>
      </c>
      <c r="E13" s="309">
        <f>(C13-D13)/D13</f>
        <v>2.7397260273972601E-2</v>
      </c>
      <c r="F13" s="307">
        <f>+SUM([3]UPS!$GB$12:$GK$12)</f>
        <v>2416</v>
      </c>
      <c r="G13" s="150">
        <f>+SUM([3]UPS!$FN$12:$FW$12)</f>
        <v>2096</v>
      </c>
      <c r="H13" s="308">
        <f>(F13-G13)/G13</f>
        <v>0.15267175572519084</v>
      </c>
      <c r="I13" s="309" t="e">
        <f>+F13/$FW$28</f>
        <v>#DIV/0!</v>
      </c>
      <c r="J13" s="306" t="s">
        <v>83</v>
      </c>
      <c r="K13" s="40"/>
      <c r="L13" s="307">
        <f>+[3]UPS!$GK$64</f>
        <v>15402635</v>
      </c>
      <c r="M13" s="150">
        <f>+[3]UPS!$FW$64</f>
        <v>12818408</v>
      </c>
      <c r="N13" s="309">
        <f>(L13-M13)/M13</f>
        <v>0.20160280434200564</v>
      </c>
      <c r="O13" s="307">
        <f>+SUM([3]UPS!$GB$64:$GK$64)</f>
        <v>123683599</v>
      </c>
      <c r="P13" s="150">
        <f>+SUM([3]UPS!$FN$64:$FW$64)</f>
        <v>115155290</v>
      </c>
      <c r="Q13" s="308">
        <f>(O13-P13)/P13</f>
        <v>7.4059203011863375E-2</v>
      </c>
      <c r="R13" s="309">
        <f>O13/$O$28</f>
        <v>0.39456646930835609</v>
      </c>
    </row>
    <row r="14" spans="1:18" ht="14.1" customHeight="1" x14ac:dyDescent="0.2">
      <c r="A14" s="306"/>
      <c r="B14" s="40"/>
      <c r="C14" s="307"/>
      <c r="D14" s="150"/>
      <c r="E14" s="309"/>
      <c r="F14" s="307"/>
      <c r="G14" s="150"/>
      <c r="H14" s="308"/>
      <c r="I14" s="309"/>
      <c r="J14" s="306"/>
      <c r="K14" s="40"/>
      <c r="L14" s="310"/>
      <c r="N14" s="67"/>
      <c r="O14" s="310"/>
      <c r="P14" s="2"/>
      <c r="Q14" s="3"/>
      <c r="R14" s="67"/>
    </row>
    <row r="15" spans="1:18" ht="14.1" customHeight="1" x14ac:dyDescent="0.2">
      <c r="A15" s="306" t="s">
        <v>183</v>
      </c>
      <c r="B15" s="40"/>
      <c r="C15" s="307">
        <f>+[3]IFL!$GK$19</f>
        <v>36</v>
      </c>
      <c r="D15" s="150">
        <f>+[3]IFL!$FW$19</f>
        <v>46</v>
      </c>
      <c r="E15" s="309">
        <f>(C15-D15)/D15</f>
        <v>-0.21739130434782608</v>
      </c>
      <c r="F15" s="307">
        <f>+SUM([3]IFL!$GB$12:$GK$12)</f>
        <v>327</v>
      </c>
      <c r="G15" s="150">
        <f>+SUM([3]IFL!$FN$12:$FW$12)</f>
        <v>432</v>
      </c>
      <c r="H15" s="308">
        <f>(F15-G15)/G15</f>
        <v>-0.24305555555555555</v>
      </c>
      <c r="I15" s="309" t="e">
        <f>+F15/$FW$28</f>
        <v>#DIV/0!</v>
      </c>
      <c r="J15" s="306" t="s">
        <v>183</v>
      </c>
      <c r="K15" s="40"/>
      <c r="L15" s="307">
        <f>+[3]IFL!$GK$64</f>
        <v>51002</v>
      </c>
      <c r="M15" s="150">
        <f>+[3]IFL!$FW$64</f>
        <v>26214</v>
      </c>
      <c r="N15" s="309">
        <f>(L15-M15)/M15</f>
        <v>0.94560158693827723</v>
      </c>
      <c r="O15" s="307">
        <f>+SUM([3]IFL!$GB$64:$GK$64)</f>
        <v>277554</v>
      </c>
      <c r="P15" s="150">
        <f>+SUM([3]IFL!$FN$64:$FW$64)</f>
        <v>220963</v>
      </c>
      <c r="Q15" s="308">
        <f>(O15-P15)/P15</f>
        <v>0.25611075157379287</v>
      </c>
      <c r="R15" s="309">
        <f>O15/$O$28</f>
        <v>8.8543269041202032E-4</v>
      </c>
    </row>
    <row r="16" spans="1:18" ht="14.1" customHeight="1" x14ac:dyDescent="0.2">
      <c r="A16" s="306"/>
      <c r="B16" s="40"/>
      <c r="C16" s="307"/>
      <c r="D16" s="165"/>
      <c r="E16" s="309"/>
      <c r="F16" s="396"/>
      <c r="G16" s="165"/>
      <c r="H16" s="308"/>
      <c r="I16" s="309"/>
      <c r="J16" s="306"/>
      <c r="K16" s="40"/>
      <c r="L16" s="141"/>
      <c r="M16" s="97"/>
      <c r="N16" s="67"/>
      <c r="O16" s="141"/>
      <c r="P16" s="97"/>
      <c r="Q16" s="3"/>
      <c r="R16" s="67"/>
    </row>
    <row r="17" spans="1:19" ht="14.1" customHeight="1" x14ac:dyDescent="0.2">
      <c r="A17" s="306" t="s">
        <v>166</v>
      </c>
      <c r="B17" s="311"/>
      <c r="C17" s="307">
        <f>+'[3]Suburban Air Freight'!$GK$19</f>
        <v>0</v>
      </c>
      <c r="D17" s="150">
        <f>+'[3]Suburban Air Freight'!$FW$19</f>
        <v>0</v>
      </c>
      <c r="E17" s="309" t="e">
        <f>(C17-D17)/D17</f>
        <v>#DIV/0!</v>
      </c>
      <c r="F17" s="307">
        <f>+SUM('[3]Suburban Air Freight'!$GB$12:$GK$12)</f>
        <v>0</v>
      </c>
      <c r="G17" s="150">
        <f>+SUM('[3]Suburban Air Freight'!$FN$12:$FW$12)</f>
        <v>0</v>
      </c>
      <c r="H17" s="308" t="e">
        <f t="shared" ref="H17" si="2">(F17-G17)/G17</f>
        <v>#DIV/0!</v>
      </c>
      <c r="I17" s="309" t="e">
        <f>+F17/$FW$28</f>
        <v>#DIV/0!</v>
      </c>
      <c r="J17" s="306" t="s">
        <v>166</v>
      </c>
      <c r="K17" s="311"/>
      <c r="L17" s="307">
        <f>+'[3]Suburban Air Freight'!$GK$64</f>
        <v>0</v>
      </c>
      <c r="M17" s="150">
        <f>+'[3]Suburban Air Freight'!$FW$64</f>
        <v>0</v>
      </c>
      <c r="N17" s="309" t="e">
        <f>(L17-M17)/M17</f>
        <v>#DIV/0!</v>
      </c>
      <c r="O17" s="307">
        <f>+SUM('[3]Suburban Air Freight'!$GB$64:$GK$64)</f>
        <v>0</v>
      </c>
      <c r="P17" s="150">
        <f>+SUM('[3]Suburban Air Freight'!$FN$64:$FW$64)</f>
        <v>0</v>
      </c>
      <c r="Q17" s="308" t="e">
        <f t="shared" ref="Q17" si="3">(O17-P17)/P17</f>
        <v>#DIV/0!</v>
      </c>
      <c r="R17" s="309">
        <f>O17/$O$28</f>
        <v>0</v>
      </c>
    </row>
    <row r="18" spans="1:19" ht="14.1" customHeight="1" x14ac:dyDescent="0.2">
      <c r="A18" s="38"/>
      <c r="B18" s="40"/>
      <c r="C18" s="307"/>
      <c r="E18" s="67"/>
      <c r="F18" s="310"/>
      <c r="I18" s="67"/>
      <c r="J18" s="38"/>
      <c r="K18" s="40"/>
      <c r="L18" s="310"/>
      <c r="N18" s="67"/>
      <c r="O18" s="310"/>
      <c r="P18" s="2"/>
      <c r="Q18" s="3"/>
      <c r="R18" s="67"/>
    </row>
    <row r="19" spans="1:19" ht="14.1" customHeight="1" x14ac:dyDescent="0.2">
      <c r="A19" s="306" t="s">
        <v>85</v>
      </c>
      <c r="B19" s="40"/>
      <c r="C19" s="307">
        <f>+[3]Bemidji!$GK$19</f>
        <v>420</v>
      </c>
      <c r="D19" s="150">
        <f>+[3]Bemidji!$FW$19</f>
        <v>568</v>
      </c>
      <c r="E19" s="309">
        <f>(C19-D19)/D19</f>
        <v>-0.26056338028169013</v>
      </c>
      <c r="F19" s="307">
        <f>+SUM([3]Bemidji!$GB$12:$GK$12)</f>
        <v>3912</v>
      </c>
      <c r="G19" s="150">
        <f>+SUM([3]Bemidji!$FN$12:$FW$12)</f>
        <v>5548</v>
      </c>
      <c r="H19" s="308">
        <f t="shared" ref="H19" si="4">(F19-G19)/G19</f>
        <v>-0.29488103821196826</v>
      </c>
      <c r="I19" s="309" t="e">
        <f>+F19/$FW$28</f>
        <v>#DIV/0!</v>
      </c>
      <c r="J19" s="306" t="s">
        <v>85</v>
      </c>
      <c r="K19" s="40"/>
      <c r="L19" s="482" t="s">
        <v>195</v>
      </c>
      <c r="M19" s="483"/>
      <c r="N19" s="483"/>
      <c r="O19" s="483"/>
      <c r="P19" s="483"/>
      <c r="Q19" s="483"/>
      <c r="R19" s="484"/>
    </row>
    <row r="20" spans="1:19" ht="14.1" customHeight="1" x14ac:dyDescent="0.2">
      <c r="A20" s="38"/>
      <c r="B20" s="40"/>
      <c r="C20" s="307"/>
      <c r="E20" s="67"/>
      <c r="F20" s="310"/>
      <c r="I20" s="67"/>
      <c r="J20" s="38"/>
      <c r="K20" s="40"/>
      <c r="L20" s="310"/>
      <c r="N20" s="67"/>
      <c r="O20" s="310"/>
      <c r="P20" s="2"/>
      <c r="Q20" s="3"/>
      <c r="R20" s="67"/>
    </row>
    <row r="21" spans="1:19" ht="14.1" customHeight="1" x14ac:dyDescent="0.2">
      <c r="A21" s="306" t="s">
        <v>86</v>
      </c>
      <c r="B21" s="40"/>
      <c r="C21" s="307">
        <f>+'[3]CSA Air'!$GK$19</f>
        <v>0</v>
      </c>
      <c r="D21" s="150">
        <f>+'[3]CSA Air'!$FW$19</f>
        <v>0</v>
      </c>
      <c r="E21" s="309" t="e">
        <f>(C21-D21)/D21</f>
        <v>#DIV/0!</v>
      </c>
      <c r="F21" s="307">
        <f>+SUM('[3]CSA Air'!$GB$12:$GK$12)</f>
        <v>9</v>
      </c>
      <c r="G21" s="150">
        <f>+SUM('[3]CSA Air'!$FN$12:$FW$12)</f>
        <v>7</v>
      </c>
      <c r="H21" s="308">
        <f t="shared" ref="H21" si="5">(F21-G21)/G21</f>
        <v>0.2857142857142857</v>
      </c>
      <c r="I21" s="309" t="e">
        <f>+F21/$FW$28</f>
        <v>#DIV/0!</v>
      </c>
      <c r="J21" s="306" t="s">
        <v>86</v>
      </c>
      <c r="K21" s="40"/>
      <c r="L21" s="307">
        <f>+'[3]CSA Air'!$GK$64</f>
        <v>0</v>
      </c>
      <c r="M21" s="150">
        <f>+'[3]CSA Air'!$FW$64</f>
        <v>0</v>
      </c>
      <c r="N21" s="309" t="e">
        <f>(L21-M21)/M21</f>
        <v>#DIV/0!</v>
      </c>
      <c r="O21" s="307">
        <f>+SUM('[3]CSA Air'!$GB$64:$GK$64)</f>
        <v>9686</v>
      </c>
      <c r="P21" s="150">
        <f>+SUM('[3]CSA Air'!$FN$64:$FW$64)</f>
        <v>4785</v>
      </c>
      <c r="Q21" s="308">
        <f t="shared" ref="Q21" si="6">(O21-P21)/P21</f>
        <v>1.0242424242424242</v>
      </c>
      <c r="R21" s="309">
        <f>O21/$O$28</f>
        <v>3.0899576440371344E-5</v>
      </c>
    </row>
    <row r="22" spans="1:19" ht="14.1" customHeight="1" x14ac:dyDescent="0.2">
      <c r="A22" s="38"/>
      <c r="B22" s="40"/>
      <c r="C22" s="307"/>
      <c r="E22" s="67"/>
      <c r="F22" s="310"/>
      <c r="I22" s="67"/>
      <c r="J22" s="38"/>
      <c r="K22" s="40"/>
      <c r="L22" s="310"/>
      <c r="N22" s="67"/>
      <c r="O22" s="310"/>
      <c r="P22" s="2"/>
      <c r="Q22" s="3"/>
      <c r="R22" s="67"/>
    </row>
    <row r="23" spans="1:19" ht="14.1" customHeight="1" x14ac:dyDescent="0.2">
      <c r="A23" s="306" t="s">
        <v>87</v>
      </c>
      <c r="B23" s="311"/>
      <c r="C23" s="307">
        <f>+'[3]Mountain Cargo'!$GK$19</f>
        <v>46</v>
      </c>
      <c r="D23" s="150">
        <f>+'[3]Mountain Cargo'!$FW$19</f>
        <v>44</v>
      </c>
      <c r="E23" s="309">
        <f>(C23-D23)/D23</f>
        <v>4.5454545454545456E-2</v>
      </c>
      <c r="F23" s="307">
        <f>+SUM('[3]Mountain Cargo'!$GB$12:$GK$12)</f>
        <v>370</v>
      </c>
      <c r="G23" s="150">
        <f>+SUM('[3]Mountain Cargo'!$FN$12:$FW$12)</f>
        <v>410</v>
      </c>
      <c r="H23" s="308">
        <f>(F23-G23)/G23</f>
        <v>-9.7560975609756101E-2</v>
      </c>
      <c r="I23" s="309" t="e">
        <f>+F23/$FW$28</f>
        <v>#DIV/0!</v>
      </c>
      <c r="J23" s="306" t="s">
        <v>87</v>
      </c>
      <c r="K23" s="311"/>
      <c r="L23" s="307">
        <f>+'[3]Mountain Cargo'!$GK$64</f>
        <v>11569</v>
      </c>
      <c r="M23" s="150">
        <f>+'[3]Mountain Cargo'!$FW$64</f>
        <v>227743</v>
      </c>
      <c r="N23" s="309">
        <f>(L23-M23)/M23</f>
        <v>-0.94920151223089189</v>
      </c>
      <c r="O23" s="307">
        <f>+SUM('[3]Mountain Cargo'!$GB$64:$GK$64)</f>
        <v>1289583</v>
      </c>
      <c r="P23" s="150">
        <f>+SUM('[3]Mountain Cargo'!$FN$64:$FW$64)</f>
        <v>1501861</v>
      </c>
      <c r="Q23" s="308">
        <f t="shared" ref="Q23" si="7">(O23-P23)/P23</f>
        <v>-0.14134330673744108</v>
      </c>
      <c r="R23" s="309">
        <f>O23/$O$28</f>
        <v>4.1139343882617592E-3</v>
      </c>
      <c r="S23" s="353"/>
    </row>
    <row r="24" spans="1:19" ht="14.1" customHeight="1" x14ac:dyDescent="0.2">
      <c r="A24" s="38"/>
      <c r="B24" s="364"/>
      <c r="C24" s="307"/>
      <c r="E24" s="67"/>
      <c r="F24" s="310"/>
      <c r="I24" s="67"/>
      <c r="J24" s="38"/>
      <c r="K24" s="364"/>
      <c r="L24" s="310"/>
      <c r="N24" s="67"/>
      <c r="O24" s="310"/>
      <c r="P24" s="2"/>
      <c r="Q24" s="3"/>
      <c r="R24" s="67"/>
      <c r="S24" s="284"/>
    </row>
    <row r="25" spans="1:19" ht="14.1" customHeight="1" x14ac:dyDescent="0.2">
      <c r="A25" s="306" t="s">
        <v>130</v>
      </c>
      <c r="B25" s="40"/>
      <c r="C25" s="307">
        <f>+'[3]Misc Cargo'!$GK$19</f>
        <v>3</v>
      </c>
      <c r="D25" s="150">
        <f>+'[3]Misc Cargo'!$FW$19</f>
        <v>94</v>
      </c>
      <c r="E25" s="309">
        <f>(C25-D25)/D25</f>
        <v>-0.96808510638297873</v>
      </c>
      <c r="F25" s="307">
        <f>+SUM('[3]Misc Cargo'!$GB$12:$GK$12)</f>
        <v>5</v>
      </c>
      <c r="G25" s="150">
        <f>+SUM('[3]Misc Cargo'!$FN$12:$FW$12)</f>
        <v>758</v>
      </c>
      <c r="H25" s="308">
        <f>(F25-G25)/G25</f>
        <v>-0.99340369393139838</v>
      </c>
      <c r="I25" s="309" t="e">
        <f>+F25/$FW$28</f>
        <v>#DIV/0!</v>
      </c>
      <c r="J25" s="306" t="s">
        <v>130</v>
      </c>
      <c r="K25" s="40"/>
      <c r="L25" s="307">
        <f>+'[3]Misc Cargo'!$GK$64</f>
        <v>3500</v>
      </c>
      <c r="M25" s="150">
        <f>+'[3]Misc Cargo'!$FW$64</f>
        <v>132947</v>
      </c>
      <c r="N25" s="309">
        <f>(L25-M25)/M25</f>
        <v>-0.97367371960254834</v>
      </c>
      <c r="O25" s="307">
        <f>+SUM('[3]Misc Cargo'!$GB$64:$GK$64)</f>
        <v>33217</v>
      </c>
      <c r="P25" s="150">
        <f>+SUM('[3]Misc Cargo'!$FN$64:$FW$64)</f>
        <v>1062402</v>
      </c>
      <c r="Q25" s="308">
        <f>(O25-P25)/P25</f>
        <v>-0.96873405735305473</v>
      </c>
      <c r="R25" s="309">
        <f>O25/$O$28</f>
        <v>1.0596647022711284E-4</v>
      </c>
      <c r="S25" s="397"/>
    </row>
    <row r="26" spans="1:19" ht="14.1" customHeight="1" thickBot="1" x14ac:dyDescent="0.25">
      <c r="A26" s="398"/>
      <c r="B26" s="399"/>
      <c r="C26" s="400"/>
      <c r="D26" s="402"/>
      <c r="E26" s="403"/>
      <c r="F26" s="400"/>
      <c r="G26" s="402"/>
      <c r="H26" s="401"/>
      <c r="I26" s="403"/>
      <c r="J26" s="306"/>
      <c r="K26" s="40"/>
      <c r="L26" s="313"/>
      <c r="M26" s="315"/>
      <c r="N26" s="316"/>
      <c r="O26" s="313"/>
      <c r="P26" s="315"/>
      <c r="Q26" s="314"/>
      <c r="R26" s="399"/>
      <c r="S26" s="397"/>
    </row>
    <row r="27" spans="1:19" ht="13.5" thickBot="1" x14ac:dyDescent="0.25">
      <c r="D27" s="3"/>
      <c r="F27" s="2"/>
      <c r="G27"/>
      <c r="H27"/>
      <c r="I27"/>
      <c r="J27"/>
      <c r="K27"/>
      <c r="M27"/>
      <c r="N27"/>
    </row>
    <row r="28" spans="1:19" ht="15.75" thickBot="1" x14ac:dyDescent="0.3">
      <c r="B28" s="404" t="s">
        <v>193</v>
      </c>
      <c r="C28" s="405">
        <f>+SUM(C5:C25)</f>
        <v>1289</v>
      </c>
      <c r="D28" s="406">
        <f>SUM(D5:D26)</f>
        <v>1454</v>
      </c>
      <c r="E28" s="407">
        <f>(C28-D28)/D28</f>
        <v>-0.11348005502063274</v>
      </c>
      <c r="F28" s="405">
        <f>+SUM(F5:F25)</f>
        <v>11507</v>
      </c>
      <c r="G28" s="405">
        <f>+SUM(G5:G25)</f>
        <v>12425</v>
      </c>
      <c r="H28" s="408">
        <f>(F28-G28)/G28</f>
        <v>-7.3883299798792754E-2</v>
      </c>
      <c r="I28" s="419"/>
      <c r="J28"/>
      <c r="K28" s="404" t="s">
        <v>193</v>
      </c>
      <c r="L28" s="405">
        <f>+SUM(L5:L25)</f>
        <v>36744855</v>
      </c>
      <c r="M28" s="409">
        <f>SUM(M5:M26)</f>
        <v>35222478</v>
      </c>
      <c r="N28" s="410">
        <f>(L28-M28)/M28</f>
        <v>4.3221746067951268E-2</v>
      </c>
      <c r="O28" s="405">
        <f>+SUM(O5:O25)</f>
        <v>313467080</v>
      </c>
      <c r="P28" s="405">
        <f>+SUM(P5:P25)</f>
        <v>310845957</v>
      </c>
      <c r="Q28" s="408">
        <f t="shared" ref="Q28" si="8">(O28-P28)/P28</f>
        <v>8.4322248399067972E-3</v>
      </c>
      <c r="R28" s="419"/>
    </row>
    <row r="29" spans="1:19" x14ac:dyDescent="0.2">
      <c r="D29" s="3"/>
      <c r="F29"/>
      <c r="G29"/>
      <c r="H29"/>
      <c r="I29"/>
      <c r="J29"/>
      <c r="K29"/>
      <c r="L29"/>
      <c r="M29"/>
      <c r="N29"/>
    </row>
    <row r="30" spans="1:19" x14ac:dyDescent="0.2">
      <c r="D30" s="3"/>
      <c r="F30"/>
      <c r="G30"/>
      <c r="H30"/>
      <c r="I30"/>
      <c r="J30"/>
      <c r="K30"/>
      <c r="L30"/>
      <c r="M30"/>
      <c r="N30"/>
    </row>
    <row r="31" spans="1:19" x14ac:dyDescent="0.2">
      <c r="D31" s="3"/>
      <c r="F31"/>
      <c r="G31"/>
      <c r="H31"/>
      <c r="I31"/>
      <c r="J31"/>
      <c r="K31"/>
      <c r="L31"/>
      <c r="M31"/>
      <c r="N31"/>
    </row>
    <row r="32" spans="1:19" x14ac:dyDescent="0.2">
      <c r="D32" s="3"/>
      <c r="F32"/>
      <c r="G32"/>
      <c r="H32"/>
      <c r="I32"/>
      <c r="J32"/>
      <c r="K32"/>
      <c r="L32"/>
      <c r="M32"/>
      <c r="N32"/>
    </row>
    <row r="33" spans="4:14" x14ac:dyDescent="0.2">
      <c r="D33" s="3"/>
      <c r="F33"/>
      <c r="G33"/>
      <c r="H33"/>
      <c r="I33"/>
      <c r="J33"/>
      <c r="K33"/>
      <c r="L33"/>
      <c r="M33"/>
      <c r="N33"/>
    </row>
    <row r="34" spans="4:14" x14ac:dyDescent="0.2">
      <c r="D34" s="3"/>
      <c r="F34"/>
      <c r="G34"/>
      <c r="H34"/>
      <c r="I34"/>
      <c r="J34"/>
      <c r="K34"/>
      <c r="L34"/>
      <c r="M34"/>
      <c r="N34"/>
    </row>
    <row r="35" spans="4:14" x14ac:dyDescent="0.2">
      <c r="D35" s="3"/>
      <c r="F35"/>
      <c r="G35"/>
      <c r="H35"/>
      <c r="I35"/>
      <c r="J35"/>
      <c r="K35"/>
      <c r="L35"/>
      <c r="M35"/>
      <c r="N35"/>
    </row>
    <row r="36" spans="4:14" x14ac:dyDescent="0.2">
      <c r="D36" s="3"/>
      <c r="F36"/>
      <c r="G36"/>
      <c r="H36"/>
      <c r="I36"/>
      <c r="J36"/>
      <c r="K36"/>
      <c r="L36"/>
      <c r="M36"/>
      <c r="N36"/>
    </row>
    <row r="37" spans="4:14" x14ac:dyDescent="0.2">
      <c r="D37" s="3"/>
      <c r="F37"/>
      <c r="G37"/>
      <c r="H37"/>
      <c r="I37"/>
      <c r="J37"/>
      <c r="K37"/>
      <c r="L37"/>
      <c r="M37"/>
      <c r="N37"/>
    </row>
    <row r="38" spans="4:14" x14ac:dyDescent="0.2">
      <c r="D38" s="3"/>
      <c r="F38"/>
      <c r="G38"/>
      <c r="H38"/>
      <c r="I38"/>
      <c r="J38"/>
      <c r="K38"/>
      <c r="L38"/>
      <c r="M38"/>
      <c r="N38"/>
    </row>
    <row r="39" spans="4:14" x14ac:dyDescent="0.2">
      <c r="D39" s="3"/>
      <c r="F39"/>
      <c r="G39"/>
      <c r="H39"/>
      <c r="I39"/>
      <c r="J39"/>
      <c r="K39"/>
      <c r="L39"/>
      <c r="M39"/>
      <c r="N39"/>
    </row>
    <row r="40" spans="4:14" x14ac:dyDescent="0.2">
      <c r="D40" s="3"/>
      <c r="F40"/>
      <c r="G40"/>
      <c r="H40"/>
      <c r="I40"/>
      <c r="J40"/>
      <c r="K40"/>
      <c r="L40"/>
      <c r="M40"/>
      <c r="N40"/>
    </row>
    <row r="41" spans="4:14" x14ac:dyDescent="0.2">
      <c r="D41" s="3"/>
      <c r="F41"/>
      <c r="G41"/>
      <c r="H41"/>
      <c r="I41"/>
      <c r="J41"/>
      <c r="K41"/>
      <c r="L41"/>
      <c r="M41"/>
      <c r="N41"/>
    </row>
    <row r="42" spans="4:14" x14ac:dyDescent="0.2">
      <c r="D42" s="3"/>
      <c r="F42"/>
      <c r="G42"/>
      <c r="H42"/>
      <c r="I42"/>
      <c r="J42"/>
      <c r="K42"/>
      <c r="L42"/>
      <c r="M42"/>
      <c r="N42"/>
    </row>
    <row r="43" spans="4:14" x14ac:dyDescent="0.2">
      <c r="D43" s="3"/>
      <c r="F43"/>
      <c r="G43"/>
      <c r="H43"/>
      <c r="I43"/>
      <c r="J43"/>
      <c r="K43"/>
      <c r="L43"/>
      <c r="M43"/>
      <c r="N43"/>
    </row>
    <row r="44" spans="4:14" x14ac:dyDescent="0.2">
      <c r="D44" s="3"/>
      <c r="F44"/>
      <c r="G44"/>
      <c r="H44"/>
      <c r="I44"/>
      <c r="J44"/>
      <c r="K44"/>
      <c r="L44"/>
      <c r="M44"/>
      <c r="N44"/>
    </row>
    <row r="45" spans="4:14" x14ac:dyDescent="0.2">
      <c r="D45" s="3"/>
      <c r="F45"/>
      <c r="G45"/>
      <c r="H45"/>
      <c r="I45"/>
      <c r="J45"/>
      <c r="K45"/>
      <c r="L45"/>
      <c r="M45"/>
      <c r="N45"/>
    </row>
    <row r="46" spans="4:14" x14ac:dyDescent="0.2">
      <c r="D46" s="3"/>
      <c r="F46"/>
      <c r="G46"/>
      <c r="H46"/>
      <c r="I46"/>
      <c r="J46"/>
      <c r="K46"/>
      <c r="L46"/>
      <c r="M46"/>
      <c r="N46"/>
    </row>
    <row r="47" spans="4:14" x14ac:dyDescent="0.2">
      <c r="D47" s="3"/>
      <c r="F47"/>
      <c r="G47"/>
      <c r="H47"/>
      <c r="I47"/>
      <c r="J47"/>
      <c r="K47"/>
      <c r="L47"/>
      <c r="M47"/>
      <c r="N47"/>
    </row>
    <row r="48" spans="4:14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F98" s="195"/>
      <c r="K98"/>
    </row>
    <row r="99" spans="4:14" x14ac:dyDescent="0.2">
      <c r="F99" s="195"/>
      <c r="K99"/>
    </row>
    <row r="100" spans="4:14" x14ac:dyDescent="0.2">
      <c r="F100" s="195"/>
      <c r="K100"/>
    </row>
    <row r="101" spans="4:14" x14ac:dyDescent="0.2">
      <c r="F101" s="195"/>
      <c r="K101"/>
    </row>
    <row r="102" spans="4:14" x14ac:dyDescent="0.2">
      <c r="F102" s="195"/>
      <c r="K102"/>
    </row>
    <row r="103" spans="4:14" x14ac:dyDescent="0.2">
      <c r="F103" s="195"/>
      <c r="K103"/>
    </row>
    <row r="104" spans="4:14" x14ac:dyDescent="0.2">
      <c r="F104" s="195"/>
      <c r="K104"/>
    </row>
    <row r="105" spans="4:14" x14ac:dyDescent="0.2">
      <c r="F105" s="195"/>
      <c r="K105"/>
    </row>
    <row r="106" spans="4:14" x14ac:dyDescent="0.2">
      <c r="F106" s="195"/>
      <c r="K106"/>
    </row>
    <row r="107" spans="4:14" x14ac:dyDescent="0.2">
      <c r="F107" s="195"/>
      <c r="K107"/>
    </row>
    <row r="108" spans="4:14" x14ac:dyDescent="0.2">
      <c r="F108" s="195"/>
      <c r="K108"/>
    </row>
    <row r="109" spans="4:14" x14ac:dyDescent="0.2">
      <c r="F109" s="195"/>
      <c r="K109"/>
    </row>
    <row r="110" spans="4:14" x14ac:dyDescent="0.2">
      <c r="F110" s="195"/>
      <c r="K110"/>
    </row>
    <row r="111" spans="4:14" x14ac:dyDescent="0.2">
      <c r="F111" s="195"/>
      <c r="K111"/>
    </row>
    <row r="112" spans="4:14" x14ac:dyDescent="0.2">
      <c r="F112" s="195"/>
      <c r="K112"/>
    </row>
    <row r="113" spans="6:11" x14ac:dyDescent="0.2">
      <c r="F113" s="195"/>
      <c r="K113"/>
    </row>
    <row r="114" spans="6:11" x14ac:dyDescent="0.2">
      <c r="F114" s="195"/>
      <c r="K114"/>
    </row>
    <row r="115" spans="6:11" x14ac:dyDescent="0.2">
      <c r="F115" s="195"/>
      <c r="K115"/>
    </row>
    <row r="116" spans="6:11" x14ac:dyDescent="0.2">
      <c r="F116" s="195"/>
      <c r="K116"/>
    </row>
    <row r="117" spans="6:11" x14ac:dyDescent="0.2">
      <c r="F117" s="195"/>
      <c r="K117"/>
    </row>
    <row r="118" spans="6:11" x14ac:dyDescent="0.2">
      <c r="F118" s="195"/>
      <c r="K118"/>
    </row>
    <row r="119" spans="6:11" x14ac:dyDescent="0.2">
      <c r="F119" s="195"/>
      <c r="K119"/>
    </row>
    <row r="120" spans="6:11" x14ac:dyDescent="0.2">
      <c r="F120" s="195"/>
      <c r="K120"/>
    </row>
    <row r="121" spans="6:11" x14ac:dyDescent="0.2">
      <c r="F121" s="195"/>
      <c r="K121"/>
    </row>
    <row r="122" spans="6:11" x14ac:dyDescent="0.2">
      <c r="F122" s="195"/>
      <c r="K122"/>
    </row>
    <row r="123" spans="6:11" x14ac:dyDescent="0.2">
      <c r="F123" s="195"/>
      <c r="K123"/>
    </row>
    <row r="124" spans="6:11" x14ac:dyDescent="0.2">
      <c r="F124" s="195"/>
      <c r="K124"/>
    </row>
    <row r="125" spans="6:11" x14ac:dyDescent="0.2">
      <c r="F125" s="195"/>
      <c r="K125"/>
    </row>
    <row r="126" spans="6:11" x14ac:dyDescent="0.2">
      <c r="F126" s="195"/>
      <c r="K126"/>
    </row>
    <row r="127" spans="6:11" x14ac:dyDescent="0.2">
      <c r="F127" s="195"/>
      <c r="K127"/>
    </row>
    <row r="128" spans="6:11" x14ac:dyDescent="0.2">
      <c r="F128" s="195"/>
      <c r="K128"/>
    </row>
    <row r="129" spans="6:11" x14ac:dyDescent="0.2">
      <c r="F129" s="195"/>
      <c r="K129"/>
    </row>
    <row r="130" spans="6:11" x14ac:dyDescent="0.2">
      <c r="F130" s="195"/>
      <c r="K130"/>
    </row>
    <row r="131" spans="6:11" x14ac:dyDescent="0.2">
      <c r="F131" s="195"/>
      <c r="K131"/>
    </row>
    <row r="132" spans="6:11" x14ac:dyDescent="0.2">
      <c r="F132" s="195"/>
      <c r="K132"/>
    </row>
    <row r="133" spans="6:11" x14ac:dyDescent="0.2">
      <c r="F133" s="195"/>
      <c r="K133"/>
    </row>
    <row r="134" spans="6:11" x14ac:dyDescent="0.2">
      <c r="F134" s="195"/>
      <c r="K134"/>
    </row>
    <row r="135" spans="6:11" x14ac:dyDescent="0.2">
      <c r="F135" s="195"/>
      <c r="K135"/>
    </row>
    <row r="136" spans="6:11" x14ac:dyDescent="0.2">
      <c r="F136" s="195"/>
      <c r="K136"/>
    </row>
    <row r="137" spans="6:11" x14ac:dyDescent="0.2">
      <c r="F137" s="195"/>
      <c r="K137"/>
    </row>
    <row r="138" spans="6:11" x14ac:dyDescent="0.2">
      <c r="F138" s="195"/>
      <c r="K138"/>
    </row>
    <row r="139" spans="6:11" x14ac:dyDescent="0.2">
      <c r="F139" s="195"/>
      <c r="K139"/>
    </row>
    <row r="140" spans="6:11" x14ac:dyDescent="0.2">
      <c r="F140" s="195"/>
      <c r="K140"/>
    </row>
    <row r="141" spans="6:11" x14ac:dyDescent="0.2">
      <c r="F141" s="195"/>
      <c r="K141"/>
    </row>
    <row r="142" spans="6:11" x14ac:dyDescent="0.2">
      <c r="F142" s="195"/>
      <c r="K142"/>
    </row>
    <row r="143" spans="6:11" x14ac:dyDescent="0.2">
      <c r="F143" s="195"/>
      <c r="K143"/>
    </row>
    <row r="144" spans="6:11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</sheetData>
  <mergeCells count="7">
    <mergeCell ref="L3:R3"/>
    <mergeCell ref="L19:R19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October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2019-08-13T20:15:45Z</cp:lastPrinted>
  <dcterms:created xsi:type="dcterms:W3CDTF">2007-09-24T12:26:24Z</dcterms:created>
  <dcterms:modified xsi:type="dcterms:W3CDTF">2020-01-28T17:41:59Z</dcterms:modified>
</cp:coreProperties>
</file>