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F92D22D7-E343-4968-B69B-A0C4E919CF8C}" xr6:coauthVersionLast="44" xr6:coauthVersionMax="44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B21" i="1"/>
  <c r="P61" i="9" l="1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7" i="8"/>
  <c r="L27" i="8"/>
  <c r="K27" i="8"/>
  <c r="I27" i="8"/>
  <c r="H27" i="8"/>
  <c r="G27" i="8"/>
  <c r="E27" i="8"/>
  <c r="D27" i="8"/>
  <c r="C27" i="8"/>
  <c r="B27" i="8"/>
  <c r="M26" i="8"/>
  <c r="L26" i="8"/>
  <c r="K26" i="8"/>
  <c r="I26" i="8"/>
  <c r="H26" i="8"/>
  <c r="G26" i="8"/>
  <c r="E26" i="8"/>
  <c r="D26" i="8"/>
  <c r="C26" i="8"/>
  <c r="B26" i="8"/>
  <c r="M22" i="8"/>
  <c r="L22" i="8"/>
  <c r="K22" i="8"/>
  <c r="I22" i="8"/>
  <c r="H22" i="8"/>
  <c r="G22" i="8"/>
  <c r="E22" i="8"/>
  <c r="D22" i="8"/>
  <c r="C22" i="8"/>
  <c r="B22" i="8"/>
  <c r="M21" i="8"/>
  <c r="L21" i="8"/>
  <c r="K21" i="8"/>
  <c r="I21" i="8"/>
  <c r="H21" i="8"/>
  <c r="G21" i="8"/>
  <c r="E21" i="8"/>
  <c r="D21" i="8"/>
  <c r="C21" i="8"/>
  <c r="B21" i="8"/>
  <c r="M17" i="8"/>
  <c r="L17" i="8"/>
  <c r="K17" i="8"/>
  <c r="I17" i="8"/>
  <c r="H17" i="8"/>
  <c r="G17" i="8"/>
  <c r="E17" i="8"/>
  <c r="D17" i="8"/>
  <c r="C17" i="8"/>
  <c r="B17" i="8"/>
  <c r="M16" i="8"/>
  <c r="L16" i="8"/>
  <c r="K16" i="8"/>
  <c r="I16" i="8"/>
  <c r="H16" i="8"/>
  <c r="G16" i="8"/>
  <c r="E16" i="8"/>
  <c r="D16" i="8"/>
  <c r="C16" i="8"/>
  <c r="B16" i="8"/>
  <c r="M9" i="8"/>
  <c r="M8" i="8"/>
  <c r="M5" i="8"/>
  <c r="L5" i="8"/>
  <c r="K5" i="8"/>
  <c r="J5" i="8"/>
  <c r="I5" i="8"/>
  <c r="H5" i="8"/>
  <c r="G5" i="8"/>
  <c r="E5" i="8"/>
  <c r="D5" i="8"/>
  <c r="C5" i="8"/>
  <c r="B5" i="8"/>
  <c r="M4" i="8"/>
  <c r="L4" i="8"/>
  <c r="K4" i="8"/>
  <c r="J4" i="8"/>
  <c r="I4" i="8"/>
  <c r="H4" i="8"/>
  <c r="G4" i="8"/>
  <c r="E4" i="8"/>
  <c r="D4" i="8"/>
  <c r="C4" i="8"/>
  <c r="B4" i="8"/>
  <c r="O29" i="7"/>
  <c r="M28" i="7"/>
  <c r="L28" i="7"/>
  <c r="J29" i="7"/>
  <c r="C28" i="7"/>
  <c r="B28" i="7"/>
  <c r="E29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D28" i="7" l="1"/>
  <c r="N28" i="7"/>
  <c r="P21" i="17" l="1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C10" i="8"/>
  <c r="C23" i="8" l="1"/>
  <c r="C18" i="8"/>
  <c r="C28" i="8"/>
  <c r="C32" i="8"/>
  <c r="C6" i="8"/>
  <c r="C12" i="8" s="1"/>
  <c r="C31" i="8"/>
  <c r="C33" i="8" l="1"/>
  <c r="O28" i="7"/>
  <c r="M27" i="7"/>
  <c r="L27" i="7"/>
  <c r="N27" i="7" s="1"/>
  <c r="J28" i="7"/>
  <c r="C27" i="7"/>
  <c r="B27" i="7"/>
  <c r="E28" i="7"/>
  <c r="D27" i="7" l="1"/>
  <c r="O27" i="7"/>
  <c r="E27" i="7"/>
  <c r="J16" i="3" l="1"/>
  <c r="J17" i="3"/>
  <c r="O26" i="7"/>
  <c r="M26" i="7"/>
  <c r="L26" i="7"/>
  <c r="J27" i="7"/>
  <c r="E26" i="7"/>
  <c r="C26" i="7"/>
  <c r="B26" i="7"/>
  <c r="D20" i="1" l="1"/>
  <c r="G20" i="1" s="1"/>
  <c r="D26" i="7"/>
  <c r="N26" i="7"/>
  <c r="O25" i="7"/>
  <c r="M25" i="7"/>
  <c r="L25" i="7"/>
  <c r="J26" i="7"/>
  <c r="E25" i="7"/>
  <c r="C25" i="7"/>
  <c r="B25" i="7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20" i="3"/>
  <c r="J21" i="3"/>
  <c r="H35" i="2"/>
  <c r="E44" i="9"/>
  <c r="N44" i="9"/>
  <c r="Q44" i="9"/>
  <c r="H44" i="9"/>
  <c r="H43" i="2"/>
  <c r="H45" i="2" l="1"/>
  <c r="M23" i="7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G21" i="4" l="1"/>
  <c r="D21" i="15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32" i="7"/>
  <c r="P32" i="7" s="1"/>
  <c r="I32" i="7"/>
  <c r="K32" i="7" s="1"/>
  <c r="D32" i="7"/>
  <c r="F32" i="7" s="1"/>
  <c r="I31" i="7"/>
  <c r="K31" i="7" s="1"/>
  <c r="I30" i="7"/>
  <c r="K30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G21" i="1" s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P17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P10" i="16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P9" i="16"/>
  <c r="B29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29" i="7" l="1"/>
  <c r="F27" i="7"/>
  <c r="F26" i="7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D33" i="1" s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G7" i="1" s="1"/>
  <c r="J17" i="2"/>
  <c r="K17" i="2" s="1"/>
  <c r="J12" i="3"/>
  <c r="J44" i="3"/>
  <c r="E45" i="2"/>
  <c r="M33" i="8"/>
  <c r="E21" i="4"/>
  <c r="D17" i="5"/>
  <c r="F45" i="3"/>
  <c r="G42" i="15"/>
  <c r="D18" i="1"/>
  <c r="G18" i="1" s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G19" i="1" s="1"/>
  <c r="J6" i="2"/>
  <c r="K6" i="2" s="1"/>
  <c r="D5" i="1" s="1"/>
  <c r="G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D29" i="7" l="1"/>
  <c r="F29" i="7" s="1"/>
  <c r="F28" i="7"/>
  <c r="D22" i="7"/>
  <c r="F22" i="7" s="1"/>
  <c r="B8" i="1"/>
  <c r="F18" i="1"/>
  <c r="I7" i="1"/>
  <c r="I21" i="1"/>
  <c r="I20" i="1"/>
  <c r="M21" i="15"/>
  <c r="D6" i="1"/>
  <c r="G6" i="1" s="1"/>
  <c r="C8" i="1"/>
  <c r="C33" i="1" s="1"/>
  <c r="C33" i="7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B33" i="7"/>
  <c r="L42" i="4"/>
  <c r="M42" i="4" s="1"/>
  <c r="M42" i="15"/>
  <c r="J23" i="3"/>
  <c r="B17" i="1"/>
  <c r="D17" i="1" s="1"/>
  <c r="G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G16" i="1" s="1"/>
  <c r="F5" i="1"/>
  <c r="E6" i="5"/>
  <c r="F6" i="5" s="1"/>
  <c r="I6" i="5" s="1"/>
  <c r="C7" i="5"/>
  <c r="E5" i="5"/>
  <c r="I6" i="1" l="1"/>
  <c r="I19" i="1"/>
  <c r="D10" i="1"/>
  <c r="G10" i="1" s="1"/>
  <c r="I18" i="1"/>
  <c r="D8" i="1"/>
  <c r="F8" i="1" s="1"/>
  <c r="F6" i="1"/>
  <c r="C11" i="1"/>
  <c r="B32" i="1"/>
  <c r="D32" i="1" s="1"/>
  <c r="B11" i="1"/>
  <c r="L29" i="7" s="1"/>
  <c r="D33" i="7"/>
  <c r="D28" i="1"/>
  <c r="G28" i="1" s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I5" i="1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H28" i="7" l="1"/>
  <c r="M29" i="7"/>
  <c r="G29" i="7"/>
  <c r="P28" i="7"/>
  <c r="G28" i="7"/>
  <c r="G27" i="7"/>
  <c r="H26" i="7"/>
  <c r="H27" i="7"/>
  <c r="P26" i="7"/>
  <c r="G26" i="7"/>
  <c r="G25" i="7"/>
  <c r="H24" i="7"/>
  <c r="H25" i="7"/>
  <c r="I10" i="1"/>
  <c r="G24" i="7"/>
  <c r="P24" i="7"/>
  <c r="F10" i="1"/>
  <c r="I23" i="7"/>
  <c r="K23" i="7" s="1"/>
  <c r="N23" i="7"/>
  <c r="P23" i="7" s="1"/>
  <c r="C32" i="1"/>
  <c r="N22" i="7"/>
  <c r="P22" i="7" s="1"/>
  <c r="H21" i="5"/>
  <c r="F28" i="1"/>
  <c r="G8" i="1"/>
  <c r="I8" i="1" s="1"/>
  <c r="F33" i="7"/>
  <c r="I17" i="1"/>
  <c r="D11" i="1"/>
  <c r="F11" i="1" s="1"/>
  <c r="N21" i="7"/>
  <c r="L33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K6" i="5"/>
  <c r="F20" i="5"/>
  <c r="I20" i="5" s="1"/>
  <c r="E22" i="5"/>
  <c r="F12" i="5"/>
  <c r="H12" i="5" s="1"/>
  <c r="H10" i="5"/>
  <c r="H29" i="7" l="1"/>
  <c r="I29" i="7" s="1"/>
  <c r="K29" i="7" s="1"/>
  <c r="N29" i="7"/>
  <c r="P29" i="7" s="1"/>
  <c r="I28" i="7"/>
  <c r="K28" i="7" s="1"/>
  <c r="I26" i="7"/>
  <c r="K26" i="7" s="1"/>
  <c r="M33" i="7"/>
  <c r="I27" i="7"/>
  <c r="K27" i="7" s="1"/>
  <c r="P27" i="7"/>
  <c r="I24" i="7"/>
  <c r="K24" i="7" s="1"/>
  <c r="H33" i="7"/>
  <c r="I25" i="7"/>
  <c r="K25" i="7" s="1"/>
  <c r="P25" i="7"/>
  <c r="I22" i="7"/>
  <c r="K22" i="7" s="1"/>
  <c r="G11" i="1"/>
  <c r="I11" i="1" s="1"/>
  <c r="I28" i="1"/>
  <c r="D34" i="1"/>
  <c r="E33" i="1" s="1"/>
  <c r="K11" i="5"/>
  <c r="P21" i="7"/>
  <c r="I21" i="7"/>
  <c r="G33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N33" i="7" l="1"/>
  <c r="P33" i="7" s="1"/>
  <c r="I33" i="7"/>
  <c r="K21" i="5"/>
  <c r="E32" i="1"/>
  <c r="K21" i="7"/>
  <c r="K20" i="5"/>
  <c r="I22" i="5"/>
  <c r="K22" i="5" s="1"/>
  <c r="K33" i="7" l="1"/>
  <c r="H52" i="9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</calcChain>
</file>

<file path=xl/sharedStrings.xml><?xml version="1.0" encoding="utf-8"?>
<sst xmlns="http://schemas.openxmlformats.org/spreadsheetml/2006/main" count="598" uniqueCount="232">
  <si>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</si>
  <si>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</si>
  <si>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</si>
  <si>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</si>
  <si>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</si>
  <si>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</si>
  <si>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</si>
  <si>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</si>
  <si>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</si>
  <si>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</si>
  <si>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</si>
  <si>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</si>
  <si>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</si>
  <si>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</si>
  <si>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</si>
  <si>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</si>
  <si>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</si>
  <si>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</si>
  <si>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</si>
  <si>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</si>
  <si>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</si>
  <si>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</si>
  <si>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</si>
  <si>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</si>
  <si>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</si>
  <si>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</si>
  <si>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</si>
  <si>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</si>
  <si>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</si>
  <si>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</si>
  <si>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</si>
  <si>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</si>
  <si>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</si>
  <si>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</si>
  <si>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</si>
  <si>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</si>
  <si>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</si>
  <si>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</si>
  <si>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</si>
  <si>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</si>
  <si>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</si>
  <si>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</si>
  <si>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</si>
  <si>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</si>
  <si>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</si>
  <si>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</si>
  <si>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</si>
  <si>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</si>
  <si>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</si>
  <si>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</si>
  <si>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</si>
  <si>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</si>
  <si>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</si>
  <si>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</si>
  <si>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</si>
  <si>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</si>
  <si>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</si>
  <si>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</si>
  <si>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</si>
  <si>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</si>
  <si>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</si>
  <si>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</si>
  <si>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</si>
  <si>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</si>
  <si>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</si>
  <si>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</si>
  <si>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</si>
  <si>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</si>
  <si>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</si>
  <si>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</si>
  <si>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</si>
  <si>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</si>
  <si>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</si>
  <si>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</si>
  <si>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</si>
  <si>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</si>
  <si>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</si>
  <si>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</si>
  <si>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</si>
  <si>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</si>
  <si>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</si>
  <si>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</si>
  <si>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</si>
  <si>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</si>
  <si>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</si>
  <si>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</si>
  <si>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</si>
  <si>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</si>
  <si>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</si>
  <si>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</si>
  <si>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</si>
  <si>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</si>
  <si>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</si>
  <si>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</si>
  <si>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</si>
  <si>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</si>
  <si>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</si>
  <si>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</si>
  <si>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</si>
  <si>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</si>
  <si>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</si>
  <si>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</si>
  <si>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</si>
  <si>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</si>
  <si>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</si>
  <si>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</si>
  <si>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</si>
  <si>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</si>
  <si>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</si>
  <si>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</si>
  <si>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</si>
  <si>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</si>
  <si>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</si>
  <si>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</si>
  <si>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</si>
  <si>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</si>
  <si>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</si>
  <si>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</si>
  <si>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</si>
  <si>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</si>
  <si>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</si>
  <si>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</si>
  <si>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</si>
  <si>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</si>
  <si>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</si>
  <si>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</si>
  <si>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</si>
  <si>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</si>
  <si>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</si>
  <si>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</si>
  <si>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</si>
  <si>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</si>
  <si>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</si>
  <si>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</si>
  <si>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</si>
  <si>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</si>
  <si>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</si>
  <si>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</si>
  <si>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</si>
  <si>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</si>
  <si>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</si>
  <si>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</si>
  <si>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</si>
  <si>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</si>
  <si>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</si>
  <si>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</si>
  <si>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</si>
  <si>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</si>
  <si>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</si>
  <si>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</si>
  <si>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</si>
  <si>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</si>
  <si>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</si>
  <si>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</si>
  <si>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</si>
  <si>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</si>
  <si>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</si>
  <si>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</si>
  <si>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</si>
  <si>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</si>
  <si>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</si>
  <si>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</si>
  <si>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</si>
  <si>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</si>
  <si>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</si>
  <si>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</si>
  <si>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</si>
  <si>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</si>
  <si>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</si>
  <si>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</si>
  <si>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</si>
  <si>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</si>
  <si>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</si>
  <si>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</si>
  <si>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</si>
  <si>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</si>
  <si>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</si>
  <si>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</si>
  <si>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</si>
  <si>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</si>
  <si>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</si>
  <si>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</si>
  <si>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</si>
  <si>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</si>
  <si>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</si>
  <si>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</si>
  <si>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</si>
  <si>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</si>
  <si>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</si>
  <si>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</si>
  <si>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</si>
  <si>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</si>
  <si>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</si>
  <si>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</si>
  <si>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</si>
  <si>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</si>
  <si>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</si>
  <si>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</si>
  <si>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</si>
  <si>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</si>
  <si>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</si>
  <si>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</si>
  <si>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</si>
  <si>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</si>
  <si>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</si>
  <si>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</si>
  <si>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</si>
  <si>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</si>
  <si>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</si>
  <si>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</si>
  <si>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</si>
  <si>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</si>
  <si>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</si>
  <si>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</si>
  <si>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</si>
  <si>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</si>
  <si>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</si>
  <si>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</si>
  <si>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</si>
  <si>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</si>
  <si>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</si>
  <si>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</si>
  <si>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</si>
  <si>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</si>
  <si>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</si>
  <si>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</si>
  <si>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</si>
  <si>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</si>
  <si>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</si>
  <si>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</si>
  <si>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Atlas Air -Amazon</t>
  </si>
  <si>
    <t>September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</si>
</sst>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16" xfId="0" applyFont="1" applyBorder="1"/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September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8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ly%202017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ugust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2377733</v>
          </cell>
          <cell r="G5">
            <v>22244784</v>
          </cell>
        </row>
        <row r="6">
          <cell r="D6">
            <v>565612</v>
          </cell>
          <cell r="G6">
            <v>5710778</v>
          </cell>
        </row>
        <row r="7">
          <cell r="D7">
            <v>342</v>
          </cell>
          <cell r="G7">
            <v>4048</v>
          </cell>
        </row>
        <row r="10">
          <cell r="D10">
            <v>97723</v>
          </cell>
          <cell r="G10">
            <v>942442</v>
          </cell>
        </row>
        <row r="16">
          <cell r="D16">
            <v>18929</v>
          </cell>
          <cell r="G16">
            <v>173133</v>
          </cell>
        </row>
        <row r="17">
          <cell r="D17">
            <v>11400</v>
          </cell>
          <cell r="G17">
            <v>113471</v>
          </cell>
        </row>
        <row r="18">
          <cell r="D18">
            <v>6</v>
          </cell>
          <cell r="G18">
            <v>35</v>
          </cell>
        </row>
        <row r="19">
          <cell r="D19">
            <v>1170</v>
          </cell>
          <cell r="G19">
            <v>10888</v>
          </cell>
        </row>
        <row r="20">
          <cell r="D20">
            <v>1891</v>
          </cell>
          <cell r="G20">
            <v>16983</v>
          </cell>
        </row>
        <row r="21">
          <cell r="D21">
            <v>48</v>
          </cell>
          <cell r="G21">
            <v>513</v>
          </cell>
        </row>
        <row r="27">
          <cell r="D27">
            <v>15440.657581320509</v>
          </cell>
          <cell r="G27">
            <v>150746.43102469103</v>
          </cell>
        </row>
        <row r="28">
          <cell r="D28">
            <v>1371.09724360224</v>
          </cell>
          <cell r="G28">
            <v>18548.472466325336</v>
          </cell>
        </row>
        <row r="32">
          <cell r="B32">
            <v>845051</v>
          </cell>
          <cell r="D32">
            <v>8316579</v>
          </cell>
        </row>
        <row r="33">
          <cell r="B33">
            <v>628595</v>
          </cell>
          <cell r="D33">
            <v>5629385</v>
          </cell>
        </row>
      </sheetData>
      <sheetData sheetId="1"/>
      <sheetData sheetId="2"/>
      <sheetData sheetId="3"/>
      <sheetData sheetId="4"/>
      <sheetData sheetId="5">
        <row r="29">
          <cell r="D29">
            <v>219794</v>
          </cell>
          <cell r="I29">
            <v>2821616</v>
          </cell>
          <cell r="N29">
            <v>3041410</v>
          </cell>
        </row>
      </sheetData>
      <sheetData sheetId="6"/>
      <sheetData sheetId="7">
        <row r="5">
          <cell r="F5">
            <v>7062.5407022916897</v>
          </cell>
          <cell r="I5">
            <v>81389.280968880499</v>
          </cell>
        </row>
        <row r="6">
          <cell r="F6">
            <v>866.89485132712002</v>
          </cell>
          <cell r="I6">
            <v>8292.1742790925491</v>
          </cell>
        </row>
        <row r="10">
          <cell r="F10">
            <v>8378.1168790288193</v>
          </cell>
          <cell r="I10">
            <v>69357.150055810533</v>
          </cell>
        </row>
        <row r="11">
          <cell r="F11">
            <v>504.20239227511996</v>
          </cell>
          <cell r="I11">
            <v>10256.298187232789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15440.657581320509</v>
          </cell>
        </row>
        <row r="21">
          <cell r="F21">
            <v>1371.09724360224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128004</v>
          </cell>
          <cell r="C26">
            <v>132185</v>
          </cell>
          <cell r="L26">
            <v>1762626</v>
          </cell>
          <cell r="M26">
            <v>1753039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139361</v>
          </cell>
          <cell r="C27">
            <v>126713</v>
          </cell>
          <cell r="L27">
            <v>1834236</v>
          </cell>
          <cell r="M27">
            <v>1830772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263710</v>
          </cell>
          <cell r="I27">
            <v>3397860</v>
          </cell>
          <cell r="N27">
            <v>3661570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267158</v>
          </cell>
          <cell r="I28">
            <v>3401041</v>
          </cell>
          <cell r="N28">
            <v>3668199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19796795</v>
          </cell>
        </row>
        <row r="6">
          <cell r="G6">
            <v>5291020</v>
          </cell>
        </row>
        <row r="7">
          <cell r="G7">
            <v>3405</v>
          </cell>
        </row>
        <row r="10">
          <cell r="G10">
            <v>856360</v>
          </cell>
        </row>
        <row r="16">
          <cell r="G16">
            <v>149803</v>
          </cell>
        </row>
        <row r="17">
          <cell r="G17">
            <v>101535</v>
          </cell>
        </row>
        <row r="18">
          <cell r="G18">
            <v>28</v>
          </cell>
        </row>
        <row r="19">
          <cell r="G19">
            <v>10070</v>
          </cell>
        </row>
        <row r="20">
          <cell r="G20">
            <v>13681</v>
          </cell>
        </row>
        <row r="21">
          <cell r="G21">
            <v>830</v>
          </cell>
        </row>
        <row r="27">
          <cell r="G27">
            <v>139488.12189095555</v>
          </cell>
        </row>
        <row r="28">
          <cell r="G28">
            <v>16984.334021121387</v>
          </cell>
        </row>
        <row r="32">
          <cell r="D32">
            <v>7845413</v>
          </cell>
        </row>
        <row r="33">
          <cell r="D33">
            <v>4665101</v>
          </cell>
        </row>
      </sheetData>
      <sheetData sheetId="1"/>
      <sheetData sheetId="2"/>
      <sheetData sheetId="3"/>
      <sheetData sheetId="4"/>
      <sheetData sheetId="5">
        <row r="28">
          <cell r="B28">
            <v>139687</v>
          </cell>
          <cell r="C28">
            <v>136180</v>
          </cell>
          <cell r="L28">
            <v>1876007</v>
          </cell>
          <cell r="M28">
            <v>1863098</v>
          </cell>
        </row>
      </sheetData>
      <sheetData sheetId="6"/>
      <sheetData sheetId="7">
        <row r="5">
          <cell r="I5">
            <v>78090.910114869184</v>
          </cell>
        </row>
        <row r="6">
          <cell r="I6">
            <v>6864.636990483581</v>
          </cell>
        </row>
        <row r="10">
          <cell r="I10">
            <v>61397.21177608634</v>
          </cell>
        </row>
        <row r="11">
          <cell r="I11">
            <v>10119.69703063781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139488.12189095555</v>
          </cell>
        </row>
        <row r="21">
          <cell r="I21">
            <v>16984.334021121387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V4">
            <v>90</v>
          </cell>
        </row>
        <row r="5">
          <cell r="FV5">
            <v>90</v>
          </cell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</row>
        <row r="22">
          <cell r="FV22">
            <v>401</v>
          </cell>
        </row>
        <row r="23">
          <cell r="FV23">
            <v>403</v>
          </cell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</row>
      </sheetData>
      <sheetData sheetId="3"/>
      <sheetData sheetId="4">
        <row r="15">
          <cell r="FR15">
            <v>20</v>
          </cell>
          <cell r="FS15">
            <v>28</v>
          </cell>
          <cell r="FT15">
            <v>26</v>
          </cell>
          <cell r="FU15">
            <v>31</v>
          </cell>
          <cell r="FV15">
            <v>21</v>
          </cell>
        </row>
        <row r="16">
          <cell r="FR16">
            <v>20</v>
          </cell>
          <cell r="FS16">
            <v>28</v>
          </cell>
          <cell r="FT16">
            <v>26</v>
          </cell>
          <cell r="FU16">
            <v>31</v>
          </cell>
          <cell r="FV16">
            <v>21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</row>
        <row r="32">
          <cell r="FR32">
            <v>3781</v>
          </cell>
          <cell r="FS32">
            <v>6449</v>
          </cell>
          <cell r="FT32">
            <v>6560</v>
          </cell>
          <cell r="FU32">
            <v>7850</v>
          </cell>
          <cell r="FV32">
            <v>4862</v>
          </cell>
        </row>
        <row r="33">
          <cell r="FR33">
            <v>3802</v>
          </cell>
          <cell r="FS33">
            <v>6319</v>
          </cell>
          <cell r="FT33">
            <v>4769</v>
          </cell>
          <cell r="FU33">
            <v>7190</v>
          </cell>
          <cell r="FV33">
            <v>4458</v>
          </cell>
        </row>
        <row r="37">
          <cell r="FR37">
            <v>16</v>
          </cell>
          <cell r="FS37">
            <v>6</v>
          </cell>
          <cell r="FT37">
            <v>7</v>
          </cell>
          <cell r="FU37">
            <v>24</v>
          </cell>
          <cell r="FV37">
            <v>8</v>
          </cell>
        </row>
        <row r="38">
          <cell r="FR38">
            <v>13</v>
          </cell>
          <cell r="FS38">
            <v>8</v>
          </cell>
          <cell r="FT38">
            <v>6</v>
          </cell>
          <cell r="FU38">
            <v>13</v>
          </cell>
          <cell r="FV38">
            <v>10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</row>
        <row r="47">
          <cell r="FV47">
            <v>430894</v>
          </cell>
        </row>
        <row r="52">
          <cell r="FV52">
            <v>207770</v>
          </cell>
        </row>
      </sheetData>
      <sheetData sheetId="5"/>
      <sheetData sheetId="6">
        <row r="4">
          <cell r="FV4">
            <v>60</v>
          </cell>
        </row>
        <row r="5">
          <cell r="FV5">
            <v>60</v>
          </cell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</row>
        <row r="22">
          <cell r="FV22">
            <v>9994</v>
          </cell>
        </row>
        <row r="23">
          <cell r="FV23">
            <v>9758</v>
          </cell>
        </row>
        <row r="27">
          <cell r="FV27">
            <v>281</v>
          </cell>
        </row>
        <row r="28">
          <cell r="FV28">
            <v>371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</row>
        <row r="47">
          <cell r="FV47">
            <v>23986</v>
          </cell>
        </row>
        <row r="48">
          <cell r="FV48">
            <v>5971</v>
          </cell>
        </row>
        <row r="52">
          <cell r="FV52">
            <v>5465</v>
          </cell>
        </row>
        <row r="53">
          <cell r="FV53">
            <v>4317</v>
          </cell>
        </row>
      </sheetData>
      <sheetData sheetId="7"/>
      <sheetData sheetId="8">
        <row r="4">
          <cell r="FV4">
            <v>593</v>
          </cell>
        </row>
        <row r="5">
          <cell r="FV5">
            <v>595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</row>
        <row r="22">
          <cell r="FV22">
            <v>66896</v>
          </cell>
        </row>
        <row r="23">
          <cell r="FV23">
            <v>66689</v>
          </cell>
        </row>
        <row r="27">
          <cell r="FV27">
            <v>3144</v>
          </cell>
        </row>
        <row r="28">
          <cell r="FV28">
            <v>3609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</row>
        <row r="47">
          <cell r="FV47">
            <v>41110</v>
          </cell>
        </row>
        <row r="48">
          <cell r="FV48">
            <v>15706</v>
          </cell>
        </row>
        <row r="52">
          <cell r="FV52">
            <v>10085</v>
          </cell>
        </row>
        <row r="53">
          <cell r="FV53">
            <v>51556</v>
          </cell>
        </row>
      </sheetData>
      <sheetData sheetId="9"/>
      <sheetData sheetId="10">
        <row r="4">
          <cell r="FV4">
            <v>514</v>
          </cell>
        </row>
        <row r="5">
          <cell r="FV5">
            <v>508</v>
          </cell>
        </row>
        <row r="8">
          <cell r="FV8">
            <v>77</v>
          </cell>
        </row>
        <row r="9">
          <cell r="FV9">
            <v>75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  <cell r="FU15">
            <v>5</v>
          </cell>
          <cell r="FV15">
            <v>7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  <cell r="FU16">
            <v>5</v>
          </cell>
          <cell r="FV16">
            <v>7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</row>
        <row r="22">
          <cell r="FV22">
            <v>64572</v>
          </cell>
        </row>
        <row r="23">
          <cell r="FV23">
            <v>66912</v>
          </cell>
        </row>
        <row r="27">
          <cell r="FV27">
            <v>1423</v>
          </cell>
        </row>
        <row r="28">
          <cell r="FV28">
            <v>1542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  <cell r="FU32">
            <v>591</v>
          </cell>
          <cell r="FV32">
            <v>422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  <cell r="FV33">
            <v>608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  <cell r="FU37">
            <v>6</v>
          </cell>
          <cell r="FV37">
            <v>6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  <cell r="FV38">
            <v>3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</row>
        <row r="47">
          <cell r="FV47">
            <v>97056</v>
          </cell>
        </row>
        <row r="48">
          <cell r="FV48">
            <v>198181</v>
          </cell>
        </row>
        <row r="52">
          <cell r="FV52">
            <v>44060</v>
          </cell>
        </row>
        <row r="53">
          <cell r="FV53">
            <v>335356</v>
          </cell>
        </row>
        <row r="70">
          <cell r="FV70">
            <v>61054</v>
          </cell>
        </row>
        <row r="71">
          <cell r="FV71">
            <v>5858</v>
          </cell>
        </row>
        <row r="73">
          <cell r="FV73">
            <v>489</v>
          </cell>
        </row>
        <row r="74">
          <cell r="FV74">
            <v>119</v>
          </cell>
        </row>
      </sheetData>
      <sheetData sheetId="11">
        <row r="4">
          <cell r="FV4">
            <v>72</v>
          </cell>
        </row>
        <row r="5">
          <cell r="FV5">
            <v>72</v>
          </cell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</row>
        <row r="22">
          <cell r="FV22">
            <v>392</v>
          </cell>
        </row>
        <row r="23">
          <cell r="FV23">
            <v>398</v>
          </cell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</row>
      </sheetData>
      <sheetData sheetId="12">
        <row r="15">
          <cell r="FR15">
            <v>4</v>
          </cell>
          <cell r="FS15">
            <v>11</v>
          </cell>
          <cell r="FT15">
            <v>18</v>
          </cell>
          <cell r="FU15">
            <v>18</v>
          </cell>
          <cell r="FV15">
            <v>8</v>
          </cell>
        </row>
        <row r="16">
          <cell r="FR16">
            <v>4</v>
          </cell>
          <cell r="FS16">
            <v>11</v>
          </cell>
          <cell r="FT16">
            <v>18</v>
          </cell>
          <cell r="FU16">
            <v>18</v>
          </cell>
          <cell r="FV16">
            <v>9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</row>
        <row r="32">
          <cell r="FR32">
            <v>730</v>
          </cell>
          <cell r="FS32">
            <v>2566</v>
          </cell>
          <cell r="FT32">
            <v>4485</v>
          </cell>
          <cell r="FU32">
            <v>4458</v>
          </cell>
          <cell r="FV32">
            <v>1784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  <cell r="FV33">
            <v>2146</v>
          </cell>
        </row>
        <row r="37">
          <cell r="FR37">
            <v>5</v>
          </cell>
          <cell r="FT37">
            <v>4</v>
          </cell>
          <cell r="FU37">
            <v>6</v>
          </cell>
          <cell r="FV37">
            <v>3</v>
          </cell>
        </row>
        <row r="38">
          <cell r="FR38">
            <v>4</v>
          </cell>
          <cell r="FT38">
            <v>5</v>
          </cell>
          <cell r="FU38">
            <v>6</v>
          </cell>
          <cell r="FV38">
            <v>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</row>
        <row r="47">
          <cell r="FV47">
            <v>138956</v>
          </cell>
        </row>
        <row r="52">
          <cell r="FV52">
            <v>39685</v>
          </cell>
        </row>
      </sheetData>
      <sheetData sheetId="13">
        <row r="4">
          <cell r="FV4">
            <v>5790</v>
          </cell>
        </row>
        <row r="5">
          <cell r="FV5">
            <v>5787</v>
          </cell>
        </row>
        <row r="9">
          <cell r="FV9">
            <v>6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  <cell r="FU15">
            <v>502</v>
          </cell>
          <cell r="FV15">
            <v>452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  <cell r="FU16">
            <v>505</v>
          </cell>
          <cell r="FV16">
            <v>452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</row>
        <row r="22">
          <cell r="FV22">
            <v>749124</v>
          </cell>
        </row>
        <row r="23">
          <cell r="FV23">
            <v>756647</v>
          </cell>
        </row>
        <row r="27">
          <cell r="FV27">
            <v>29802</v>
          </cell>
        </row>
        <row r="28">
          <cell r="FV28">
            <v>29621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  <cell r="FU32">
            <v>89576</v>
          </cell>
          <cell r="FV32">
            <v>73777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  <cell r="FU33">
            <v>86560</v>
          </cell>
          <cell r="FV33">
            <v>74010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  <cell r="FU37">
            <v>2213</v>
          </cell>
          <cell r="FV37">
            <v>2047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  <cell r="FU38">
            <v>2316</v>
          </cell>
          <cell r="FV38">
            <v>1865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</row>
        <row r="47">
          <cell r="FV47">
            <v>4747502</v>
          </cell>
        </row>
        <row r="48">
          <cell r="FV48">
            <v>1414062</v>
          </cell>
        </row>
        <row r="52">
          <cell r="FV52">
            <v>2098561</v>
          </cell>
        </row>
        <row r="53">
          <cell r="FV53">
            <v>1607553</v>
          </cell>
        </row>
        <row r="70">
          <cell r="FV70">
            <v>377567</v>
          </cell>
        </row>
        <row r="71">
          <cell r="FV71">
            <v>379080</v>
          </cell>
        </row>
        <row r="73">
          <cell r="FV73">
            <v>36931</v>
          </cell>
        </row>
        <row r="74">
          <cell r="FV74">
            <v>37079</v>
          </cell>
        </row>
      </sheetData>
      <sheetData sheetId="14">
        <row r="4">
          <cell r="FV4">
            <v>150</v>
          </cell>
        </row>
        <row r="5">
          <cell r="FV5">
            <v>150</v>
          </cell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</row>
        <row r="22">
          <cell r="FV22">
            <v>20178</v>
          </cell>
        </row>
        <row r="23">
          <cell r="FV23">
            <v>20727</v>
          </cell>
        </row>
        <row r="27">
          <cell r="FV27">
            <v>167</v>
          </cell>
        </row>
        <row r="28">
          <cell r="FV28">
            <v>156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</row>
      </sheetData>
      <sheetData sheetId="15"/>
      <sheetData sheetId="16">
        <row r="15">
          <cell r="FN15">
            <v>5</v>
          </cell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  <cell r="FU15">
            <v>49</v>
          </cell>
          <cell r="FV15">
            <v>37</v>
          </cell>
        </row>
        <row r="16">
          <cell r="FN16">
            <v>5</v>
          </cell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  <cell r="FU16">
            <v>49</v>
          </cell>
          <cell r="FV16">
            <v>37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</row>
        <row r="32">
          <cell r="FN32">
            <v>852</v>
          </cell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  <cell r="FU32">
            <v>7211</v>
          </cell>
          <cell r="FV32">
            <v>5539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  <cell r="FV33">
            <v>5600</v>
          </cell>
        </row>
        <row r="37">
          <cell r="FN37">
            <v>20</v>
          </cell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  <cell r="FU37">
            <v>91</v>
          </cell>
          <cell r="FV37">
            <v>71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  <cell r="FV38">
            <v>69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</row>
        <row r="47">
          <cell r="FV47">
            <v>9885</v>
          </cell>
        </row>
        <row r="52">
          <cell r="FV52">
            <v>507</v>
          </cell>
        </row>
      </sheetData>
      <sheetData sheetId="17">
        <row r="4">
          <cell r="FV4">
            <v>86</v>
          </cell>
        </row>
        <row r="5">
          <cell r="FV5">
            <v>86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</row>
        <row r="22">
          <cell r="FV22">
            <v>9416</v>
          </cell>
        </row>
        <row r="23">
          <cell r="FV23">
            <v>10193</v>
          </cell>
        </row>
        <row r="27">
          <cell r="FV27">
            <v>217</v>
          </cell>
        </row>
        <row r="28">
          <cell r="FV28">
            <v>265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</row>
      </sheetData>
      <sheetData sheetId="18"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  <cell r="FU15">
            <v>17</v>
          </cell>
          <cell r="FV15">
            <v>16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  <cell r="FU16">
            <v>17</v>
          </cell>
          <cell r="FV16">
            <v>16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  <cell r="FU32">
            <v>4403</v>
          </cell>
          <cell r="FV32">
            <v>3978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  <cell r="FU33">
            <v>4249</v>
          </cell>
          <cell r="FV33">
            <v>3883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  <cell r="FU37">
            <v>23</v>
          </cell>
          <cell r="FV37">
            <v>16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  <cell r="FU38">
            <v>29</v>
          </cell>
          <cell r="FV38">
            <v>12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</row>
        <row r="47">
          <cell r="FV47">
            <v>444835</v>
          </cell>
        </row>
        <row r="52">
          <cell r="FV52">
            <v>121930</v>
          </cell>
        </row>
      </sheetData>
      <sheetData sheetId="19"/>
      <sheetData sheetId="2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</row>
      </sheetData>
      <sheetData sheetId="21">
        <row r="4">
          <cell r="FV4">
            <v>684</v>
          </cell>
        </row>
        <row r="5">
          <cell r="FV5">
            <v>684</v>
          </cell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</row>
        <row r="22">
          <cell r="FV22">
            <v>79715</v>
          </cell>
        </row>
        <row r="23">
          <cell r="FV23">
            <v>80967</v>
          </cell>
        </row>
        <row r="27">
          <cell r="FV27">
            <v>1679</v>
          </cell>
        </row>
        <row r="28">
          <cell r="FV28">
            <v>1897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</row>
        <row r="47">
          <cell r="FV47">
            <v>209146</v>
          </cell>
        </row>
        <row r="52">
          <cell r="FV52">
            <v>78604</v>
          </cell>
        </row>
        <row r="70">
          <cell r="FV70">
            <v>80594</v>
          </cell>
        </row>
        <row r="71">
          <cell r="FV71">
            <v>373</v>
          </cell>
        </row>
      </sheetData>
      <sheetData sheetId="22">
        <row r="4">
          <cell r="FV4">
            <v>309</v>
          </cell>
        </row>
        <row r="5">
          <cell r="FV5">
            <v>309</v>
          </cell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</row>
        <row r="22">
          <cell r="FV22">
            <v>41539</v>
          </cell>
        </row>
        <row r="23">
          <cell r="FV23">
            <v>42408</v>
          </cell>
        </row>
        <row r="27">
          <cell r="FV27">
            <v>236</v>
          </cell>
        </row>
        <row r="28">
          <cell r="FV28">
            <v>253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</row>
      </sheetData>
      <sheetData sheetId="23">
        <row r="4">
          <cell r="FV4">
            <v>326</v>
          </cell>
        </row>
        <row r="5">
          <cell r="FV5">
            <v>326</v>
          </cell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</row>
        <row r="22">
          <cell r="FV22">
            <v>38492</v>
          </cell>
        </row>
        <row r="23">
          <cell r="FV23">
            <v>39747</v>
          </cell>
        </row>
        <row r="27">
          <cell r="FV27">
            <v>1432</v>
          </cell>
        </row>
        <row r="28">
          <cell r="FV28">
            <v>1404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</row>
        <row r="47">
          <cell r="FV47">
            <v>71231</v>
          </cell>
        </row>
        <row r="48">
          <cell r="FV48">
            <v>48146</v>
          </cell>
        </row>
        <row r="52">
          <cell r="FV52">
            <v>43766</v>
          </cell>
        </row>
        <row r="53">
          <cell r="FV53">
            <v>20423</v>
          </cell>
        </row>
      </sheetData>
      <sheetData sheetId="24"/>
      <sheetData sheetId="25"/>
      <sheetData sheetId="26"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</row>
      </sheetData>
      <sheetData sheetId="27"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</row>
      </sheetData>
      <sheetData sheetId="28">
        <row r="4">
          <cell r="FV4">
            <v>5</v>
          </cell>
        </row>
        <row r="5">
          <cell r="FV5">
            <v>5</v>
          </cell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</row>
        <row r="22">
          <cell r="FV22">
            <v>271</v>
          </cell>
        </row>
        <row r="23">
          <cell r="FV23">
            <v>169</v>
          </cell>
        </row>
        <row r="27">
          <cell r="FV27">
            <v>35</v>
          </cell>
        </row>
        <row r="28">
          <cell r="FV28">
            <v>34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</row>
      </sheetData>
      <sheetData sheetId="29">
        <row r="15">
          <cell r="FN15">
            <v>21</v>
          </cell>
          <cell r="FO15">
            <v>22</v>
          </cell>
          <cell r="FP15">
            <v>2</v>
          </cell>
        </row>
        <row r="16">
          <cell r="FN16">
            <v>23</v>
          </cell>
          <cell r="FO16">
            <v>26</v>
          </cell>
          <cell r="FP16">
            <v>5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</row>
        <row r="32">
          <cell r="FN32">
            <v>1136</v>
          </cell>
          <cell r="FO32">
            <v>1111</v>
          </cell>
          <cell r="FP32">
            <v>122</v>
          </cell>
        </row>
        <row r="33">
          <cell r="FN33">
            <v>1362</v>
          </cell>
          <cell r="FO33">
            <v>1562</v>
          </cell>
          <cell r="FP33">
            <v>242</v>
          </cell>
        </row>
        <row r="37">
          <cell r="FN37">
            <v>17</v>
          </cell>
          <cell r="FO37">
            <v>30</v>
          </cell>
          <cell r="FP37">
            <v>1</v>
          </cell>
        </row>
        <row r="38">
          <cell r="FN38">
            <v>14</v>
          </cell>
          <cell r="FO38">
            <v>17</v>
          </cell>
          <cell r="FP38">
            <v>4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</row>
      </sheetData>
      <sheetData sheetId="30"/>
      <sheetData sheetId="31"/>
      <sheetData sheetId="32"/>
      <sheetData sheetId="33">
        <row r="15">
          <cell r="FO15">
            <v>1</v>
          </cell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</row>
        <row r="74">
          <cell r="BG74">
            <v>2614</v>
          </cell>
        </row>
      </sheetData>
      <sheetData sheetId="34"/>
      <sheetData sheetId="35">
        <row r="4">
          <cell r="FV4">
            <v>5</v>
          </cell>
        </row>
        <row r="5">
          <cell r="FV5">
            <v>5</v>
          </cell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</row>
        <row r="22">
          <cell r="FV22">
            <v>220</v>
          </cell>
        </row>
        <row r="23">
          <cell r="FV23">
            <v>159</v>
          </cell>
        </row>
        <row r="27">
          <cell r="FV27">
            <v>11</v>
          </cell>
        </row>
        <row r="28">
          <cell r="FV28">
            <v>8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</row>
      </sheetData>
      <sheetData sheetId="36"/>
      <sheetData sheetId="37">
        <row r="4">
          <cell r="FV4">
            <v>53</v>
          </cell>
        </row>
        <row r="5">
          <cell r="FV5">
            <v>53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  <cell r="FU15">
            <v>28</v>
          </cell>
          <cell r="FV15">
            <v>30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  <cell r="FU16">
            <v>26</v>
          </cell>
          <cell r="FV16">
            <v>30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</row>
        <row r="22">
          <cell r="FV22">
            <v>3298</v>
          </cell>
        </row>
        <row r="23">
          <cell r="FV23">
            <v>2856</v>
          </cell>
        </row>
        <row r="27">
          <cell r="FV27">
            <v>106</v>
          </cell>
        </row>
        <row r="28">
          <cell r="FV28">
            <v>125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  <cell r="FU32">
            <v>1821</v>
          </cell>
          <cell r="FV32">
            <v>1891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  <cell r="FU33">
            <v>1794</v>
          </cell>
          <cell r="FV33">
            <v>2030</v>
          </cell>
        </row>
        <row r="37">
          <cell r="FN37">
            <v>47</v>
          </cell>
          <cell r="FO37">
            <v>35</v>
          </cell>
          <cell r="FQ37">
            <v>53</v>
          </cell>
          <cell r="FR37">
            <v>60</v>
          </cell>
          <cell r="FS37">
            <v>18</v>
          </cell>
          <cell r="FT37">
            <v>37</v>
          </cell>
          <cell r="FU37">
            <v>22</v>
          </cell>
          <cell r="FV37">
            <v>33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  <cell r="FU38">
            <v>23</v>
          </cell>
          <cell r="FV38">
            <v>27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</row>
        <row r="70">
          <cell r="FV70">
            <v>1057</v>
          </cell>
        </row>
        <row r="71">
          <cell r="FV71">
            <v>1799</v>
          </cell>
        </row>
        <row r="73">
          <cell r="FV73">
            <v>751</v>
          </cell>
        </row>
        <row r="74">
          <cell r="FV74">
            <v>1279</v>
          </cell>
        </row>
      </sheetData>
      <sheetData sheetId="38"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</row>
      </sheetData>
      <sheetData sheetId="39">
        <row r="4">
          <cell r="FV4">
            <v>60</v>
          </cell>
        </row>
        <row r="5">
          <cell r="FV5">
            <v>60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</row>
        <row r="22">
          <cell r="FV22">
            <v>3880</v>
          </cell>
        </row>
        <row r="23">
          <cell r="FV23">
            <v>3660</v>
          </cell>
        </row>
        <row r="27">
          <cell r="FV27">
            <v>111</v>
          </cell>
        </row>
        <row r="28">
          <cell r="FV28">
            <v>105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</row>
        <row r="47">
          <cell r="FV47">
            <v>524</v>
          </cell>
        </row>
        <row r="48">
          <cell r="FV48">
            <v>1293</v>
          </cell>
        </row>
        <row r="52">
          <cell r="FV52">
            <v>294</v>
          </cell>
        </row>
      </sheetData>
      <sheetData sheetId="40">
        <row r="4">
          <cell r="FV4">
            <v>123</v>
          </cell>
        </row>
        <row r="5">
          <cell r="FV5">
            <v>123</v>
          </cell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</row>
        <row r="22">
          <cell r="FV22">
            <v>7387</v>
          </cell>
        </row>
        <row r="23">
          <cell r="FV23">
            <v>7927</v>
          </cell>
        </row>
        <row r="27">
          <cell r="FV27">
            <v>248</v>
          </cell>
        </row>
        <row r="28">
          <cell r="FV28">
            <v>213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</row>
      </sheetData>
      <sheetData sheetId="41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</sheetData>
      <sheetData sheetId="42"/>
      <sheetData sheetId="43">
        <row r="4">
          <cell r="FV4">
            <v>995</v>
          </cell>
        </row>
        <row r="5">
          <cell r="FV5">
            <v>994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  <cell r="FU15">
            <v>69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  <cell r="FU16">
            <v>70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</row>
        <row r="22">
          <cell r="FV22">
            <v>57655</v>
          </cell>
        </row>
        <row r="23">
          <cell r="FV23">
            <v>58427</v>
          </cell>
        </row>
        <row r="27">
          <cell r="FV27">
            <v>2353</v>
          </cell>
        </row>
        <row r="28">
          <cell r="FV28">
            <v>2228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  <cell r="FU32">
            <v>4790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  <cell r="FU33">
            <v>4848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  <cell r="FU37">
            <v>95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  <cell r="FU38">
            <v>115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</row>
        <row r="70">
          <cell r="FV70">
            <v>22319</v>
          </cell>
        </row>
        <row r="71">
          <cell r="FV71">
            <v>36108</v>
          </cell>
        </row>
      </sheetData>
      <sheetData sheetId="44"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</row>
      </sheetData>
      <sheetData sheetId="45">
        <row r="4">
          <cell r="FV4">
            <v>214</v>
          </cell>
        </row>
        <row r="5">
          <cell r="FV5">
            <v>214</v>
          </cell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</row>
        <row r="22">
          <cell r="FV22">
            <v>11026</v>
          </cell>
        </row>
        <row r="23">
          <cell r="FV23">
            <v>12182</v>
          </cell>
        </row>
        <row r="27">
          <cell r="FV27">
            <v>449</v>
          </cell>
        </row>
        <row r="28">
          <cell r="FV28">
            <v>473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</row>
      </sheetData>
      <sheetData sheetId="46">
        <row r="4">
          <cell r="FV4">
            <v>205</v>
          </cell>
        </row>
        <row r="5">
          <cell r="FV5">
            <v>205</v>
          </cell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</row>
        <row r="22">
          <cell r="FV22">
            <v>12683</v>
          </cell>
        </row>
        <row r="23">
          <cell r="FV23">
            <v>12600</v>
          </cell>
        </row>
        <row r="27">
          <cell r="FV27">
            <v>469</v>
          </cell>
        </row>
        <row r="28">
          <cell r="FV28">
            <v>466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</row>
      </sheetData>
      <sheetData sheetId="47"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  <cell r="FU15">
            <v>91</v>
          </cell>
          <cell r="FV15">
            <v>89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  <cell r="FU16">
            <v>91</v>
          </cell>
          <cell r="FV16">
            <v>89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  <cell r="FU32">
            <v>5892</v>
          </cell>
          <cell r="FV32">
            <v>5347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  <cell r="FV33">
            <v>5659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  <cell r="FU37">
            <v>93</v>
          </cell>
          <cell r="FV37">
            <v>52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  <cell r="FV38">
            <v>63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</row>
        <row r="47">
          <cell r="FV47">
            <v>1318</v>
          </cell>
        </row>
        <row r="52">
          <cell r="FV52">
            <v>1645</v>
          </cell>
        </row>
      </sheetData>
      <sheetData sheetId="48">
        <row r="4">
          <cell r="FV4">
            <v>3734</v>
          </cell>
        </row>
        <row r="5">
          <cell r="FV5">
            <v>3730</v>
          </cell>
        </row>
        <row r="8">
          <cell r="FV8">
            <v>1</v>
          </cell>
        </row>
        <row r="9">
          <cell r="FV9">
            <v>6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  <cell r="FU15">
            <v>153</v>
          </cell>
          <cell r="FV15">
            <v>194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  <cell r="FU16">
            <v>154</v>
          </cell>
          <cell r="FV16">
            <v>194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</row>
        <row r="22">
          <cell r="FV22">
            <v>169772</v>
          </cell>
        </row>
        <row r="23">
          <cell r="FV23">
            <v>169724</v>
          </cell>
        </row>
        <row r="27">
          <cell r="FV27">
            <v>6206</v>
          </cell>
        </row>
        <row r="28">
          <cell r="FV28">
            <v>6258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  <cell r="FU32">
            <v>10441</v>
          </cell>
          <cell r="FV32">
            <v>12382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  <cell r="FU33">
            <v>10216</v>
          </cell>
          <cell r="FV33">
            <v>12668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  <cell r="FU37">
            <v>81</v>
          </cell>
          <cell r="FV37">
            <v>169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  <cell r="FU38">
            <v>100</v>
          </cell>
          <cell r="FV38">
            <v>159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</row>
        <row r="70">
          <cell r="FV70">
            <v>53293</v>
          </cell>
        </row>
        <row r="71">
          <cell r="FV71">
            <v>116431</v>
          </cell>
        </row>
        <row r="73">
          <cell r="FV73">
            <v>3978</v>
          </cell>
        </row>
        <row r="74">
          <cell r="FV74">
            <v>8690</v>
          </cell>
        </row>
      </sheetData>
      <sheetData sheetId="49">
        <row r="4">
          <cell r="FV4">
            <v>105</v>
          </cell>
        </row>
        <row r="5">
          <cell r="FV5">
            <v>105</v>
          </cell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</row>
        <row r="22">
          <cell r="FV22">
            <v>6745</v>
          </cell>
        </row>
        <row r="23">
          <cell r="FV23">
            <v>6785</v>
          </cell>
        </row>
        <row r="27">
          <cell r="FV27">
            <v>213</v>
          </cell>
        </row>
        <row r="28">
          <cell r="FV28">
            <v>294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</row>
      </sheetData>
      <sheetData sheetId="5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</sheetData>
      <sheetData sheetId="51">
        <row r="4">
          <cell r="FV4">
            <v>28</v>
          </cell>
        </row>
        <row r="5">
          <cell r="FV5">
            <v>28</v>
          </cell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</row>
        <row r="22">
          <cell r="FV22">
            <v>1559</v>
          </cell>
        </row>
        <row r="23">
          <cell r="FV23">
            <v>1495</v>
          </cell>
        </row>
        <row r="27">
          <cell r="FV27">
            <v>120</v>
          </cell>
        </row>
        <row r="28">
          <cell r="FV28">
            <v>131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</row>
        <row r="47">
          <cell r="FV47">
            <v>367</v>
          </cell>
        </row>
      </sheetData>
      <sheetData sheetId="52"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</row>
      </sheetData>
      <sheetData sheetId="53"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</row>
      </sheetData>
      <sheetData sheetId="54"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>
        <row r="4">
          <cell r="FV4">
            <v>1</v>
          </cell>
        </row>
        <row r="5">
          <cell r="FV5">
            <v>1</v>
          </cell>
        </row>
        <row r="22">
          <cell r="FV22">
            <v>177</v>
          </cell>
        </row>
        <row r="23">
          <cell r="FV23">
            <v>173</v>
          </cell>
        </row>
        <row r="32">
          <cell r="FQ32">
            <v>37</v>
          </cell>
        </row>
      </sheetData>
      <sheetData sheetId="62">
        <row r="4">
          <cell r="FV4">
            <v>32</v>
          </cell>
        </row>
        <row r="5">
          <cell r="FV5">
            <v>32</v>
          </cell>
        </row>
        <row r="47">
          <cell r="FV47">
            <v>1015896</v>
          </cell>
        </row>
        <row r="52">
          <cell r="FV52">
            <v>1203661</v>
          </cell>
        </row>
      </sheetData>
      <sheetData sheetId="63"/>
      <sheetData sheetId="64">
        <row r="4">
          <cell r="FV4">
            <v>20</v>
          </cell>
        </row>
        <row r="5">
          <cell r="FV5">
            <v>20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E12">
            <v>46</v>
          </cell>
          <cell r="FF12">
            <v>44</v>
          </cell>
          <cell r="FG12">
            <v>44</v>
          </cell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FV12">
            <v>40</v>
          </cell>
        </row>
        <row r="47">
          <cell r="FV47">
            <v>713006</v>
          </cell>
        </row>
        <row r="52">
          <cell r="FV52">
            <v>534781</v>
          </cell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</row>
      </sheetData>
      <sheetData sheetId="65">
        <row r="4">
          <cell r="FV4">
            <v>18</v>
          </cell>
        </row>
        <row r="5">
          <cell r="FV5">
            <v>18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E12">
            <v>46</v>
          </cell>
          <cell r="FF12">
            <v>32</v>
          </cell>
          <cell r="FG12">
            <v>38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</row>
        <row r="47">
          <cell r="FV47">
            <v>21292</v>
          </cell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</row>
      </sheetData>
      <sheetData sheetId="66"/>
      <sheetData sheetId="67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</row>
      </sheetData>
      <sheetData sheetId="68">
        <row r="4">
          <cell r="FV4">
            <v>126</v>
          </cell>
        </row>
        <row r="5">
          <cell r="FV5">
            <v>126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E12">
            <v>176</v>
          </cell>
          <cell r="FF12">
            <v>120</v>
          </cell>
          <cell r="FG12">
            <v>280</v>
          </cell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FV12">
            <v>252</v>
          </cell>
        </row>
        <row r="47">
          <cell r="FV47">
            <v>8710408</v>
          </cell>
        </row>
        <row r="52">
          <cell r="FV52">
            <v>7805358</v>
          </cell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</row>
      </sheetData>
      <sheetData sheetId="69">
        <row r="4">
          <cell r="FV4">
            <v>98</v>
          </cell>
        </row>
        <row r="5">
          <cell r="FV5">
            <v>98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E12">
            <v>198</v>
          </cell>
          <cell r="FF12">
            <v>186</v>
          </cell>
          <cell r="FG12">
            <v>212</v>
          </cell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FV12">
            <v>196</v>
          </cell>
        </row>
        <row r="15">
          <cell r="FV15">
            <v>20</v>
          </cell>
        </row>
        <row r="16">
          <cell r="FV16">
            <v>20</v>
          </cell>
        </row>
        <row r="47">
          <cell r="FV47">
            <v>6606730</v>
          </cell>
        </row>
        <row r="48">
          <cell r="FV48">
            <v>1722</v>
          </cell>
        </row>
        <row r="52">
          <cell r="FV52">
            <v>5713117</v>
          </cell>
        </row>
        <row r="53">
          <cell r="FV53">
            <v>46971</v>
          </cell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</row>
      </sheetData>
      <sheetData sheetId="70"/>
      <sheetData sheetId="71"/>
      <sheetData sheetId="72"/>
      <sheetData sheetId="73">
        <row r="4">
          <cell r="FV4">
            <v>258</v>
          </cell>
        </row>
        <row r="5">
          <cell r="FV5">
            <v>258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E12">
            <v>546</v>
          </cell>
          <cell r="FF12">
            <v>528</v>
          </cell>
          <cell r="FG12">
            <v>598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</row>
      </sheetData>
      <sheetData sheetId="74"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E12">
            <v>4</v>
          </cell>
          <cell r="FF12">
            <v>0</v>
          </cell>
          <cell r="FG12">
            <v>0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</row>
      </sheetData>
      <sheetData sheetId="75">
        <row r="4">
          <cell r="FV4">
            <v>21</v>
          </cell>
        </row>
        <row r="5">
          <cell r="FV5">
            <v>21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E12">
            <v>44</v>
          </cell>
          <cell r="FF12">
            <v>34</v>
          </cell>
          <cell r="FG12">
            <v>46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</row>
        <row r="47">
          <cell r="FV47">
            <v>135260</v>
          </cell>
        </row>
        <row r="52">
          <cell r="FV52">
            <v>57451</v>
          </cell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</row>
      </sheetData>
      <sheetData sheetId="76">
        <row r="4">
          <cell r="FV4">
            <v>38</v>
          </cell>
        </row>
        <row r="5">
          <cell r="FV5">
            <v>38</v>
          </cell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E12">
            <v>44</v>
          </cell>
          <cell r="FF12">
            <v>42</v>
          </cell>
          <cell r="FG12">
            <v>50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</row>
        <row r="47">
          <cell r="FV47">
            <v>62088</v>
          </cell>
        </row>
        <row r="52">
          <cell r="FV52">
            <v>32300</v>
          </cell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</row>
      </sheetData>
      <sheetData sheetId="77">
        <row r="4">
          <cell r="FV4">
            <v>29</v>
          </cell>
        </row>
        <row r="5">
          <cell r="FV5">
            <v>30</v>
          </cell>
        </row>
      </sheetData>
      <sheetData sheetId="78">
        <row r="4">
          <cell r="FV4">
            <v>882</v>
          </cell>
        </row>
        <row r="5">
          <cell r="FV5">
            <v>883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43344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1171081</v>
      </c>
      <c r="C5" s="296">
        <f>'Major Airline Stats'!K5</f>
        <v>1185554</v>
      </c>
      <c r="D5" s="5">
        <f>'Major Airline Stats'!K6</f>
        <v>2356635</v>
      </c>
      <c r="E5" s="9">
        <f>'[1]Monthly Summary'!D5</f>
        <v>2377733</v>
      </c>
      <c r="F5" s="39">
        <f>(D5-E5)/E5</f>
        <v>-8.8731577515221427E-3</v>
      </c>
      <c r="G5" s="9">
        <f>+D5+'[2]Monthly Summary'!G5</f>
        <v>22153430</v>
      </c>
      <c r="H5" s="9">
        <f>'[1]Monthly Summary'!G5</f>
        <v>22244784</v>
      </c>
      <c r="I5" s="85">
        <f>(G5-H5)/H5</f>
        <v>-4.1067604882115286E-3</v>
      </c>
      <c r="J5" s="9"/>
    </row>
    <row r="6" spans="1:14" x14ac:dyDescent="0.2">
      <c r="A6" s="67" t="s">
        <v>5</v>
      </c>
      <c r="B6" s="294">
        <f>'Regional Major'!M5</f>
        <v>294116</v>
      </c>
      <c r="C6" s="294">
        <f>'Regional Major'!M6</f>
        <v>296341</v>
      </c>
      <c r="D6" s="5">
        <f>B6+C6</f>
        <v>590457</v>
      </c>
      <c r="E6" s="9">
        <f>'[1]Monthly Summary'!D6</f>
        <v>565612</v>
      </c>
      <c r="F6" s="39">
        <f>(D6-E6)/E6</f>
        <v>4.3925871445443167E-2</v>
      </c>
      <c r="G6" s="9">
        <f>+D6+'[2]Monthly Summary'!G6</f>
        <v>5881477</v>
      </c>
      <c r="H6" s="9">
        <f>'[1]Monthly Summary'!G6</f>
        <v>5710778</v>
      </c>
      <c r="I6" s="85">
        <f>(G6-H6)/H6</f>
        <v>2.9890673389860366E-2</v>
      </c>
      <c r="J6" s="20"/>
      <c r="K6" s="2"/>
    </row>
    <row r="7" spans="1:14" x14ac:dyDescent="0.2">
      <c r="A7" s="67" t="s">
        <v>6</v>
      </c>
      <c r="B7" s="9">
        <f>Charter!G5</f>
        <v>177</v>
      </c>
      <c r="C7" s="295">
        <f>Charter!G6</f>
        <v>173</v>
      </c>
      <c r="D7" s="5">
        <f>B7+C7</f>
        <v>350</v>
      </c>
      <c r="E7" s="9">
        <f>'[1]Monthly Summary'!D7</f>
        <v>342</v>
      </c>
      <c r="F7" s="39">
        <f>(D7-E7)/E7</f>
        <v>2.3391812865497075E-2</v>
      </c>
      <c r="G7" s="9">
        <f>+D7+'[2]Monthly Summary'!G7</f>
        <v>3755</v>
      </c>
      <c r="H7" s="9">
        <f>'[1]Monthly Summary'!G7</f>
        <v>4048</v>
      </c>
      <c r="I7" s="85">
        <f>(G7-H7)/H7</f>
        <v>-7.2381422924901184E-2</v>
      </c>
      <c r="J7" s="20"/>
      <c r="K7" s="2"/>
    </row>
    <row r="8" spans="1:14" x14ac:dyDescent="0.2">
      <c r="A8" s="70" t="s">
        <v>7</v>
      </c>
      <c r="B8" s="148">
        <f>SUM(B5:B7)</f>
        <v>1465374</v>
      </c>
      <c r="C8" s="148">
        <f>SUM(C5:C7)</f>
        <v>1482068</v>
      </c>
      <c r="D8" s="148">
        <f>SUM(D5:D7)</f>
        <v>2947442</v>
      </c>
      <c r="E8" s="148">
        <f>SUM(E5:E7)</f>
        <v>2943687</v>
      </c>
      <c r="F8" s="92">
        <f>(D8-E8)/E8</f>
        <v>1.2756111638227842E-3</v>
      </c>
      <c r="G8" s="148">
        <f>SUM(G5:G7)</f>
        <v>28038662</v>
      </c>
      <c r="H8" s="148">
        <f>SUM(H5:H7)</f>
        <v>27959610</v>
      </c>
      <c r="I8" s="91">
        <f>(G8-H8)/H8</f>
        <v>2.8273641871256429E-3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51107</v>
      </c>
      <c r="C10" s="297">
        <f>'Major Airline Stats'!K10+'Regional Major'!M11</f>
        <v>51665</v>
      </c>
      <c r="D10" s="120">
        <f>SUM(B10:C10)</f>
        <v>102772</v>
      </c>
      <c r="E10" s="120">
        <f>'[1]Monthly Summary'!D10</f>
        <v>97723</v>
      </c>
      <c r="F10" s="93">
        <f>(D10-E10)/E10</f>
        <v>5.1666444951546722E-2</v>
      </c>
      <c r="G10" s="509">
        <f>+D10+'[2]Monthly Summary'!G10</f>
        <v>959132</v>
      </c>
      <c r="H10" s="120">
        <f>'[1]Monthly Summary'!G10</f>
        <v>942442</v>
      </c>
      <c r="I10" s="96">
        <f>(G10-H10)/H10</f>
        <v>1.7709312615524352E-2</v>
      </c>
      <c r="J10" s="264"/>
    </row>
    <row r="11" spans="1:14" ht="15.75" thickBot="1" x14ac:dyDescent="0.3">
      <c r="A11" s="69" t="s">
        <v>13</v>
      </c>
      <c r="B11" s="273">
        <f>B10+B8</f>
        <v>1516481</v>
      </c>
      <c r="C11" s="273">
        <f>C10+C8</f>
        <v>1533733</v>
      </c>
      <c r="D11" s="273">
        <f>D10+D8</f>
        <v>3050214</v>
      </c>
      <c r="E11" s="273">
        <f>E10+E8</f>
        <v>3041410</v>
      </c>
      <c r="F11" s="94">
        <f>(D11-E11)/E11</f>
        <v>2.8947100193660179E-3</v>
      </c>
      <c r="G11" s="273">
        <f>G8+G10</f>
        <v>28997794</v>
      </c>
      <c r="H11" s="273">
        <f>H8+H10</f>
        <v>28902052</v>
      </c>
      <c r="I11" s="97">
        <f>(G11-H11)/H11</f>
        <v>3.3126367636457095E-3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21"/>
      <c r="E14" s="522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9292</v>
      </c>
      <c r="C16" s="305">
        <f>'Major Airline Stats'!K16+'Major Airline Stats'!K20</f>
        <v>9290</v>
      </c>
      <c r="D16" s="47">
        <f t="shared" ref="D16:D21" si="0">SUM(B16:C16)</f>
        <v>18582</v>
      </c>
      <c r="E16" s="9">
        <f>'[1]Monthly Summary'!D16</f>
        <v>18929</v>
      </c>
      <c r="F16" s="95">
        <f t="shared" ref="F16:F22" si="1">(D16-E16)/E16</f>
        <v>-1.833166041523588E-2</v>
      </c>
      <c r="G16" s="9">
        <f>+D16+'[2]Monthly Summary'!G16</f>
        <v>168385</v>
      </c>
      <c r="H16" s="9">
        <f>'[1]Monthly Summary'!G16</f>
        <v>173133</v>
      </c>
      <c r="I16" s="262">
        <f t="shared" ref="I16:I22" si="2">(G16-H16)/H16</f>
        <v>-2.7424003511751081E-2</v>
      </c>
      <c r="N16" s="130"/>
    </row>
    <row r="17" spans="1:12" x14ac:dyDescent="0.2">
      <c r="A17" s="68" t="s">
        <v>5</v>
      </c>
      <c r="B17" s="47">
        <f>'Regional Major'!M15+'Regional Major'!M18</f>
        <v>5841</v>
      </c>
      <c r="C17" s="47">
        <f>'Regional Major'!M16+'Regional Major'!M19</f>
        <v>5841</v>
      </c>
      <c r="D17" s="47">
        <f>SUM(B17:C17)</f>
        <v>11682</v>
      </c>
      <c r="E17" s="9">
        <f>'[1]Monthly Summary'!D17</f>
        <v>11400</v>
      </c>
      <c r="F17" s="95">
        <f t="shared" si="1"/>
        <v>2.4736842105263158E-2</v>
      </c>
      <c r="G17" s="9">
        <f>+D17+'[2]Monthly Summary'!G17</f>
        <v>113217</v>
      </c>
      <c r="H17" s="9">
        <f>'[1]Monthly Summary'!G17</f>
        <v>113471</v>
      </c>
      <c r="I17" s="262">
        <f t="shared" si="2"/>
        <v>-2.2384574032131557E-3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6</v>
      </c>
      <c r="F18" s="95">
        <f t="shared" si="1"/>
        <v>-0.66666666666666663</v>
      </c>
      <c r="G18" s="9">
        <f>+D18+'[2]Monthly Summary'!G18</f>
        <v>30</v>
      </c>
      <c r="H18" s="9">
        <f>'[1]Monthly Summary'!G18</f>
        <v>35</v>
      </c>
      <c r="I18" s="262">
        <f t="shared" si="2"/>
        <v>-0.14285714285714285</v>
      </c>
    </row>
    <row r="19" spans="1:12" x14ac:dyDescent="0.2">
      <c r="A19" s="68" t="s">
        <v>11</v>
      </c>
      <c r="B19" s="47">
        <f>Cargo!N4</f>
        <v>631</v>
      </c>
      <c r="C19" s="47">
        <f>Cargo!N5</f>
        <v>631</v>
      </c>
      <c r="D19" s="47">
        <f t="shared" si="0"/>
        <v>1262</v>
      </c>
      <c r="E19" s="9">
        <f>'[1]Monthly Summary'!D19</f>
        <v>1170</v>
      </c>
      <c r="F19" s="95">
        <f t="shared" si="1"/>
        <v>7.8632478632478631E-2</v>
      </c>
      <c r="G19" s="9">
        <f>+D19+'[2]Monthly Summary'!G19</f>
        <v>11332</v>
      </c>
      <c r="H19" s="9">
        <f>'[1]Monthly Summary'!G19</f>
        <v>10888</v>
      </c>
      <c r="I19" s="262">
        <f t="shared" si="2"/>
        <v>4.0778839088905214E-2</v>
      </c>
    </row>
    <row r="20" spans="1:12" x14ac:dyDescent="0.2">
      <c r="A20" s="68" t="s">
        <v>153</v>
      </c>
      <c r="B20" s="47">
        <f>'[3]General Avation'!$FV$4</f>
        <v>882</v>
      </c>
      <c r="C20" s="47">
        <f>'[3]General Avation'!$FV$5</f>
        <v>883</v>
      </c>
      <c r="D20" s="47">
        <f>SUM(B20:C20)</f>
        <v>1765</v>
      </c>
      <c r="E20" s="9">
        <f>'[1]Monthly Summary'!D20</f>
        <v>1891</v>
      </c>
      <c r="F20" s="95">
        <f t="shared" si="1"/>
        <v>-6.6631411951348488E-2</v>
      </c>
      <c r="G20" s="9">
        <f>+D20+'[2]Monthly Summary'!G20</f>
        <v>15446</v>
      </c>
      <c r="H20" s="9">
        <f>'[1]Monthly Summary'!G20</f>
        <v>16983</v>
      </c>
      <c r="I20" s="262">
        <f t="shared" si="2"/>
        <v>-9.0502266972855211E-2</v>
      </c>
    </row>
    <row r="21" spans="1:12" ht="12.75" customHeight="1" x14ac:dyDescent="0.2">
      <c r="A21" s="68" t="s">
        <v>12</v>
      </c>
      <c r="B21" s="18">
        <f>'[3]Military '!$FV$4</f>
        <v>29</v>
      </c>
      <c r="C21" s="18">
        <f>'[3]Military '!$FV$5</f>
        <v>30</v>
      </c>
      <c r="D21" s="18">
        <f t="shared" si="0"/>
        <v>59</v>
      </c>
      <c r="E21" s="120">
        <f>'[1]Monthly Summary'!D21</f>
        <v>48</v>
      </c>
      <c r="F21" s="260">
        <f t="shared" si="1"/>
        <v>0.22916666666666666</v>
      </c>
      <c r="G21" s="120">
        <f>+D21+'[2]Monthly Summary'!G21</f>
        <v>889</v>
      </c>
      <c r="H21" s="120">
        <f>'[1]Monthly Summary'!G21</f>
        <v>513</v>
      </c>
      <c r="I21" s="263">
        <f t="shared" si="2"/>
        <v>0.73294346978557501</v>
      </c>
    </row>
    <row r="22" spans="1:12" ht="15.75" thickBot="1" x14ac:dyDescent="0.3">
      <c r="A22" s="69" t="s">
        <v>28</v>
      </c>
      <c r="B22" s="274">
        <f>SUM(B16:B21)</f>
        <v>16676</v>
      </c>
      <c r="C22" s="274">
        <f>SUM(C16:C21)</f>
        <v>16676</v>
      </c>
      <c r="D22" s="274">
        <f>SUM(D16:D21)</f>
        <v>33352</v>
      </c>
      <c r="E22" s="274">
        <f>SUM(E16:E21)</f>
        <v>33444</v>
      </c>
      <c r="F22" s="270">
        <f t="shared" si="1"/>
        <v>-2.7508671211577563E-3</v>
      </c>
      <c r="G22" s="274">
        <f>SUM(G16:G21)</f>
        <v>309299</v>
      </c>
      <c r="H22" s="274">
        <f>SUM(H16:H21)</f>
        <v>315023</v>
      </c>
      <c r="I22" s="271">
        <f t="shared" si="2"/>
        <v>-1.8170101865578069E-2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21"/>
      <c r="E25" s="522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10651.024700231299</v>
      </c>
      <c r="C27" s="22">
        <f>(Cargo!N21+'Major Airline Stats'!K33+'Regional Major'!M30)*0.00045359237</f>
        <v>8164.2272113248</v>
      </c>
      <c r="D27" s="22">
        <f>(SUM(B27:C27)+('Cargo Summary'!E17*0.00045359237))</f>
        <v>18815.251911556101</v>
      </c>
      <c r="E27" s="9">
        <f>'[1]Monthly Summary'!D27</f>
        <v>15440.657581320509</v>
      </c>
      <c r="F27" s="98">
        <f>(D27-E27)/E27</f>
        <v>0.21855250091926404</v>
      </c>
      <c r="G27" s="9">
        <f>+D27+'[2]Monthly Summary'!G27</f>
        <v>158303.37380251166</v>
      </c>
      <c r="H27" s="9">
        <f>'[1]Monthly Summary'!G27</f>
        <v>150746.43102469103</v>
      </c>
      <c r="I27" s="100">
        <f>(G27-H27)/H27</f>
        <v>5.0130160471811534E-2</v>
      </c>
    </row>
    <row r="28" spans="1:12" x14ac:dyDescent="0.2">
      <c r="A28" s="62" t="s">
        <v>16</v>
      </c>
      <c r="B28" s="22">
        <f>(Cargo!N17+'Major Airline Stats'!K29+'Regional Major'!M26)*0.00045359237</f>
        <v>764.33988443196995</v>
      </c>
      <c r="C28" s="22">
        <f>(Cargo!N22+'Major Airline Stats'!K34+'Regional Major'!M31)*0.00045359237</f>
        <v>937.20166867711998</v>
      </c>
      <c r="D28" s="22">
        <f>SUM(B28:C28)</f>
        <v>1701.5415531090898</v>
      </c>
      <c r="E28" s="9">
        <f>'[1]Monthly Summary'!D28</f>
        <v>1371.09724360224</v>
      </c>
      <c r="F28" s="98">
        <f>(D28-E28)/E28</f>
        <v>0.24100720138469828</v>
      </c>
      <c r="G28" s="120">
        <f>+D28+'[2]Monthly Summary'!G28</f>
        <v>18685.875574230478</v>
      </c>
      <c r="H28" s="9">
        <f>'[1]Monthly Summary'!G28</f>
        <v>18548.472466325336</v>
      </c>
      <c r="I28" s="100">
        <f>(G28-H28)/H28</f>
        <v>7.4077856359652606E-3</v>
      </c>
    </row>
    <row r="29" spans="1:12" ht="15.75" thickBot="1" x14ac:dyDescent="0.3">
      <c r="A29" s="63" t="s">
        <v>62</v>
      </c>
      <c r="B29" s="54">
        <f>SUM(B27:B28)</f>
        <v>11415.364584663268</v>
      </c>
      <c r="C29" s="54">
        <f>SUM(C27:C28)</f>
        <v>9101.4288800019203</v>
      </c>
      <c r="D29" s="54">
        <f>SUM(D27:D28)</f>
        <v>20516.793464665192</v>
      </c>
      <c r="E29" s="54">
        <f>SUM(E27:E28)</f>
        <v>16811.754824922748</v>
      </c>
      <c r="F29" s="99">
        <f>(D29-E29)/E29</f>
        <v>0.22038381348804079</v>
      </c>
      <c r="G29" s="54">
        <f>SUM(G27:G28)</f>
        <v>176989.24937674214</v>
      </c>
      <c r="H29" s="54">
        <f>SUM(H27:H28)</f>
        <v>169294.90349101636</v>
      </c>
      <c r="I29" s="101">
        <f>(G29-H29)/H29</f>
        <v>4.5449365143671205E-2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895252</v>
      </c>
      <c r="C32" s="392">
        <f>B32/C8</f>
        <v>0.6040559542477133</v>
      </c>
      <c r="D32" s="393">
        <f>+B32+'[2]Monthly Summary'!$D$32</f>
        <v>8740665</v>
      </c>
      <c r="E32" s="394">
        <f>+D32/D34</f>
        <v>0.62466419707242027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586816</v>
      </c>
      <c r="C33" s="397">
        <f>+B33/C8</f>
        <v>0.39594404575228664</v>
      </c>
      <c r="D33" s="398">
        <f>+B33+'[2]Monthly Summary'!$D$33</f>
        <v>5251917</v>
      </c>
      <c r="E33" s="399">
        <f>+D33/D34</f>
        <v>0.37533580292757979</v>
      </c>
      <c r="G33" s="408"/>
      <c r="H33" s="408"/>
      <c r="I33" s="407"/>
    </row>
    <row r="34" spans="1:14" ht="13.5" thickBot="1" x14ac:dyDescent="0.25">
      <c r="B34" s="309"/>
      <c r="D34" s="400">
        <f>SUM(D32:D33)</f>
        <v>13992582</v>
      </c>
    </row>
    <row r="35" spans="1:14" ht="13.5" thickBot="1" x14ac:dyDescent="0.25">
      <c r="B35" s="517" t="s">
        <v>231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845051</v>
      </c>
      <c r="C36" s="392">
        <f>+B36/B38</f>
        <v>0.57344233282620116</v>
      </c>
      <c r="D36" s="393">
        <f>'[1]Monthly Summary'!$D$32</f>
        <v>8316579</v>
      </c>
      <c r="E36" s="394">
        <f>+D36/D38</f>
        <v>0.59634307101323369</v>
      </c>
    </row>
    <row r="37" spans="1:14" ht="13.5" thickBot="1" x14ac:dyDescent="0.25">
      <c r="A37" s="395" t="s">
        <v>151</v>
      </c>
      <c r="B37" s="396">
        <f>'[1]Monthly Summary'!$B$33</f>
        <v>628595</v>
      </c>
      <c r="C37" s="399">
        <f>+B37/B38</f>
        <v>0.42655766717379884</v>
      </c>
      <c r="D37" s="398">
        <f>'[1]Monthly Summary'!$D$33</f>
        <v>5629385</v>
      </c>
      <c r="E37" s="399">
        <f>+D37/D38</f>
        <v>0.40365692898676636</v>
      </c>
      <c r="M37" s="13"/>
    </row>
    <row r="38" spans="1:14" x14ac:dyDescent="0.2">
      <c r="B38" s="415">
        <f>+SUM(B36:B37)</f>
        <v>1473646</v>
      </c>
      <c r="D38" s="400">
        <f>SUM(D36:D37)</f>
        <v>13945964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B4" sqref="A4:Q4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43344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[3]Delta!$FV$32</f>
        <v>73777</v>
      </c>
      <c r="C4" s="21">
        <f>'[3]Atlantic Southeast'!$FV$32</f>
        <v>0</v>
      </c>
      <c r="D4" s="21">
        <f>[3]Pinnacle!$FV$32</f>
        <v>0</v>
      </c>
      <c r="E4" s="21">
        <f>[3]Compass!$FV$32</f>
        <v>0</v>
      </c>
      <c r="F4" s="21">
        <f>'[3]Sky West'!$FV$32</f>
        <v>12382</v>
      </c>
      <c r="G4" s="21">
        <f>'[3]Go Jet'!$FV$32</f>
        <v>1891</v>
      </c>
      <c r="H4" s="21">
        <f>'[3]Sun Country'!$FV$32</f>
        <v>422</v>
      </c>
      <c r="I4" s="21">
        <f>[3]Icelandair!$FV$32</f>
        <v>5539</v>
      </c>
      <c r="J4" s="21">
        <f>[3]KLM!$FV$32</f>
        <v>3978</v>
      </c>
      <c r="K4" s="21">
        <f>'[3]Air Georgian'!$FV$32</f>
        <v>0</v>
      </c>
      <c r="L4" s="21">
        <f>'[3]Sky Regional'!$FV$32</f>
        <v>5347</v>
      </c>
      <c r="M4" s="21">
        <f>[3]Condor!$FV$32</f>
        <v>1784</v>
      </c>
      <c r="N4" s="21">
        <f>'[3]Air France'!$FV$32</f>
        <v>4862</v>
      </c>
      <c r="O4" s="21">
        <f>'[3]Charter Misc'!$FV$32+[3]Ryan!$FV$32+[3]Omni!$FV$32</f>
        <v>0</v>
      </c>
      <c r="P4" s="281">
        <f>SUM(B4:O4)</f>
        <v>109982</v>
      </c>
    </row>
    <row r="5" spans="1:16" x14ac:dyDescent="0.2">
      <c r="A5" s="62" t="s">
        <v>31</v>
      </c>
      <c r="B5" s="14">
        <f>[3]Delta!$FV$33</f>
        <v>74010</v>
      </c>
      <c r="C5" s="14">
        <f>'[3]Atlantic Southeast'!$FV$33</f>
        <v>0</v>
      </c>
      <c r="D5" s="14">
        <f>[3]Pinnacle!$FV$33</f>
        <v>0</v>
      </c>
      <c r="E5" s="14">
        <f>[3]Compass!$FV$33</f>
        <v>0</v>
      </c>
      <c r="F5" s="14">
        <f>'[3]Sky West'!$FV$33</f>
        <v>12668</v>
      </c>
      <c r="G5" s="14">
        <f>'[3]Go Jet'!$FV$33</f>
        <v>2030</v>
      </c>
      <c r="H5" s="14">
        <f>'[3]Sun Country'!$FV$33</f>
        <v>608</v>
      </c>
      <c r="I5" s="14">
        <f>[3]Icelandair!$FV$33</f>
        <v>5600</v>
      </c>
      <c r="J5" s="14">
        <f>[3]KLM!$FV$33</f>
        <v>3883</v>
      </c>
      <c r="K5" s="14">
        <f>'[3]Air Georgian'!$FV$33</f>
        <v>0</v>
      </c>
      <c r="L5" s="14">
        <f>'[3]Sky Regional'!$FV$33</f>
        <v>5659</v>
      </c>
      <c r="M5" s="14">
        <f>[3]Condor!$FV$33</f>
        <v>2146</v>
      </c>
      <c r="N5" s="14">
        <f>'[3]Air France'!$FV$33</f>
        <v>4458</v>
      </c>
      <c r="O5" s="14">
        <f>'[3]Charter Misc'!$FV$33++[3]Ryan!$FV$33+[3]Omni!$FV$33</f>
        <v>0</v>
      </c>
      <c r="P5" s="282">
        <f>SUM(B5:O5)</f>
        <v>111062</v>
      </c>
    </row>
    <row r="6" spans="1:16" ht="15" x14ac:dyDescent="0.25">
      <c r="A6" s="60" t="s">
        <v>7</v>
      </c>
      <c r="B6" s="34">
        <f t="shared" ref="B6:O6" si="0">SUM(B4:B5)</f>
        <v>147787</v>
      </c>
      <c r="C6" s="34">
        <f t="shared" si="0"/>
        <v>0</v>
      </c>
      <c r="D6" s="34">
        <f t="shared" si="0"/>
        <v>0</v>
      </c>
      <c r="E6" s="34">
        <f t="shared" si="0"/>
        <v>0</v>
      </c>
      <c r="F6" s="34">
        <f t="shared" si="0"/>
        <v>25050</v>
      </c>
      <c r="G6" s="34">
        <f t="shared" ref="G6" si="1">SUM(G4:G5)</f>
        <v>3921</v>
      </c>
      <c r="H6" s="34">
        <f t="shared" si="0"/>
        <v>1030</v>
      </c>
      <c r="I6" s="34">
        <f t="shared" si="0"/>
        <v>11139</v>
      </c>
      <c r="J6" s="34">
        <f t="shared" ref="J6" si="2">SUM(J4:J5)</f>
        <v>7861</v>
      </c>
      <c r="K6" s="34">
        <f t="shared" si="0"/>
        <v>0</v>
      </c>
      <c r="L6" s="34">
        <f t="shared" ref="L6" si="3">SUM(L4:L5)</f>
        <v>11006</v>
      </c>
      <c r="M6" s="34">
        <f t="shared" ref="M6" si="4">SUM(M4:M5)</f>
        <v>3930</v>
      </c>
      <c r="N6" s="34">
        <f t="shared" si="0"/>
        <v>9320</v>
      </c>
      <c r="O6" s="34">
        <f t="shared" si="0"/>
        <v>0</v>
      </c>
      <c r="P6" s="283">
        <f>SUM(B6:O6)</f>
        <v>221044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[3]Delta!$FV$37</f>
        <v>2047</v>
      </c>
      <c r="C9" s="21">
        <f>'[3]Atlantic Southeast'!$FV$37</f>
        <v>0</v>
      </c>
      <c r="D9" s="21">
        <f>[3]Pinnacle!$FV$37</f>
        <v>0</v>
      </c>
      <c r="E9" s="21">
        <f>[3]Compass!$FV$37</f>
        <v>0</v>
      </c>
      <c r="F9" s="21">
        <f>'[3]Sky West'!$FV$37</f>
        <v>169</v>
      </c>
      <c r="G9" s="21">
        <f>'[3]Go Jet'!$FV$37</f>
        <v>33</v>
      </c>
      <c r="H9" s="21">
        <f>'[3]Sun Country'!$FV$37</f>
        <v>6</v>
      </c>
      <c r="I9" s="21">
        <f>[3]Icelandair!$FV$37</f>
        <v>71</v>
      </c>
      <c r="J9" s="21">
        <f>[3]KLM!$FV$37</f>
        <v>16</v>
      </c>
      <c r="K9" s="21">
        <f>'[3]Air Georgian'!$FV$37</f>
        <v>0</v>
      </c>
      <c r="L9" s="21">
        <f>'[3]Sky Regional'!$FV$37</f>
        <v>52</v>
      </c>
      <c r="M9" s="21">
        <f>[3]Condor!$FV$37</f>
        <v>3</v>
      </c>
      <c r="N9" s="21">
        <f>'[3]Air France'!$FV$37</f>
        <v>8</v>
      </c>
      <c r="O9" s="21">
        <f>'[3]Charter Misc'!$FV$37+[3]Ryan!$FV$37+[3]Omni!$FV$37</f>
        <v>0</v>
      </c>
      <c r="P9" s="281">
        <f>SUM(B9:O9)</f>
        <v>2405</v>
      </c>
    </row>
    <row r="10" spans="1:16" x14ac:dyDescent="0.2">
      <c r="A10" s="62" t="s">
        <v>33</v>
      </c>
      <c r="B10" s="14">
        <f>[3]Delta!$FV$38</f>
        <v>1865</v>
      </c>
      <c r="C10" s="14">
        <f>'[3]Atlantic Southeast'!$FV$38</f>
        <v>0</v>
      </c>
      <c r="D10" s="14">
        <f>[3]Pinnacle!$FV$38</f>
        <v>0</v>
      </c>
      <c r="E10" s="14">
        <f>[3]Compass!$FV$38</f>
        <v>0</v>
      </c>
      <c r="F10" s="14">
        <f>'[3]Sky West'!$FV$38</f>
        <v>159</v>
      </c>
      <c r="G10" s="14">
        <f>'[3]Go Jet'!$FV$38</f>
        <v>27</v>
      </c>
      <c r="H10" s="14">
        <f>'[3]Sun Country'!$FV$38</f>
        <v>3</v>
      </c>
      <c r="I10" s="14">
        <f>[3]Icelandair!$FV$38</f>
        <v>69</v>
      </c>
      <c r="J10" s="14">
        <f>[3]KLM!$FV$38</f>
        <v>12</v>
      </c>
      <c r="K10" s="14">
        <f>'[3]Air Georgian'!$FV$38</f>
        <v>0</v>
      </c>
      <c r="L10" s="14">
        <f>'[3]Sky Regional'!$FV$38</f>
        <v>63</v>
      </c>
      <c r="M10" s="14">
        <f>[3]Condor!$FV$38</f>
        <v>4</v>
      </c>
      <c r="N10" s="14">
        <f>'[3]Air France'!$FV$38</f>
        <v>10</v>
      </c>
      <c r="O10" s="14">
        <f>'[3]Charter Misc'!$FV$38+[3]Ryan!$FV$38+[3]Omni!$FV$38</f>
        <v>0</v>
      </c>
      <c r="P10" s="282">
        <f>SUM(B10:O10)</f>
        <v>2212</v>
      </c>
    </row>
    <row r="11" spans="1:16" ht="15.75" thickBot="1" x14ac:dyDescent="0.3">
      <c r="A11" s="63" t="s">
        <v>34</v>
      </c>
      <c r="B11" s="284">
        <f t="shared" ref="B11:H11" si="5">SUM(B9:B10)</f>
        <v>3912</v>
      </c>
      <c r="C11" s="284">
        <f t="shared" si="5"/>
        <v>0</v>
      </c>
      <c r="D11" s="284">
        <f t="shared" si="5"/>
        <v>0</v>
      </c>
      <c r="E11" s="284">
        <f t="shared" si="5"/>
        <v>0</v>
      </c>
      <c r="F11" s="284">
        <f t="shared" si="5"/>
        <v>328</v>
      </c>
      <c r="G11" s="284">
        <f t="shared" ref="G11" si="6">SUM(G9:G10)</f>
        <v>60</v>
      </c>
      <c r="H11" s="284">
        <f t="shared" si="5"/>
        <v>9</v>
      </c>
      <c r="I11" s="284">
        <f t="shared" ref="I11:O11" si="7">SUM(I9:I10)</f>
        <v>140</v>
      </c>
      <c r="J11" s="284">
        <f t="shared" ref="J11" si="8">SUM(J9:J10)</f>
        <v>28</v>
      </c>
      <c r="K11" s="284">
        <f t="shared" si="7"/>
        <v>0</v>
      </c>
      <c r="L11" s="284">
        <f t="shared" ref="L11" si="9">SUM(L9:L10)</f>
        <v>115</v>
      </c>
      <c r="M11" s="284">
        <f t="shared" si="7"/>
        <v>7</v>
      </c>
      <c r="N11" s="284">
        <f t="shared" si="7"/>
        <v>18</v>
      </c>
      <c r="O11" s="284">
        <f t="shared" si="7"/>
        <v>0</v>
      </c>
      <c r="P11" s="285">
        <f>SUM(B11:O11)</f>
        <v>4617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SUM([3]Delta!$FN$32:$FV$32)</f>
        <v>746665</v>
      </c>
      <c r="C16" s="21">
        <f>SUM('[3]Atlantic Southeast'!$FN$32:$FV$32)</f>
        <v>2369</v>
      </c>
      <c r="D16" s="21">
        <f>SUM([3]Pinnacle!$FN$32:$FV$32)</f>
        <v>46095</v>
      </c>
      <c r="E16" s="21">
        <f>SUM([3]Compass!$FN$32:$FV$32)</f>
        <v>0</v>
      </c>
      <c r="F16" s="21">
        <f>SUM('[3]Sky West'!$FN$32:$FV$32)</f>
        <v>99342</v>
      </c>
      <c r="G16" s="21">
        <f>SUM('[3]Go Jet'!$FN$32:$FV$32)</f>
        <v>18856</v>
      </c>
      <c r="H16" s="21">
        <f>SUM('[3]Sun Country'!$FN$32:$FV$32)</f>
        <v>126271</v>
      </c>
      <c r="I16" s="21">
        <f>SUM([3]Icelandair!$FN$32:$FV$32)</f>
        <v>36877</v>
      </c>
      <c r="J16" s="21">
        <f>SUM([3]KLM!$FN$32:$FV$32)</f>
        <v>33225</v>
      </c>
      <c r="K16" s="21">
        <f>SUM('[3]Air Georgian'!$FN$32:$FV$32)</f>
        <v>0</v>
      </c>
      <c r="L16" s="21">
        <f>SUM('[3]Sky Regional'!$FN$32:$FV$32)</f>
        <v>44910</v>
      </c>
      <c r="M16" s="21">
        <f>SUM([3]Condor!$FN$32:$FV$32)</f>
        <v>14023</v>
      </c>
      <c r="N16" s="21">
        <f>SUM('[3]Air France'!$FN$32:$FV$32)</f>
        <v>29502</v>
      </c>
      <c r="O16" s="21">
        <f>SUM('[3]Charter Misc'!$FN$32:$FV$32)+SUM([3]Ryan!$FN$32:$FV$32)+SUM([3]Omni!$FN$32:$FV$32)</f>
        <v>37</v>
      </c>
      <c r="P16" s="281">
        <f>SUM(B16:O16)</f>
        <v>1198172</v>
      </c>
    </row>
    <row r="17" spans="1:19" x14ac:dyDescent="0.2">
      <c r="A17" s="62" t="s">
        <v>31</v>
      </c>
      <c r="B17" s="14">
        <f>SUM([3]Delta!$FN$33:$FV$33)</f>
        <v>729364</v>
      </c>
      <c r="C17" s="14">
        <f>SUM('[3]Atlantic Southeast'!$FN$33:$FV$33)</f>
        <v>3166</v>
      </c>
      <c r="D17" s="14">
        <f>SUM([3]Pinnacle!$FN$33:$FV$33)</f>
        <v>46645</v>
      </c>
      <c r="E17" s="14">
        <f>SUM([3]Compass!$FN$33:$FV$33)</f>
        <v>0</v>
      </c>
      <c r="F17" s="14">
        <f>SUM('[3]Sky West'!$FN$33:$FV$33)</f>
        <v>102259</v>
      </c>
      <c r="G17" s="14">
        <f>SUM('[3]Go Jet'!$FN$33:$FV$33)</f>
        <v>17844</v>
      </c>
      <c r="H17" s="14">
        <f>SUM('[3]Sun Country'!$FN$33:$FV$33)</f>
        <v>120131</v>
      </c>
      <c r="I17" s="14">
        <f>SUM([3]Icelandair!$FN$33:$FV$33)</f>
        <v>38036</v>
      </c>
      <c r="J17" s="14">
        <f>SUM([3]KLM!$FN$33:$FV$33)</f>
        <v>30422</v>
      </c>
      <c r="K17" s="14">
        <f>SUM('[3]Air Georgian'!$FN$33:$FV$33)</f>
        <v>0</v>
      </c>
      <c r="L17" s="14">
        <f>SUM('[3]Sky Regional'!$FN$33:$FV$33)</f>
        <v>44324</v>
      </c>
      <c r="M17" s="14">
        <f>SUM([3]Condor!$FN$33:$FV$33)</f>
        <v>14817</v>
      </c>
      <c r="N17" s="14">
        <f>SUM('[3]Air France'!$FN$33:$FV$33)</f>
        <v>26538</v>
      </c>
      <c r="O17" s="14">
        <f>SUM('[3]Charter Misc'!$FN$33:$FV$33)++SUM([3]Ryan!$FN$33:$FV$33)+SUM([3]Omni!$FN$33:$FV$33)</f>
        <v>0</v>
      </c>
      <c r="P17" s="282">
        <f>SUM(B17:O17)</f>
        <v>1173546</v>
      </c>
    </row>
    <row r="18" spans="1:19" ht="15" x14ac:dyDescent="0.25">
      <c r="A18" s="60" t="s">
        <v>7</v>
      </c>
      <c r="B18" s="34">
        <f t="shared" ref="B18:O18" si="10">SUM(B16:B17)</f>
        <v>1476029</v>
      </c>
      <c r="C18" s="34">
        <f t="shared" si="10"/>
        <v>5535</v>
      </c>
      <c r="D18" s="34">
        <f t="shared" si="10"/>
        <v>92740</v>
      </c>
      <c r="E18" s="34">
        <f t="shared" si="10"/>
        <v>0</v>
      </c>
      <c r="F18" s="34">
        <f t="shared" si="10"/>
        <v>201601</v>
      </c>
      <c r="G18" s="34">
        <f t="shared" ref="G18" si="11">SUM(G16:G17)</f>
        <v>36700</v>
      </c>
      <c r="H18" s="34">
        <f t="shared" si="10"/>
        <v>246402</v>
      </c>
      <c r="I18" s="34">
        <f t="shared" si="10"/>
        <v>74913</v>
      </c>
      <c r="J18" s="34">
        <f t="shared" ref="J18" si="12">SUM(J16:J17)</f>
        <v>63647</v>
      </c>
      <c r="K18" s="34">
        <f t="shared" si="10"/>
        <v>0</v>
      </c>
      <c r="L18" s="34">
        <f t="shared" ref="L18" si="13">SUM(L16:L17)</f>
        <v>89234</v>
      </c>
      <c r="M18" s="34">
        <f t="shared" ref="M18" si="14">SUM(M16:M17)</f>
        <v>28840</v>
      </c>
      <c r="N18" s="34">
        <f t="shared" si="10"/>
        <v>56040</v>
      </c>
      <c r="O18" s="34">
        <f t="shared" si="10"/>
        <v>37</v>
      </c>
      <c r="P18" s="283">
        <f>SUM(B18:O18)</f>
        <v>2371718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SUM([3]Delta!$FN$37:$FV$37)</f>
        <v>37893</v>
      </c>
      <c r="C21" s="21">
        <f>SUM('[3]Atlantic Southeast'!$FN$37:$FV$37)</f>
        <v>48</v>
      </c>
      <c r="D21" s="21">
        <f>SUM([3]Pinnacle!$FN$37:$FV$37)</f>
        <v>763</v>
      </c>
      <c r="E21" s="21">
        <f>SUM([3]Compass!$FN$37:$FV$37)</f>
        <v>0</v>
      </c>
      <c r="F21" s="21">
        <f>SUM('[3]Sky West'!$FN$37:$FV$37)</f>
        <v>996</v>
      </c>
      <c r="G21" s="21">
        <f>SUM('[3]Go Jet'!$FN$37:$FV$37)</f>
        <v>305</v>
      </c>
      <c r="H21" s="21">
        <f>SUM('[3]Sun Country'!$FN$37:$FV$37)</f>
        <v>787</v>
      </c>
      <c r="I21" s="21">
        <f>SUM([3]Icelandair!$FN$37:$FV$37)</f>
        <v>530</v>
      </c>
      <c r="J21" s="21">
        <f>SUM([3]KLM!$FN$37:$FV$37)</f>
        <v>238</v>
      </c>
      <c r="K21" s="21">
        <f>SUM('[3]Air Georgian'!$FN$37:$FV$37)</f>
        <v>0</v>
      </c>
      <c r="L21" s="21">
        <f>SUM('[3]Sky Regional'!$FN$37:$FV$37)</f>
        <v>506</v>
      </c>
      <c r="M21" s="21">
        <f>SUM([3]Condor!$FN$37:$FV$37)</f>
        <v>18</v>
      </c>
      <c r="N21" s="21">
        <f>SUM('[3]Air France'!$FN$37:$FV$37)</f>
        <v>61</v>
      </c>
      <c r="O21" s="21">
        <f>SUM('[3]Charter Misc'!$FN$37:$FV$37)++SUM([3]Ryan!$FN$37:$FV$37)+SUM([3]Omni!$FN$37:$FV$37)</f>
        <v>0</v>
      </c>
      <c r="P21" s="281">
        <f>SUM(B21:O21)</f>
        <v>42145</v>
      </c>
    </row>
    <row r="22" spans="1:19" x14ac:dyDescent="0.2">
      <c r="A22" s="62" t="s">
        <v>33</v>
      </c>
      <c r="B22" s="14">
        <f>SUM([3]Delta!$FN$38:$FV$38)</f>
        <v>19943</v>
      </c>
      <c r="C22" s="14">
        <f>SUM('[3]Atlantic Southeast'!$FN$38:$FV$38)</f>
        <v>35</v>
      </c>
      <c r="D22" s="14">
        <f>SUM([3]Pinnacle!$FN$38:$FV$38)</f>
        <v>818</v>
      </c>
      <c r="E22" s="14">
        <f>SUM([3]Compass!$FN$38:$FV$38)</f>
        <v>0</v>
      </c>
      <c r="F22" s="14">
        <f>SUM('[3]Sky West'!$FN$38:$FV$38)</f>
        <v>1002</v>
      </c>
      <c r="G22" s="14">
        <f>SUM('[3]Go Jet'!$FN$38:$FV$38)</f>
        <v>337</v>
      </c>
      <c r="H22" s="14">
        <f>SUM('[3]Sun Country'!$FN$38:$FV$38)</f>
        <v>952</v>
      </c>
      <c r="I22" s="14">
        <f>SUM([3]Icelandair!$FN$38:$FV$38)</f>
        <v>577</v>
      </c>
      <c r="J22" s="14">
        <f>SUM([3]KLM!$FN$38:$FV$38)</f>
        <v>192</v>
      </c>
      <c r="K22" s="14">
        <f>SUM('[3]Air Georgian'!$FN$38:$FV$38)</f>
        <v>0</v>
      </c>
      <c r="L22" s="14">
        <f>SUM('[3]Sky Regional'!$FN$38:$FV$38)</f>
        <v>535</v>
      </c>
      <c r="M22" s="14">
        <f>SUM([3]Condor!$FN$38:$FV$38)</f>
        <v>19</v>
      </c>
      <c r="N22" s="14">
        <f>SUM('[3]Air France'!$FN$38:$FV$38)</f>
        <v>50</v>
      </c>
      <c r="O22" s="14">
        <f>SUM('[3]Charter Misc'!$FN$38:$FV$38)++SUM([3]Ryan!$FN$38:$FV$38)+SUM([3]Omni!$FN$38:$FV$38)</f>
        <v>0</v>
      </c>
      <c r="P22" s="282">
        <f>SUM(B22:O22)</f>
        <v>24460</v>
      </c>
    </row>
    <row r="23" spans="1:19" ht="15.75" thickBot="1" x14ac:dyDescent="0.3">
      <c r="A23" s="63" t="s">
        <v>34</v>
      </c>
      <c r="B23" s="284">
        <f t="shared" ref="B23:O23" si="15">SUM(B21:B22)</f>
        <v>57836</v>
      </c>
      <c r="C23" s="284">
        <f t="shared" si="15"/>
        <v>83</v>
      </c>
      <c r="D23" s="284">
        <f t="shared" si="15"/>
        <v>1581</v>
      </c>
      <c r="E23" s="284">
        <f t="shared" si="15"/>
        <v>0</v>
      </c>
      <c r="F23" s="284">
        <f t="shared" si="15"/>
        <v>1998</v>
      </c>
      <c r="G23" s="284">
        <f t="shared" ref="G23" si="16">SUM(G21:G22)</f>
        <v>642</v>
      </c>
      <c r="H23" s="284">
        <f t="shared" si="15"/>
        <v>1739</v>
      </c>
      <c r="I23" s="284">
        <f t="shared" si="15"/>
        <v>1107</v>
      </c>
      <c r="J23" s="284">
        <f t="shared" ref="J23" si="17">SUM(J21:J22)</f>
        <v>430</v>
      </c>
      <c r="K23" s="284">
        <f t="shared" si="15"/>
        <v>0</v>
      </c>
      <c r="L23" s="284">
        <f t="shared" ref="L23" si="18">SUM(L21:L22)</f>
        <v>1041</v>
      </c>
      <c r="M23" s="284">
        <f t="shared" ref="M23" si="19">SUM(M21:M22)</f>
        <v>37</v>
      </c>
      <c r="N23" s="284">
        <f t="shared" si="15"/>
        <v>111</v>
      </c>
      <c r="O23" s="284">
        <f t="shared" si="15"/>
        <v>0</v>
      </c>
      <c r="P23" s="285">
        <f>SUM(B23:O23)</f>
        <v>66605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[3]Delta!$FV$15</f>
        <v>452</v>
      </c>
      <c r="C27" s="21">
        <f>'[3]Atlantic Southeast'!$FV$15</f>
        <v>0</v>
      </c>
      <c r="D27" s="21">
        <f>[3]Pinnacle!$FV$15</f>
        <v>0</v>
      </c>
      <c r="E27" s="21">
        <f>[3]Compass!$FV$15</f>
        <v>0</v>
      </c>
      <c r="F27" s="21">
        <f>'[3]Sky West'!$FV$15</f>
        <v>194</v>
      </c>
      <c r="G27" s="21">
        <f>'[3]Go Jet'!$FV$15</f>
        <v>30</v>
      </c>
      <c r="H27" s="21">
        <f>'[3]Sun Country'!$FV$15</f>
        <v>7</v>
      </c>
      <c r="I27" s="21">
        <f>[3]Icelandair!$FV$15</f>
        <v>37</v>
      </c>
      <c r="J27" s="21">
        <f>[3]KLM!$FV$15</f>
        <v>16</v>
      </c>
      <c r="K27" s="21">
        <f>'[3]Air Georgian'!$FV$15</f>
        <v>0</v>
      </c>
      <c r="L27" s="21">
        <f>'[3]Sky Regional'!$FV$15</f>
        <v>89</v>
      </c>
      <c r="M27" s="21">
        <f>[3]Condor!$FV$15</f>
        <v>8</v>
      </c>
      <c r="N27" s="21">
        <f>'[3]Air France'!$FV$15</f>
        <v>21</v>
      </c>
      <c r="O27" s="21">
        <f>'[3]Charter Misc'!$FV$15+[3]Ryan!$FV$15+[3]Omni!$FV$15</f>
        <v>0</v>
      </c>
      <c r="P27" s="281">
        <f>SUM(B27:O27)</f>
        <v>854</v>
      </c>
    </row>
    <row r="28" spans="1:19" x14ac:dyDescent="0.2">
      <c r="A28" s="62" t="s">
        <v>23</v>
      </c>
      <c r="B28" s="21">
        <f>[3]Delta!$FV$16</f>
        <v>452</v>
      </c>
      <c r="C28" s="21">
        <f>'[3]Atlantic Southeast'!$FV$16</f>
        <v>0</v>
      </c>
      <c r="D28" s="21">
        <f>[3]Pinnacle!$FV$16</f>
        <v>0</v>
      </c>
      <c r="E28" s="21">
        <f>[3]Compass!$FV$16</f>
        <v>0</v>
      </c>
      <c r="F28" s="21">
        <f>'[3]Sky West'!$FV$16</f>
        <v>194</v>
      </c>
      <c r="G28" s="21">
        <f>'[3]Go Jet'!$FV$16</f>
        <v>30</v>
      </c>
      <c r="H28" s="21">
        <f>'[3]Sun Country'!$FV$16</f>
        <v>7</v>
      </c>
      <c r="I28" s="21">
        <f>[3]Icelandair!$FV$16</f>
        <v>37</v>
      </c>
      <c r="J28" s="21">
        <f>[3]KLM!$FV$16</f>
        <v>16</v>
      </c>
      <c r="K28" s="21">
        <f>'[3]Air Georgian'!$FV$16</f>
        <v>0</v>
      </c>
      <c r="L28" s="21">
        <f>'[3]Sky Regional'!$FV$16</f>
        <v>89</v>
      </c>
      <c r="M28" s="21">
        <f>[3]Condor!$FV$16</f>
        <v>9</v>
      </c>
      <c r="N28" s="21">
        <f>'[3]Air France'!$FV$16</f>
        <v>21</v>
      </c>
      <c r="O28" s="21">
        <f>'[3]Charter Misc'!$FV$16+[3]Ryan!$FV$16+[3]Omni!$FV$16</f>
        <v>0</v>
      </c>
      <c r="P28" s="281">
        <f>SUM(B28:O28)</f>
        <v>855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904</v>
      </c>
      <c r="C30" s="381">
        <f t="shared" si="20"/>
        <v>0</v>
      </c>
      <c r="D30" s="381">
        <f t="shared" si="20"/>
        <v>0</v>
      </c>
      <c r="E30" s="381">
        <f t="shared" si="20"/>
        <v>0</v>
      </c>
      <c r="F30" s="381">
        <f>SUM(F27:F28)</f>
        <v>388</v>
      </c>
      <c r="G30" s="381">
        <f>SUM(G27:G28)</f>
        <v>60</v>
      </c>
      <c r="H30" s="381">
        <f t="shared" si="20"/>
        <v>14</v>
      </c>
      <c r="I30" s="381">
        <f t="shared" si="20"/>
        <v>74</v>
      </c>
      <c r="J30" s="381">
        <f t="shared" ref="J30" si="21">SUM(J27:J28)</f>
        <v>32</v>
      </c>
      <c r="K30" s="381">
        <f t="shared" si="20"/>
        <v>0</v>
      </c>
      <c r="L30" s="381">
        <f t="shared" ref="L30" si="22">SUM(L27:L28)</f>
        <v>178</v>
      </c>
      <c r="M30" s="381">
        <f>SUM(M27:M28)</f>
        <v>17</v>
      </c>
      <c r="N30" s="381">
        <f>SUM(N27:N28)</f>
        <v>42</v>
      </c>
      <c r="O30" s="381">
        <f>SUM(O27:O28)</f>
        <v>0</v>
      </c>
      <c r="P30" s="382">
        <f>SUM(B30:O30)</f>
        <v>1709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SUM([3]Delta!$FN$15:$FV$15)</f>
        <v>4458</v>
      </c>
      <c r="C34" s="21">
        <f>SUM('[3]Atlantic Southeast'!$FN$15:$FV$15)</f>
        <v>45</v>
      </c>
      <c r="D34" s="21">
        <f>SUM([3]Pinnacle!$FN$15:$FV$15)</f>
        <v>714</v>
      </c>
      <c r="E34" s="21">
        <f>SUM([3]Compass!$FN$15:$FV$15)</f>
        <v>1</v>
      </c>
      <c r="F34" s="21">
        <f>SUM('[3]Sky West'!$FN$15:$FV$15)</f>
        <v>1595</v>
      </c>
      <c r="G34" s="21">
        <f>SUM('[3]Go Jet'!$FN$15:$FV$15)</f>
        <v>296</v>
      </c>
      <c r="H34" s="21">
        <f>SUM('[3]Sun Country'!$FN$15:$FV$15)</f>
        <v>1034</v>
      </c>
      <c r="I34" s="21">
        <f>SUM([3]Icelandair!$FN$15:$FV$15)</f>
        <v>258</v>
      </c>
      <c r="J34" s="21">
        <f>SUM([3]KLM!$FN$15:$FV$15)</f>
        <v>135</v>
      </c>
      <c r="K34" s="21">
        <f>SUM('[3]Air Georgian'!$FN$15:$FV$15)</f>
        <v>0</v>
      </c>
      <c r="L34" s="21">
        <f>SUM('[3]Sky Regional'!$FN$15:$FV$15)</f>
        <v>774</v>
      </c>
      <c r="M34" s="21">
        <f>SUM([3]Condor!$FN$15:$FV$15)</f>
        <v>59</v>
      </c>
      <c r="N34" s="21">
        <f>SUM('[3]Air France'!$FN$15:$FV$15)</f>
        <v>126</v>
      </c>
      <c r="O34" s="21">
        <f>SUM('[3]Charter Misc'!$FN$15:$FV$15)+SUM([3]Ryan!$FN$15:$FV$15)+SUM([3]Omni!$FN$15:$FV$15)</f>
        <v>0</v>
      </c>
      <c r="P34" s="281">
        <f>SUM(B34:O34)</f>
        <v>9495</v>
      </c>
    </row>
    <row r="35" spans="1:16" x14ac:dyDescent="0.2">
      <c r="A35" s="62" t="s">
        <v>23</v>
      </c>
      <c r="B35" s="21">
        <f>SUM([3]Delta!$FN$16:$FV$16)</f>
        <v>4484</v>
      </c>
      <c r="C35" s="21">
        <f>SUM('[3]Atlantic Southeast'!$FN$16:$FV$16)</f>
        <v>54</v>
      </c>
      <c r="D35" s="21">
        <f>SUM([3]Pinnacle!$FN$16:$FV$16)</f>
        <v>714</v>
      </c>
      <c r="E35" s="21">
        <f>SUM([3]Compass!$FN$16:$FV$16)</f>
        <v>0</v>
      </c>
      <c r="F35" s="21">
        <f>SUM('[3]Sky West'!$FN$16:$FV$16)</f>
        <v>1604</v>
      </c>
      <c r="G35" s="21">
        <f>SUM('[3]Go Jet'!$FN$16:$FV$16)</f>
        <v>287</v>
      </c>
      <c r="H35" s="21">
        <f>SUM('[3]Sun Country'!$FN$16:$FV$16)</f>
        <v>1027</v>
      </c>
      <c r="I35" s="21">
        <f>SUM([3]Icelandair!$FN$16:$FV$16)</f>
        <v>258</v>
      </c>
      <c r="J35" s="21">
        <f>SUM([3]KLM!$FN$16:$FV$16)</f>
        <v>135</v>
      </c>
      <c r="K35" s="21">
        <f>SUM('[3]Air Georgian'!$FN$16:$FV$16)</f>
        <v>0</v>
      </c>
      <c r="L35" s="21">
        <f>SUM('[3]Sky Regional'!$FN$16:$FV$16)</f>
        <v>774</v>
      </c>
      <c r="M35" s="21">
        <f>SUM([3]Condor!$FN$16:$FV$16)</f>
        <v>60</v>
      </c>
      <c r="N35" s="21">
        <f>SUM('[3]Air France'!$FN$16:$FV$16)</f>
        <v>126</v>
      </c>
      <c r="O35" s="21">
        <f>SUM('[3]Charter Misc'!$FN$16:$FV$16)+SUM([3]Ryan!$FN$16:$FV$16)+SUM([3]Omni!$FN$16:$FV$16)</f>
        <v>0</v>
      </c>
      <c r="P35" s="281">
        <f>SUM(B35:O35)</f>
        <v>9523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8942</v>
      </c>
      <c r="C37" s="381">
        <f t="shared" si="23"/>
        <v>99</v>
      </c>
      <c r="D37" s="381">
        <f t="shared" si="23"/>
        <v>1428</v>
      </c>
      <c r="E37" s="381">
        <f t="shared" si="23"/>
        <v>1</v>
      </c>
      <c r="F37" s="381">
        <f>+SUM(F34:F35)</f>
        <v>3199</v>
      </c>
      <c r="G37" s="381">
        <f>+SUM(G34:G35)</f>
        <v>583</v>
      </c>
      <c r="H37" s="381">
        <f t="shared" si="23"/>
        <v>2061</v>
      </c>
      <c r="I37" s="381">
        <f t="shared" si="23"/>
        <v>516</v>
      </c>
      <c r="J37" s="381">
        <f t="shared" ref="J37" si="24">+SUM(J34:J35)</f>
        <v>270</v>
      </c>
      <c r="K37" s="381">
        <f t="shared" si="23"/>
        <v>0</v>
      </c>
      <c r="L37" s="381">
        <f t="shared" ref="L37" si="25">+SUM(L34:L35)</f>
        <v>1548</v>
      </c>
      <c r="M37" s="381">
        <f>+SUM(M34:M35)</f>
        <v>119</v>
      </c>
      <c r="N37" s="381">
        <f>+SUM(N34:N35)</f>
        <v>252</v>
      </c>
      <c r="O37" s="381">
        <f>+SUM(O34:O35)</f>
        <v>0</v>
      </c>
      <c r="P37" s="382">
        <f>SUM(B37:O37)</f>
        <v>19018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&amp;"Arial,Bold"September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3"/>
  <sheetViews>
    <sheetView topLeftCell="A38" zoomScaleNormal="100" zoomScaleSheetLayoutView="85" workbookViewId="0">
      <selection activeCell="C79" sqref="C79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5" t="s">
        <v>139</v>
      </c>
      <c r="K1" s="576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71">
        <v>43344</v>
      </c>
      <c r="B2" s="572"/>
      <c r="C2" s="573" t="s">
        <v>9</v>
      </c>
      <c r="D2" s="574"/>
      <c r="E2" s="574"/>
      <c r="F2" s="574"/>
      <c r="G2" s="574"/>
      <c r="H2" s="574"/>
      <c r="I2" s="454"/>
      <c r="J2" s="571">
        <f>+A2</f>
        <v>43344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178</v>
      </c>
      <c r="D4" s="352">
        <f>SUM(D5:D7)</f>
        <v>180</v>
      </c>
      <c r="E4" s="353">
        <f>(C4-D4)/D4</f>
        <v>-1.1111111111111112E-2</v>
      </c>
      <c r="F4" s="350">
        <f>SUM(F5:F7)</f>
        <v>1548</v>
      </c>
      <c r="G4" s="352">
        <f>SUM(G5:G7)</f>
        <v>1579</v>
      </c>
      <c r="H4" s="351">
        <f>(F4-G4)/G4</f>
        <v>-1.9632678910702975E-2</v>
      </c>
      <c r="I4" s="353">
        <f>F4/$F$66</f>
        <v>5.4971200488632896E-3</v>
      </c>
      <c r="J4" s="349" t="s">
        <v>101</v>
      </c>
      <c r="K4" s="55"/>
      <c r="L4" s="350">
        <f>SUM(L5:L7)</f>
        <v>11006</v>
      </c>
      <c r="M4" s="352">
        <f>SUM(M5:M7)</f>
        <v>10099</v>
      </c>
      <c r="N4" s="353">
        <f>(L4-M4)/M4</f>
        <v>8.9810872363600358E-2</v>
      </c>
      <c r="O4" s="350">
        <f>SUM(O5:O7)</f>
        <v>89234</v>
      </c>
      <c r="P4" s="352">
        <f>SUM(P5:P7)</f>
        <v>76361</v>
      </c>
      <c r="Q4" s="351">
        <f>(O4-P4)/P4</f>
        <v>0.16858082005212086</v>
      </c>
      <c r="R4" s="353">
        <f>O4/$O$66</f>
        <v>3.1829604428507646E-3</v>
      </c>
      <c r="S4" s="20"/>
    </row>
    <row r="5" spans="1:19" ht="14.1" customHeight="1" x14ac:dyDescent="0.2">
      <c r="A5" s="349"/>
      <c r="B5" s="425" t="s">
        <v>101</v>
      </c>
      <c r="C5" s="354">
        <f>+[3]AirCanada!$FV$19</f>
        <v>0</v>
      </c>
      <c r="D5" s="9">
        <f>+[3]AirCanada!$FH$19</f>
        <v>0</v>
      </c>
      <c r="E5" s="86" t="e">
        <f>(C5-D5)/D5</f>
        <v>#DIV/0!</v>
      </c>
      <c r="F5" s="295">
        <f>SUM([3]AirCanada!$FN$19:$FV$19)</f>
        <v>0</v>
      </c>
      <c r="G5" s="295">
        <f>SUM([3]AirCanada!$EZ$19:$FH$19)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+[3]AirCanada!$FV$41</f>
        <v>0</v>
      </c>
      <c r="M5" s="295">
        <f>+[3]AirCanada!$FH$41</f>
        <v>0</v>
      </c>
      <c r="N5" s="433" t="e">
        <f>(L5-M5)/M5</f>
        <v>#DIV/0!</v>
      </c>
      <c r="O5" s="431">
        <f>SUM([3]AirCanada!$FN$41:$FV$41)</f>
        <v>0</v>
      </c>
      <c r="P5" s="295">
        <f>SUM([3]AirCanada!$EZ$41:$FH$41)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Georgian'!$FV$19</f>
        <v>0</v>
      </c>
      <c r="D6" s="9">
        <f>'[3]Air Georgian'!$FH$19</f>
        <v>0</v>
      </c>
      <c r="E6" s="86" t="e">
        <f>(C6-D6)/D6</f>
        <v>#DIV/0!</v>
      </c>
      <c r="F6" s="295">
        <f>SUM('[3]Air Georgian'!$FN$19:$FV$19)</f>
        <v>0</v>
      </c>
      <c r="G6" s="295">
        <f>SUM('[3]Air Georgian'!$EZ$19:$FH$19)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Georgian'!$FV$41</f>
        <v>0</v>
      </c>
      <c r="M6" s="9">
        <f>'[3]Air Georgian'!$FH$41</f>
        <v>0</v>
      </c>
      <c r="N6" s="86" t="e">
        <f>(L6-M6)/M6</f>
        <v>#DIV/0!</v>
      </c>
      <c r="O6" s="354">
        <f>SUM('[3]Air Georgian'!$FN$41:$FV$41)</f>
        <v>0</v>
      </c>
      <c r="P6" s="9">
        <f>SUM('[3]Air Georgian'!$EZ$41:$FH$41)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Regional'!$FV$19</f>
        <v>178</v>
      </c>
      <c r="D7" s="9">
        <f>'[3]Sky Regional'!$FH$19</f>
        <v>180</v>
      </c>
      <c r="E7" s="86">
        <f>(C7-D7)/D7</f>
        <v>-1.1111111111111112E-2</v>
      </c>
      <c r="F7" s="295">
        <f>SUM('[3]Sky Regional'!$FN$19:$FV$19)</f>
        <v>1548</v>
      </c>
      <c r="G7" s="295">
        <f>SUM('[3]Sky Regional'!$EZ$19:$FH$19)</f>
        <v>644</v>
      </c>
      <c r="H7" s="432">
        <f>(F7-G7)/G7</f>
        <v>1.4037267080745341</v>
      </c>
      <c r="I7" s="86">
        <f>F7/$F$66</f>
        <v>5.4971200488632896E-3</v>
      </c>
      <c r="J7" s="349"/>
      <c r="K7" s="425" t="s">
        <v>214</v>
      </c>
      <c r="L7" s="354">
        <f>'[3]Sky Regional'!$FV$41</f>
        <v>11006</v>
      </c>
      <c r="M7" s="9">
        <f>'[3]Sky Regional'!$FH$41</f>
        <v>10099</v>
      </c>
      <c r="N7" s="86">
        <f>(L7-M7)/M7</f>
        <v>8.9810872363600358E-2</v>
      </c>
      <c r="O7" s="354">
        <f>SUM('[3]Sky Regional'!$FN$41:$FV$41)</f>
        <v>89234</v>
      </c>
      <c r="P7" s="9">
        <f>SUM('[3]Sky Regional'!$EZ$41:$FH$41)</f>
        <v>39212</v>
      </c>
      <c r="Q7" s="39">
        <f>(O7-P7)/P7</f>
        <v>1.2756809140059167</v>
      </c>
      <c r="R7" s="86">
        <f>O7/$O$66</f>
        <v>3.1829604428507646E-3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One'!$FV$19</f>
        <v>180</v>
      </c>
      <c r="D9" s="352">
        <f>'[3]Air Choice One'!$FH$19</f>
        <v>246</v>
      </c>
      <c r="E9" s="353">
        <f>(C9-D9)/D9</f>
        <v>-0.26829268292682928</v>
      </c>
      <c r="F9" s="352">
        <f>SUM('[3]Air Choice One'!$FN$19:$FV$19)</f>
        <v>1772</v>
      </c>
      <c r="G9" s="352">
        <f>SUM('[3]Air Choice One'!$EZ$19:$FH$19)</f>
        <v>2218</v>
      </c>
      <c r="H9" s="351">
        <f>(F9-G9)/G9</f>
        <v>-0.20108205590622183</v>
      </c>
      <c r="I9" s="353">
        <f>F9/$F$66</f>
        <v>6.2925689448228347E-3</v>
      </c>
      <c r="J9" s="349" t="s">
        <v>196</v>
      </c>
      <c r="K9" s="55"/>
      <c r="L9" s="350">
        <f>'[3]Air Choice One'!$FV$41</f>
        <v>804</v>
      </c>
      <c r="M9" s="352">
        <f>'[3]Air Choice One'!$FH$41</f>
        <v>781</v>
      </c>
      <c r="N9" s="353">
        <f>(L9-M9)/M9</f>
        <v>2.9449423815621E-2</v>
      </c>
      <c r="O9" s="350">
        <f>SUM('[3]Air Choice One'!$FN$41:$FV$41)</f>
        <v>7474</v>
      </c>
      <c r="P9" s="352">
        <f>SUM('[3]Air Choice One'!$EZ$41:$FH$41)</f>
        <v>7517</v>
      </c>
      <c r="Q9" s="351">
        <f>(O9-P9)/P9</f>
        <v>-5.7203671677530932E-3</v>
      </c>
      <c r="R9" s="353">
        <f>O9/$O$66</f>
        <v>2.6659621164429044E-4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France'!$FV$19</f>
        <v>42</v>
      </c>
      <c r="D11" s="352">
        <f>'[3]Air France'!$FH$19</f>
        <v>42</v>
      </c>
      <c r="E11" s="353">
        <f>(C11-D11)/D11</f>
        <v>0</v>
      </c>
      <c r="F11" s="352">
        <f>SUM('[3]Air France'!$FN$19:$FV$19)</f>
        <v>252</v>
      </c>
      <c r="G11" s="352">
        <f>SUM('[3]Air France'!$EZ$19:$FH$19)</f>
        <v>256</v>
      </c>
      <c r="H11" s="351">
        <f>(F11-G11)/G11</f>
        <v>-1.5625E-2</v>
      </c>
      <c r="I11" s="353">
        <f>F11/$F$66</f>
        <v>8.9488000795448898E-4</v>
      </c>
      <c r="J11" s="349" t="s">
        <v>162</v>
      </c>
      <c r="K11" s="55"/>
      <c r="L11" s="350">
        <f>'[3]Air France'!$FV$41</f>
        <v>9320</v>
      </c>
      <c r="M11" s="352">
        <f>'[3]Air France'!$FH$41</f>
        <v>10531</v>
      </c>
      <c r="N11" s="353">
        <f>(L11-M11)/M11</f>
        <v>-0.11499382774665275</v>
      </c>
      <c r="O11" s="350">
        <f>SUM('[3]Air France'!$FN$41:$FV$41)</f>
        <v>56040</v>
      </c>
      <c r="P11" s="352">
        <f>SUM('[3]Air France'!$EZ$41:$FH$41)</f>
        <v>63570</v>
      </c>
      <c r="Q11" s="351">
        <f>(O11-P11)/P11</f>
        <v>-0.11845210004719207</v>
      </c>
      <c r="R11" s="353">
        <f>O11/$O$66</f>
        <v>1.9989365400784101E-3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240</v>
      </c>
      <c r="D13" s="352">
        <f>SUM(D14:D16)</f>
        <v>300</v>
      </c>
      <c r="E13" s="353">
        <f>(C13-D13)/D13</f>
        <v>-0.2</v>
      </c>
      <c r="F13" s="352">
        <f>SUM(F14:F16)</f>
        <v>2754</v>
      </c>
      <c r="G13" s="352">
        <f>SUM(G14:G16)</f>
        <v>2048</v>
      </c>
      <c r="H13" s="351">
        <f>(F13-G13)/G13</f>
        <v>0.3447265625</v>
      </c>
      <c r="I13" s="353">
        <f>F13/$F$66</f>
        <v>9.7797600869312003E-3</v>
      </c>
      <c r="J13" s="349" t="s">
        <v>131</v>
      </c>
      <c r="K13" s="55"/>
      <c r="L13" s="350">
        <f>SUM(L14:L16)</f>
        <v>27292</v>
      </c>
      <c r="M13" s="352">
        <f>SUM(M14:M16)</f>
        <v>28745</v>
      </c>
      <c r="N13" s="353">
        <f>(L13-M13)/M13</f>
        <v>-5.0547921377630894E-2</v>
      </c>
      <c r="O13" s="350">
        <f>SUM(O14:O16)</f>
        <v>273598</v>
      </c>
      <c r="P13" s="352">
        <f>SUM(P14:P16)</f>
        <v>230310</v>
      </c>
      <c r="Q13" s="351">
        <f>(O13-P13)/P13</f>
        <v>0.18795536450870565</v>
      </c>
      <c r="R13" s="353">
        <f>O13/$O$66</f>
        <v>9.7591905691001585E-3</v>
      </c>
      <c r="S13" s="20"/>
    </row>
    <row r="14" spans="1:19" ht="14.1" customHeight="1" x14ac:dyDescent="0.2">
      <c r="A14" s="349"/>
      <c r="B14" s="425" t="s">
        <v>131</v>
      </c>
      <c r="C14" s="431">
        <f>[3]Alaska!$FV$19</f>
        <v>120</v>
      </c>
      <c r="D14" s="295">
        <f>[3]Alaska!$FH$19</f>
        <v>120</v>
      </c>
      <c r="E14" s="433">
        <f>(C14-D14)/D14</f>
        <v>0</v>
      </c>
      <c r="F14" s="295">
        <f>SUM([3]Alaska!$FN$19:$FV$19)</f>
        <v>1068</v>
      </c>
      <c r="G14" s="295">
        <f>SUM([3]Alaska!$EZ$19:$FH$19)</f>
        <v>1211</v>
      </c>
      <c r="H14" s="432">
        <f>(F14-G14)/G14</f>
        <v>-0.1180842279108175</v>
      </c>
      <c r="I14" s="433">
        <f>F14/$F$66</f>
        <v>3.7925867003785483E-3</v>
      </c>
      <c r="J14" s="349"/>
      <c r="K14" s="425" t="s">
        <v>131</v>
      </c>
      <c r="L14" s="431">
        <f>[3]Alaska!$FV$41</f>
        <v>19752</v>
      </c>
      <c r="M14" s="295">
        <f>[3]Alaska!$FH$41</f>
        <v>18013</v>
      </c>
      <c r="N14" s="433">
        <f>(L14-M14)/M14</f>
        <v>9.6541386776217181E-2</v>
      </c>
      <c r="O14" s="431">
        <f>SUM([3]Alaska!$FN$41:$FV$41)</f>
        <v>163773</v>
      </c>
      <c r="P14" s="295">
        <f>SUM([3]Alaska!$EZ$41:$FH$41)</f>
        <v>178476</v>
      </c>
      <c r="Q14" s="432">
        <f>(O14-P14)/P14</f>
        <v>-8.2380824312512604E-2</v>
      </c>
      <c r="R14" s="433">
        <f>O14/$O$66</f>
        <v>5.8417529260931739E-3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West_AS'!$FV$19</f>
        <v>0</v>
      </c>
      <c r="D15" s="9">
        <f>'[3]Sky West_AS'!$FH$19</f>
        <v>180</v>
      </c>
      <c r="E15" s="86">
        <f>(C15-D15)/D15</f>
        <v>-1</v>
      </c>
      <c r="F15" s="9">
        <f>SUM('[3]Sky West_AS'!$FN$19:$FV$19)</f>
        <v>694</v>
      </c>
      <c r="G15" s="9">
        <f>SUM('[3]Sky West_AS'!$EZ$19:$FH$19)</f>
        <v>837</v>
      </c>
      <c r="H15" s="39">
        <f>(F15-G15)/G15</f>
        <v>-0.17084826762246116</v>
      </c>
      <c r="I15" s="86">
        <f>F15/$F$66</f>
        <v>2.4644711330175212E-3</v>
      </c>
      <c r="J15" s="349"/>
      <c r="K15" s="425" t="s">
        <v>100</v>
      </c>
      <c r="L15" s="354">
        <f>'[3]Sky West_AS'!$FV$41</f>
        <v>0</v>
      </c>
      <c r="M15" s="9">
        <f>'[3]Sky West_AS'!$FH$41</f>
        <v>10732</v>
      </c>
      <c r="N15" s="86">
        <f>(L15-M15)/M15</f>
        <v>-1</v>
      </c>
      <c r="O15" s="354">
        <f>SUM('[3]Sky West_AS'!$FN$41:$FV$41)</f>
        <v>45980</v>
      </c>
      <c r="P15" s="9">
        <f>SUM('[3]Sky West_AS'!$EZ$41:$FH$41)</f>
        <v>51834</v>
      </c>
      <c r="Q15" s="39">
        <f>(O15-P15)/P15</f>
        <v>-0.11293745418065362</v>
      </c>
      <c r="R15" s="433">
        <f>O15/$O$66</f>
        <v>1.6400981818844628E-3</v>
      </c>
      <c r="S15" s="20"/>
    </row>
    <row r="16" spans="1:19" ht="14.1" customHeight="1" x14ac:dyDescent="0.2">
      <c r="A16" s="349"/>
      <c r="B16" s="425" t="s">
        <v>215</v>
      </c>
      <c r="C16" s="354">
        <f>[3]Horizon_AS!$FV$19</f>
        <v>120</v>
      </c>
      <c r="D16" s="9">
        <f>[3]Horizon_AS!$FH$19</f>
        <v>0</v>
      </c>
      <c r="E16" s="86" t="e">
        <f>(C16-D16)/D16</f>
        <v>#DIV/0!</v>
      </c>
      <c r="F16" s="9">
        <f>SUM([3]Horizon_AS!$FN$19:$FV$19)</f>
        <v>992</v>
      </c>
      <c r="G16" s="9">
        <f>SUM([3]Horizon_AS!$EZ$19:$FH$19)</f>
        <v>0</v>
      </c>
      <c r="H16" s="39" t="e">
        <f>(F16-G16)/G16</f>
        <v>#DIV/0!</v>
      </c>
      <c r="I16" s="86">
        <f>F16/$F$66</f>
        <v>3.5227022535351312E-3</v>
      </c>
      <c r="J16" s="349"/>
      <c r="K16" s="425" t="s">
        <v>215</v>
      </c>
      <c r="L16" s="354">
        <f>[3]Horizon_AS!$FV$41</f>
        <v>7540</v>
      </c>
      <c r="M16" s="9">
        <f>[3]Horizon_AS!$FH$41</f>
        <v>0</v>
      </c>
      <c r="N16" s="86" t="e">
        <f>(L16-M16)/M16</f>
        <v>#DIV/0!</v>
      </c>
      <c r="O16" s="354">
        <f>SUM([3]Horizon_AS!$FN$41:$FV$41)</f>
        <v>63845</v>
      </c>
      <c r="P16" s="9">
        <f>SUM([3]Horizon_AS!$EZ$41:$FH$41)</f>
        <v>0</v>
      </c>
      <c r="Q16" s="39" t="e">
        <f>(O16-P16)/P16</f>
        <v>#DIV/0!</v>
      </c>
      <c r="R16" s="433">
        <f>O16/$O$66</f>
        <v>2.2773394611225214E-3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1682</v>
      </c>
      <c r="D18" s="352">
        <f>SUM(D19:D25)</f>
        <v>1784</v>
      </c>
      <c r="E18" s="353">
        <f t="shared" ref="E18:E25" si="0">(C18-D18)/D18</f>
        <v>-5.717488789237668E-2</v>
      </c>
      <c r="F18" s="350">
        <f>SUM(F19:F25)</f>
        <v>15564</v>
      </c>
      <c r="G18" s="352">
        <f>SUM(G19:G25)</f>
        <v>17435</v>
      </c>
      <c r="H18" s="351">
        <f t="shared" ref="H18:H25" si="1">(F18-G18)/G18</f>
        <v>-0.1073128763980499</v>
      </c>
      <c r="I18" s="353">
        <f t="shared" ref="I18:I25" si="2">F18/$F$66</f>
        <v>5.5269493824617724E-2</v>
      </c>
      <c r="J18" s="349" t="s">
        <v>17</v>
      </c>
      <c r="K18" s="357"/>
      <c r="L18" s="350">
        <f>SUM(L19:L25)</f>
        <v>160287</v>
      </c>
      <c r="M18" s="352">
        <f>SUM(M19:M25)</f>
        <v>186856</v>
      </c>
      <c r="N18" s="353">
        <f t="shared" ref="N18:N25" si="3">(L18-M18)/M18</f>
        <v>-0.14218970758230937</v>
      </c>
      <c r="O18" s="350">
        <f>SUM(O19:O25)</f>
        <v>1603690</v>
      </c>
      <c r="P18" s="352">
        <f>SUM(P19:P25)</f>
        <v>1800743</v>
      </c>
      <c r="Q18" s="351">
        <f t="shared" ref="Q18:Q25" si="4">(O18-P18)/P18</f>
        <v>-0.109428719145375</v>
      </c>
      <c r="R18" s="353">
        <f t="shared" ref="R18:R25" si="5">O18/$O$66</f>
        <v>5.7203328693046854E-2</v>
      </c>
      <c r="S18" s="20"/>
    </row>
    <row r="19" spans="1:22" ht="14.1" customHeight="1" x14ac:dyDescent="0.2">
      <c r="A19" s="53"/>
      <c r="B19" s="359" t="s">
        <v>17</v>
      </c>
      <c r="C19" s="354">
        <f>[3]American!$FV$19</f>
        <v>1188</v>
      </c>
      <c r="D19" s="9">
        <f>[3]American!$FH$19</f>
        <v>1342</v>
      </c>
      <c r="E19" s="86">
        <f t="shared" si="0"/>
        <v>-0.11475409836065574</v>
      </c>
      <c r="F19" s="9">
        <f>SUM([3]American!$FN$19:$FV$19)</f>
        <v>10788</v>
      </c>
      <c r="G19" s="9">
        <f>SUM([3]American!$EZ$19:$FH$19)</f>
        <v>13425</v>
      </c>
      <c r="H19" s="39">
        <f t="shared" si="1"/>
        <v>-0.1964245810055866</v>
      </c>
      <c r="I19" s="86">
        <f t="shared" si="2"/>
        <v>3.8309387007194551E-2</v>
      </c>
      <c r="J19" s="53"/>
      <c r="K19" s="358" t="s">
        <v>17</v>
      </c>
      <c r="L19" s="354">
        <f>[3]American!$FV$41</f>
        <v>133585</v>
      </c>
      <c r="M19" s="9">
        <f>[3]American!$FH$41</f>
        <v>164573</v>
      </c>
      <c r="N19" s="86">
        <f t="shared" si="3"/>
        <v>-0.18829334094900135</v>
      </c>
      <c r="O19" s="354">
        <f>SUM([3]American!$FN$41:$FV$41)</f>
        <v>1332949</v>
      </c>
      <c r="P19" s="9">
        <f>SUM([3]American!$EZ$41:$FH$41)</f>
        <v>1599119</v>
      </c>
      <c r="Q19" s="39">
        <f t="shared" si="4"/>
        <v>-0.16644790037514406</v>
      </c>
      <c r="R19" s="86">
        <f t="shared" si="5"/>
        <v>4.7546046790881098E-2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Eagle'!$FV$19</f>
        <v>10</v>
      </c>
      <c r="D20" s="9">
        <f>'[3]American Eagle'!$FH$19</f>
        <v>0</v>
      </c>
      <c r="E20" s="86" t="e">
        <f t="shared" si="0"/>
        <v>#DIV/0!</v>
      </c>
      <c r="F20" s="9">
        <f>SUM('[3]American Eagle'!$FN$19:$FV$19)</f>
        <v>378</v>
      </c>
      <c r="G20" s="9">
        <f>SUM('[3]American Eagle'!$EZ$19:$FH$19)</f>
        <v>126</v>
      </c>
      <c r="H20" s="39">
        <f t="shared" si="1"/>
        <v>2</v>
      </c>
      <c r="I20" s="86">
        <f t="shared" si="2"/>
        <v>1.3423200119317335E-3</v>
      </c>
      <c r="J20" s="53"/>
      <c r="K20" s="424" t="s">
        <v>173</v>
      </c>
      <c r="L20" s="354">
        <f>'[3]American Eagle'!$FV$41</f>
        <v>440</v>
      </c>
      <c r="M20" s="9">
        <f>'[3]American Eagle'!$FH$41</f>
        <v>0</v>
      </c>
      <c r="N20" s="86" t="e">
        <f t="shared" si="3"/>
        <v>#DIV/0!</v>
      </c>
      <c r="O20" s="354">
        <f>SUM('[3]American Eagle'!$FN$41:$FV$41)</f>
        <v>23025</v>
      </c>
      <c r="P20" s="9">
        <f>SUM('[3]American Eagle'!$EZ$41:$FH$41)</f>
        <v>6485</v>
      </c>
      <c r="Q20" s="39">
        <f t="shared" si="4"/>
        <v>2.5505011565150348</v>
      </c>
      <c r="R20" s="86">
        <f t="shared" si="5"/>
        <v>8.2129753453435744E-4</v>
      </c>
      <c r="S20" s="20"/>
    </row>
    <row r="21" spans="1:22" ht="14.1" customHeight="1" x14ac:dyDescent="0.2">
      <c r="A21" s="53"/>
      <c r="B21" s="426" t="s">
        <v>52</v>
      </c>
      <c r="C21" s="354">
        <f>[3]Republic!$FV$19</f>
        <v>428</v>
      </c>
      <c r="D21" s="9">
        <f>[3]Republic!$FH$19</f>
        <v>374</v>
      </c>
      <c r="E21" s="86">
        <f t="shared" si="0"/>
        <v>0.14438502673796791</v>
      </c>
      <c r="F21" s="9">
        <f>SUM([3]Republic!$FN$19:$FV$19)</f>
        <v>3763</v>
      </c>
      <c r="G21" s="9">
        <f>SUM([3]Republic!$EZ$19:$FH$19)</f>
        <v>3407</v>
      </c>
      <c r="H21" s="39">
        <f t="shared" si="1"/>
        <v>0.10449075432932198</v>
      </c>
      <c r="I21" s="86">
        <f t="shared" si="2"/>
        <v>1.3362831229891833E-2</v>
      </c>
      <c r="J21" s="363"/>
      <c r="K21" s="360" t="s">
        <v>52</v>
      </c>
      <c r="L21" s="354">
        <f>[3]Republic!$FV$41</f>
        <v>23208</v>
      </c>
      <c r="M21" s="9">
        <f>[3]Republic!$FH$41</f>
        <v>19091</v>
      </c>
      <c r="N21" s="86">
        <f t="shared" si="3"/>
        <v>0.21565135404117122</v>
      </c>
      <c r="O21" s="354">
        <f>SUM([3]Republic!$FN$41:$FV$41)</f>
        <v>212442</v>
      </c>
      <c r="P21" s="9">
        <f>SUM([3]Republic!$EZ$41:$FH$41)</f>
        <v>172317</v>
      </c>
      <c r="Q21" s="39">
        <f t="shared" si="4"/>
        <v>0.23285572520412959</v>
      </c>
      <c r="R21" s="86">
        <f t="shared" si="5"/>
        <v>7.577767245669836E-3</v>
      </c>
      <c r="S21" s="20"/>
    </row>
    <row r="22" spans="1:22" ht="14.1" customHeight="1" x14ac:dyDescent="0.2">
      <c r="A22" s="53"/>
      <c r="B22" s="426" t="s">
        <v>200</v>
      </c>
      <c r="C22" s="354">
        <f>[3]PSA!$FV$19</f>
        <v>0</v>
      </c>
      <c r="D22" s="9">
        <f>[3]PSA!$FH$19</f>
        <v>68</v>
      </c>
      <c r="E22" s="86">
        <f t="shared" si="0"/>
        <v>-1</v>
      </c>
      <c r="F22" s="9">
        <f>SUM([3]PSA!$FN$19:$FV$19)</f>
        <v>178</v>
      </c>
      <c r="G22" s="9">
        <f>SUM([3]PSA!$EZ$19:$FH$19)</f>
        <v>398</v>
      </c>
      <c r="H22" s="39">
        <f t="shared" si="1"/>
        <v>-0.55276381909547734</v>
      </c>
      <c r="I22" s="86">
        <f t="shared" si="2"/>
        <v>6.3209778339642475E-4</v>
      </c>
      <c r="J22" s="363"/>
      <c r="K22" s="426" t="s">
        <v>200</v>
      </c>
      <c r="L22" s="354">
        <f>[3]PSA!$FV$41</f>
        <v>0</v>
      </c>
      <c r="M22" s="9">
        <f>[3]PSA!$FH$41</f>
        <v>3192</v>
      </c>
      <c r="N22" s="86">
        <f t="shared" si="3"/>
        <v>-1</v>
      </c>
      <c r="O22" s="354">
        <f>SUM([3]PSA!$FN$41:$FV$41)</f>
        <v>7565</v>
      </c>
      <c r="P22" s="9">
        <f>SUM([3]PSA!$EZ$41:$FH$41)</f>
        <v>18748</v>
      </c>
      <c r="Q22" s="39">
        <f t="shared" si="4"/>
        <v>-0.59649029229784511</v>
      </c>
      <c r="R22" s="86">
        <f t="shared" si="5"/>
        <v>2.6984216498381823E-4</v>
      </c>
      <c r="S22" s="20"/>
    </row>
    <row r="23" spans="1:22" ht="14.1" customHeight="1" x14ac:dyDescent="0.2">
      <c r="A23" s="53"/>
      <c r="B23" s="425" t="s">
        <v>100</v>
      </c>
      <c r="C23" s="354">
        <f>'[3]Sky West_AA'!$FV$19</f>
        <v>56</v>
      </c>
      <c r="D23" s="9">
        <f>'[3]Sky West_AA'!$FH$19</f>
        <v>0</v>
      </c>
      <c r="E23" s="86" t="e">
        <f>(C23-D23)/D23</f>
        <v>#DIV/0!</v>
      </c>
      <c r="F23" s="9">
        <f>SUM('[3]Sky West_AA'!$FN$19:$FV$19)</f>
        <v>457</v>
      </c>
      <c r="G23" s="9">
        <f>SUM('[3]Sky West_AA'!$EZ$19:$FH$19)</f>
        <v>77</v>
      </c>
      <c r="H23" s="39">
        <f>(F23-G23)/G23</f>
        <v>4.9350649350649354</v>
      </c>
      <c r="I23" s="86">
        <f t="shared" si="2"/>
        <v>1.6228577922031803E-3</v>
      </c>
      <c r="J23" s="363"/>
      <c r="K23" s="425" t="s">
        <v>100</v>
      </c>
      <c r="L23" s="354">
        <f>'[3]Sky West_AA'!$FV$41</f>
        <v>3054</v>
      </c>
      <c r="M23" s="9">
        <f>'[3]Sky West_AA'!$FH$41</f>
        <v>0</v>
      </c>
      <c r="N23" s="86" t="e">
        <f>(L23-M23)/M23</f>
        <v>#DIV/0!</v>
      </c>
      <c r="O23" s="354">
        <f>SUM('[3]Sky West_AA'!$FN$41:$FV$41)</f>
        <v>27709</v>
      </c>
      <c r="P23" s="9">
        <f>SUM('[3]Sky West_AA'!$EZ$41:$FH$41)</f>
        <v>3984</v>
      </c>
      <c r="Q23" s="39">
        <f>(O23-P23)/P23</f>
        <v>5.955070281124498</v>
      </c>
      <c r="R23" s="433">
        <f t="shared" si="5"/>
        <v>9.8837495697774204E-4</v>
      </c>
      <c r="S23" s="20"/>
    </row>
    <row r="24" spans="1:22" ht="14.1" customHeight="1" x14ac:dyDescent="0.2">
      <c r="A24" s="53"/>
      <c r="B24" s="426" t="s">
        <v>51</v>
      </c>
      <c r="C24" s="354">
        <f>[3]MESA!$FV$19</f>
        <v>0</v>
      </c>
      <c r="D24" s="9">
        <f>[3]MESA!$FH$19</f>
        <v>0</v>
      </c>
      <c r="E24" s="86" t="e">
        <f t="shared" si="0"/>
        <v>#DIV/0!</v>
      </c>
      <c r="F24" s="9">
        <f>SUM([3]MESA!$FN$19:$FV$19)</f>
        <v>0</v>
      </c>
      <c r="G24" s="9">
        <f>SUM([3]MESA!$EZ$19:$FH$19)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[3]MESA!$FV$41</f>
        <v>0</v>
      </c>
      <c r="M24" s="9">
        <f>[3]MESA!$FH$41</f>
        <v>0</v>
      </c>
      <c r="N24" s="86" t="e">
        <f t="shared" si="3"/>
        <v>#DIV/0!</v>
      </c>
      <c r="O24" s="354">
        <f>SUM([3]MESA!$FN$41:$FV$41)</f>
        <v>0</v>
      </c>
      <c r="P24" s="9">
        <f>SUM([3]MESA!$EZ$41:$FH$41)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Wisconsin'!$FV$19</f>
        <v>0</v>
      </c>
      <c r="D25" s="9">
        <f>'[3]Air Wisconsin'!$FH$19</f>
        <v>0</v>
      </c>
      <c r="E25" s="86" t="e">
        <f t="shared" si="0"/>
        <v>#DIV/0!</v>
      </c>
      <c r="F25" s="9">
        <f>SUM('[3]Air Wisconsin'!$FN$19:$FV$19)</f>
        <v>0</v>
      </c>
      <c r="G25" s="9">
        <f>SUM('[3]Air Wisconsin'!$EZ$19:$FH$19)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Wisconsin'!$FV$41</f>
        <v>0</v>
      </c>
      <c r="M25" s="9">
        <f>'[3]Air Wisconsin'!$FH$41</f>
        <v>0</v>
      </c>
      <c r="N25" s="86" t="e">
        <f t="shared" si="3"/>
        <v>#DIV/0!</v>
      </c>
      <c r="O25" s="354">
        <f>SUM('[3]Air Wisconsin'!$FN$41:$FV$41)</f>
        <v>0</v>
      </c>
      <c r="P25" s="9">
        <f>SUM('[3]Air Wisconsin'!$EZ$41:$FH$41)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Air'!$FV$19</f>
        <v>144</v>
      </c>
      <c r="D27" s="352">
        <f>'[3]Boutique Air'!$FH$19</f>
        <v>154</v>
      </c>
      <c r="E27" s="353">
        <f>(C27-D27)/D27</f>
        <v>-6.4935064935064929E-2</v>
      </c>
      <c r="F27" s="352">
        <f>SUM('[3]Boutique Air'!$FN$19:$FV$19)</f>
        <v>1360</v>
      </c>
      <c r="G27" s="352">
        <f>SUM('[3]Boutique Air'!$EZ$19:$FH$19)</f>
        <v>1394</v>
      </c>
      <c r="H27" s="351">
        <f>(F27-G27)/G27</f>
        <v>-2.4390243902439025E-2</v>
      </c>
      <c r="I27" s="353">
        <f>F27/$F$66</f>
        <v>4.8295111540400991E-3</v>
      </c>
      <c r="J27" s="349" t="s">
        <v>197</v>
      </c>
      <c r="K27" s="359"/>
      <c r="L27" s="350">
        <f>'[3]Boutique Air'!$FV$41</f>
        <v>790</v>
      </c>
      <c r="M27" s="352">
        <f>'[3]Boutique Air'!$FH$41</f>
        <v>866</v>
      </c>
      <c r="N27" s="353">
        <f>(L27-M27)/M27</f>
        <v>-8.7759815242494224E-2</v>
      </c>
      <c r="O27" s="350">
        <f>SUM('[3]Boutique Air'!$FN$41:$FV$41)</f>
        <v>7361</v>
      </c>
      <c r="P27" s="352">
        <f>SUM('[3]Boutique Air'!$EZ$41:$FH$41)</f>
        <v>8756</v>
      </c>
      <c r="Q27" s="351">
        <f>(O27-P27)/P27</f>
        <v>-0.15931932389218822</v>
      </c>
      <c r="R27" s="353">
        <f>O27/$O$66</f>
        <v>2.6256552233256916E-4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[3]Condor!$FV$19</f>
        <v>17</v>
      </c>
      <c r="D29" s="352">
        <f>[3]Condor!$FH$19</f>
        <v>3</v>
      </c>
      <c r="E29" s="353">
        <f>(C29-D29)/D29</f>
        <v>4.666666666666667</v>
      </c>
      <c r="F29" s="352">
        <f>SUM([3]Condor!$FN$19:$FV$19)</f>
        <v>121</v>
      </c>
      <c r="G29" s="352">
        <f>SUM([3]Condor!$EZ$19:$FH$19)</f>
        <v>121</v>
      </c>
      <c r="H29" s="351">
        <f>(F29-G29)/G29</f>
        <v>0</v>
      </c>
      <c r="I29" s="353">
        <f>F29/$F$66</f>
        <v>4.2968444826386174E-4</v>
      </c>
      <c r="J29" s="349" t="s">
        <v>168</v>
      </c>
      <c r="K29" s="359"/>
      <c r="L29" s="350">
        <f>[3]Condor!$FV$41</f>
        <v>3930</v>
      </c>
      <c r="M29" s="352">
        <f>[3]Condor!$FH$41</f>
        <v>702</v>
      </c>
      <c r="N29" s="353">
        <f>(L29-M29)/M29</f>
        <v>4.5982905982905979</v>
      </c>
      <c r="O29" s="350">
        <f>SUM([3]Condor!$FN$41:$FV$41)</f>
        <v>28840</v>
      </c>
      <c r="P29" s="352">
        <f>SUM([3]Condor!$EZ$41:$FH$41)</f>
        <v>28112</v>
      </c>
      <c r="Q29" s="351">
        <f>(O29-P29)/P29</f>
        <v>2.5896414342629483E-2</v>
      </c>
      <c r="R29" s="353">
        <f>O29/$O$66</f>
        <v>1.0287175199118726E-3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22501</v>
      </c>
      <c r="D31" s="352">
        <f>SUM(D32:D38)</f>
        <v>22214</v>
      </c>
      <c r="E31" s="353">
        <f t="shared" ref="E31:E38" si="6">(C31-D31)/D31</f>
        <v>1.2919780318717926E-2</v>
      </c>
      <c r="F31" s="355">
        <f>SUM(F32:F38)</f>
        <v>206952</v>
      </c>
      <c r="G31" s="355">
        <f>SUM(G32:G38)</f>
        <v>207988</v>
      </c>
      <c r="H31" s="351">
        <f>(F31-G31)/G31</f>
        <v>-4.9810565994191976E-3</v>
      </c>
      <c r="I31" s="353">
        <f t="shared" ref="I31:I38" si="7">F31/$F$66</f>
        <v>0.73490955319919604</v>
      </c>
      <c r="J31" s="349" t="s">
        <v>18</v>
      </c>
      <c r="K31" s="361"/>
      <c r="L31" s="350">
        <f>SUM(L32:L38)</f>
        <v>2144261</v>
      </c>
      <c r="M31" s="352">
        <f>SUM(M32:M38)</f>
        <v>2124142</v>
      </c>
      <c r="N31" s="353">
        <f t="shared" ref="N31:N38" si="8">(L31-M31)/M31</f>
        <v>9.4715889992288659E-3</v>
      </c>
      <c r="O31" s="350">
        <f>SUM(O32:O38)</f>
        <v>19988820</v>
      </c>
      <c r="P31" s="352">
        <f>SUM(P32:P38)</f>
        <v>19760659</v>
      </c>
      <c r="Q31" s="351">
        <f t="shared" ref="Q31:Q38" si="9">(O31-P31)/P31</f>
        <v>1.1546224242825099E-2</v>
      </c>
      <c r="R31" s="353">
        <f t="shared" ref="R31:R38" si="10">O31/$O$66</f>
        <v>0.71299754980460606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[3]Delta!$FV$19</f>
        <v>12487</v>
      </c>
      <c r="D32" s="9">
        <f>[3]Delta!$FH$19</f>
        <v>12468</v>
      </c>
      <c r="E32" s="86">
        <f t="shared" si="6"/>
        <v>1.5239011870388194E-3</v>
      </c>
      <c r="F32" s="9">
        <f>SUM([3]Delta!$FN$19:$FV$19)</f>
        <v>109506</v>
      </c>
      <c r="G32" s="9">
        <f>SUM([3]Delta!$EZ$19:$FH$19)</f>
        <v>109099</v>
      </c>
      <c r="H32" s="39">
        <f t="shared" ref="H32:H38" si="11">(F32-G32)/G32</f>
        <v>3.7305566503817635E-3</v>
      </c>
      <c r="I32" s="86">
        <f t="shared" si="7"/>
        <v>0.38886797678993756</v>
      </c>
      <c r="J32" s="53"/>
      <c r="K32" s="358" t="s">
        <v>18</v>
      </c>
      <c r="L32" s="354">
        <f>[3]Delta!$FV$41</f>
        <v>1653558</v>
      </c>
      <c r="M32" s="9">
        <f>[3]Delta!$FH$41</f>
        <v>1646655</v>
      </c>
      <c r="N32" s="86">
        <f t="shared" si="8"/>
        <v>4.1921349645189796E-3</v>
      </c>
      <c r="O32" s="354">
        <f>SUM([3]Delta!$FN$41:$FV$41)</f>
        <v>15074388</v>
      </c>
      <c r="P32" s="9">
        <f>SUM([3]Delta!$EZ$41:$FH$41)</f>
        <v>14862915</v>
      </c>
      <c r="Q32" s="39">
        <f t="shared" si="9"/>
        <v>1.4228231810516308E-2</v>
      </c>
      <c r="R32" s="86">
        <f t="shared" si="10"/>
        <v>0.53770066010919881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[3]Compass!$FV$19</f>
        <v>0</v>
      </c>
      <c r="D33" s="9">
        <f>[3]Compass!$FH$19</f>
        <v>744</v>
      </c>
      <c r="E33" s="86">
        <f t="shared" si="6"/>
        <v>-1</v>
      </c>
      <c r="F33" s="9">
        <f>SUM([3]Compass!$FN$19:$FV$19)</f>
        <v>2</v>
      </c>
      <c r="G33" s="9">
        <f>SUM([3]Compass!$EZ$19:$FH$19)</f>
        <v>9173</v>
      </c>
      <c r="H33" s="39">
        <f t="shared" si="11"/>
        <v>-0.99978196882154147</v>
      </c>
      <c r="I33" s="86">
        <f t="shared" si="7"/>
        <v>7.1022222853530872E-6</v>
      </c>
      <c r="J33" s="53"/>
      <c r="K33" s="360" t="s">
        <v>120</v>
      </c>
      <c r="L33" s="354">
        <f>[3]Compass!$FV$41</f>
        <v>0</v>
      </c>
      <c r="M33" s="9">
        <f>[3]Compass!$FH$41</f>
        <v>46429</v>
      </c>
      <c r="N33" s="86">
        <f t="shared" si="8"/>
        <v>-1</v>
      </c>
      <c r="O33" s="354">
        <f>SUM([3]Compass!$FN$41:$FV$41)</f>
        <v>0</v>
      </c>
      <c r="P33" s="9">
        <f>SUM([3]Compass!$EZ$41:$FH$41)</f>
        <v>544251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[3]Pinnacle!$FV$19</f>
        <v>1989</v>
      </c>
      <c r="D34" s="9">
        <f>[3]Pinnacle!$FH$19</f>
        <v>2650</v>
      </c>
      <c r="E34" s="86">
        <f t="shared" si="6"/>
        <v>-0.24943396226415093</v>
      </c>
      <c r="F34" s="9">
        <f>SUM([3]Pinnacle!$FN$19:$FV$19)</f>
        <v>18440</v>
      </c>
      <c r="G34" s="9">
        <f>SUM([3]Pinnacle!$EZ$19:$FH$19)</f>
        <v>28035</v>
      </c>
      <c r="H34" s="39">
        <f t="shared" si="11"/>
        <v>-0.34225075798109506</v>
      </c>
      <c r="I34" s="86">
        <f t="shared" si="7"/>
        <v>6.548248947095546E-2</v>
      </c>
      <c r="J34" s="53"/>
      <c r="K34" s="359" t="s">
        <v>164</v>
      </c>
      <c r="L34" s="354">
        <f>[3]Pinnacle!$FV$41</f>
        <v>116082</v>
      </c>
      <c r="M34" s="9">
        <f>[3]Pinnacle!$FH$41</f>
        <v>129772</v>
      </c>
      <c r="N34" s="86">
        <f t="shared" si="8"/>
        <v>-0.10549271029189655</v>
      </c>
      <c r="O34" s="354">
        <f>SUM([3]Pinnacle!$FN$41:$FV$41)</f>
        <v>1085763</v>
      </c>
      <c r="P34" s="9">
        <f>SUM([3]Pinnacle!$EZ$41:$FH$41)</f>
        <v>1395059</v>
      </c>
      <c r="Q34" s="39">
        <f t="shared" si="9"/>
        <v>-0.22170818581866431</v>
      </c>
      <c r="R34" s="86">
        <f t="shared" si="10"/>
        <v>3.8728967426216183E-2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Jet'!$FV$19</f>
        <v>166</v>
      </c>
      <c r="D35" s="9">
        <f>'[3]Go Jet'!$FH$19</f>
        <v>284</v>
      </c>
      <c r="E35" s="86">
        <f t="shared" si="6"/>
        <v>-0.41549295774647887</v>
      </c>
      <c r="F35" s="9">
        <f>SUM('[3]Go Jet'!$FN$19:$FV$19)</f>
        <v>5052</v>
      </c>
      <c r="G35" s="9">
        <f>SUM('[3]Go Jet'!$EZ$19:$FH$19)</f>
        <v>4144</v>
      </c>
      <c r="H35" s="39">
        <f>(F35-G35)/G35</f>
        <v>0.21911196911196912</v>
      </c>
      <c r="I35" s="86">
        <f t="shared" si="7"/>
        <v>1.7940213492801897E-2</v>
      </c>
      <c r="J35" s="53"/>
      <c r="K35" s="358" t="s">
        <v>160</v>
      </c>
      <c r="L35" s="354">
        <f>'[3]Go Jet'!$FV$41</f>
        <v>10075</v>
      </c>
      <c r="M35" s="9">
        <f>'[3]Go Jet'!$FH$41</f>
        <v>16916</v>
      </c>
      <c r="N35" s="86">
        <f t="shared" si="8"/>
        <v>-0.40441002601087728</v>
      </c>
      <c r="O35" s="354">
        <f>SUM('[3]Go Jet'!$FN$41:$FV$41)</f>
        <v>298885</v>
      </c>
      <c r="P35" s="9">
        <f>SUM('[3]Go Jet'!$EZ$41:$FH$41)</f>
        <v>233453</v>
      </c>
      <c r="Q35" s="39">
        <f>(O35-P35)/P35</f>
        <v>0.28027911399724997</v>
      </c>
      <c r="R35" s="86">
        <f t="shared" si="10"/>
        <v>1.0661173229502777E-2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West'!$FV$19</f>
        <v>7859</v>
      </c>
      <c r="D36" s="9">
        <f>'[3]Sky West'!$FH$19</f>
        <v>5949</v>
      </c>
      <c r="E36" s="86">
        <f t="shared" si="6"/>
        <v>0.32106236342242395</v>
      </c>
      <c r="F36" s="9">
        <f>SUM('[3]Sky West'!$FN$19:$FV$19)</f>
        <v>72522</v>
      </c>
      <c r="G36" s="9">
        <f>SUM('[3]Sky West'!$EZ$19:$FH$19)</f>
        <v>52746</v>
      </c>
      <c r="H36" s="39">
        <f t="shared" si="11"/>
        <v>0.37492890456148331</v>
      </c>
      <c r="I36" s="86">
        <f t="shared" si="7"/>
        <v>0.25753368228918827</v>
      </c>
      <c r="J36" s="53"/>
      <c r="K36" s="359" t="s">
        <v>100</v>
      </c>
      <c r="L36" s="354">
        <f>'[3]Sky West'!$FV$41</f>
        <v>364546</v>
      </c>
      <c r="M36" s="9">
        <f>'[3]Sky West'!$FH$41</f>
        <v>278404</v>
      </c>
      <c r="N36" s="86">
        <f t="shared" si="8"/>
        <v>0.30941365784974356</v>
      </c>
      <c r="O36" s="354">
        <f>SUM('[3]Sky West'!$FN$41:$FV$41)</f>
        <v>3456373</v>
      </c>
      <c r="P36" s="9">
        <f>SUM('[3]Sky West'!$EZ$41:$FH$41)</f>
        <v>2459131</v>
      </c>
      <c r="Q36" s="39">
        <f t="shared" si="9"/>
        <v>0.40552617977651456</v>
      </c>
      <c r="R36" s="86">
        <f t="shared" si="10"/>
        <v>0.12328819210992924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America_Delta'!$FV$19</f>
        <v>0</v>
      </c>
      <c r="D37" s="9">
        <f>'[3]Shuttle America_Delta'!$FH$19</f>
        <v>0</v>
      </c>
      <c r="E37" s="86" t="e">
        <f t="shared" si="6"/>
        <v>#DIV/0!</v>
      </c>
      <c r="F37" s="9">
        <f>SUM('[3]Shuttle America_Delta'!$FN$19:$FV$19)</f>
        <v>78</v>
      </c>
      <c r="G37" s="9">
        <f>SUM('[3]Shuttle America_Delta'!$EZ$19:$FH$19)</f>
        <v>158</v>
      </c>
      <c r="H37" s="39">
        <f t="shared" si="11"/>
        <v>-0.50632911392405067</v>
      </c>
      <c r="I37" s="86">
        <f t="shared" si="7"/>
        <v>2.7698666912877041E-4</v>
      </c>
      <c r="J37" s="53"/>
      <c r="K37" s="359" t="s">
        <v>134</v>
      </c>
      <c r="L37" s="354">
        <f>'[3]Shuttle America_Delta'!$FV$41</f>
        <v>0</v>
      </c>
      <c r="M37" s="9">
        <f>'[3]Shuttle America_Delta'!$FH$41</f>
        <v>0</v>
      </c>
      <c r="N37" s="86" t="e">
        <f t="shared" si="8"/>
        <v>#DIV/0!</v>
      </c>
      <c r="O37" s="354">
        <f>SUM('[3]Shuttle America_Delta'!$FN$41:$FV$41)</f>
        <v>4612</v>
      </c>
      <c r="P37" s="9">
        <f>SUM('[3]Shuttle America_Delta'!$EZ$41:$FH$41)</f>
        <v>8496</v>
      </c>
      <c r="Q37" s="39">
        <f t="shared" si="9"/>
        <v>-0.4571563088512241</v>
      </c>
      <c r="R37" s="86">
        <f t="shared" si="10"/>
        <v>1.6450919562529672E-4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Southeast'!$FV$19</f>
        <v>0</v>
      </c>
      <c r="D38" s="9">
        <f>'[3]Atlantic Southeast'!$FH$19</f>
        <v>119</v>
      </c>
      <c r="E38" s="86">
        <f t="shared" si="6"/>
        <v>-1</v>
      </c>
      <c r="F38" s="9">
        <f>SUM('[3]Atlantic Southeast'!$FN$19:$FV$19)</f>
        <v>1352</v>
      </c>
      <c r="G38" s="9">
        <f>SUM('[3]Atlantic Southeast'!$EZ$19:$FH$19)</f>
        <v>4633</v>
      </c>
      <c r="H38" s="39">
        <f t="shared" si="11"/>
        <v>-0.70818044463630481</v>
      </c>
      <c r="I38" s="86">
        <f t="shared" si="7"/>
        <v>4.801102264898687E-3</v>
      </c>
      <c r="J38" s="53"/>
      <c r="K38" s="426" t="s">
        <v>174</v>
      </c>
      <c r="L38" s="354">
        <f>'[3]Atlantic Southeast'!$FV$41</f>
        <v>0</v>
      </c>
      <c r="M38" s="9">
        <f>'[3]Atlantic Southeast'!$FH$41</f>
        <v>5966</v>
      </c>
      <c r="N38" s="86">
        <f t="shared" si="8"/>
        <v>-1</v>
      </c>
      <c r="O38" s="354">
        <f>SUM('[3]Atlantic Southeast'!$FN$41:$FV$41)</f>
        <v>68799</v>
      </c>
      <c r="P38" s="9">
        <f>SUM('[3]Atlantic Southeast'!$EZ$41:$FH$41)</f>
        <v>257354</v>
      </c>
      <c r="Q38" s="39">
        <f t="shared" si="9"/>
        <v>-0.73266784273801844</v>
      </c>
      <c r="R38" s="86">
        <f t="shared" si="10"/>
        <v>2.4540477341337356E-3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[3]Frontier!$FV$19</f>
        <v>300</v>
      </c>
      <c r="D40" s="352">
        <f>[3]Frontier!$FH$19</f>
        <v>181</v>
      </c>
      <c r="E40" s="353">
        <f>(C40-D40)/D40</f>
        <v>0.65745856353591159</v>
      </c>
      <c r="F40" s="352">
        <f>SUM([3]Frontier!$FN$19:$FV$19)</f>
        <v>2548</v>
      </c>
      <c r="G40" s="352">
        <f>SUM([3]Frontier!$EZ$19:$FH$19)</f>
        <v>1603</v>
      </c>
      <c r="H40" s="351">
        <f>(F40-G40)/G40</f>
        <v>0.58951965065502188</v>
      </c>
      <c r="I40" s="353">
        <f>F40/$F$66</f>
        <v>9.0482311915398329E-3</v>
      </c>
      <c r="J40" s="349" t="s">
        <v>47</v>
      </c>
      <c r="K40" s="362"/>
      <c r="L40" s="350">
        <f>[3]Frontier!$FV$41</f>
        <v>40905</v>
      </c>
      <c r="M40" s="352">
        <f>[3]Frontier!$FH$41</f>
        <v>23865</v>
      </c>
      <c r="N40" s="353">
        <f>(L40-M40)/M40</f>
        <v>0.71401634192331864</v>
      </c>
      <c r="O40" s="350">
        <f>SUM([3]Frontier!$FN$41:$FV$41)</f>
        <v>374285</v>
      </c>
      <c r="P40" s="352">
        <f>SUM([3]Frontier!$EZ$41:$FH$41)</f>
        <v>235418</v>
      </c>
      <c r="Q40" s="351">
        <f>(O40-P40)/P40</f>
        <v>0.58987418124357527</v>
      </c>
      <c r="R40" s="353">
        <f>O40/$O$66</f>
        <v>1.3350677425111488E-2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[3]Icelandair!$FV$19</f>
        <v>74</v>
      </c>
      <c r="D42" s="352">
        <f>[3]Icelandair!$FH$19</f>
        <v>60</v>
      </c>
      <c r="E42" s="353">
        <f>(C42-D42)/D42</f>
        <v>0.23333333333333334</v>
      </c>
      <c r="F42" s="352">
        <f>SUM([3]Icelandair!$FN$19:$FV$19)</f>
        <v>516</v>
      </c>
      <c r="G42" s="352">
        <f>SUM([3]Icelandair!$EZ$19:$FH$19)</f>
        <v>442</v>
      </c>
      <c r="H42" s="351">
        <f>(F42-G42)/G42</f>
        <v>0.167420814479638</v>
      </c>
      <c r="I42" s="353">
        <f>F42/$F$66</f>
        <v>1.8323733496210964E-3</v>
      </c>
      <c r="J42" s="349" t="s">
        <v>48</v>
      </c>
      <c r="K42" s="362"/>
      <c r="L42" s="350">
        <f>[3]Icelandair!$FV$41</f>
        <v>11139</v>
      </c>
      <c r="M42" s="352">
        <f>[3]Icelandair!$FH$41</f>
        <v>9956</v>
      </c>
      <c r="N42" s="353">
        <f>(L42-M42)/M42</f>
        <v>0.11882282040980313</v>
      </c>
      <c r="O42" s="350">
        <f>SUM([3]Icelandair!$FN$41:$FV$41)</f>
        <v>74913</v>
      </c>
      <c r="P42" s="352">
        <f>SUM([3]Icelandair!$EZ$41:$FH$41)</f>
        <v>82473</v>
      </c>
      <c r="Q42" s="351">
        <f>(O42-P42)/P42</f>
        <v>-9.1666363537157611E-2</v>
      </c>
      <c r="R42" s="353">
        <f>O42/$O$66</f>
        <v>2.6721329947696991E-3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Blue'!$FV$19</f>
        <v>172</v>
      </c>
      <c r="D44" s="352">
        <f>'[3]Jet Blue'!$FH$19</f>
        <v>0</v>
      </c>
      <c r="E44" s="353" t="e">
        <f>(C44-D44)/D44</f>
        <v>#DIV/0!</v>
      </c>
      <c r="F44" s="352">
        <f>SUM('[3]Jet Blue'!$FN$19:$FV$19)</f>
        <v>889</v>
      </c>
      <c r="G44" s="352">
        <f>SUM('[3]Jet Blue'!$EZ$19:$FH$19)</f>
        <v>0</v>
      </c>
      <c r="H44" s="351" t="e">
        <f>(F44-G44)/G44</f>
        <v>#DIV/0!</v>
      </c>
      <c r="I44" s="353">
        <f>F44/$F$66</f>
        <v>3.1569378058394471E-3</v>
      </c>
      <c r="J44" s="349" t="s">
        <v>229</v>
      </c>
      <c r="K44" s="362"/>
      <c r="L44" s="350">
        <f>'[3]Jet Blue'!$FV$41</f>
        <v>19609</v>
      </c>
      <c r="M44" s="352">
        <f>'[3]Jet Blue'!$FH$41</f>
        <v>0</v>
      </c>
      <c r="N44" s="353" t="e">
        <f>(L44-M44)/M44</f>
        <v>#DIV/0!</v>
      </c>
      <c r="O44" s="350">
        <f>SUM('[3]Jet Blue'!$FN$41:$FV$41)</f>
        <v>104741</v>
      </c>
      <c r="P44" s="352">
        <f>SUM('[3]Jet Blue'!$EZ$41:$FH$41)</f>
        <v>0</v>
      </c>
      <c r="Q44" s="351" t="e">
        <f>(O44-P44)/P44</f>
        <v>#DIV/0!</v>
      </c>
      <c r="R44" s="353">
        <f>O44/$O$66</f>
        <v>3.7360922937964445E-3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[3]KLM!$FV$19</f>
        <v>32</v>
      </c>
      <c r="D46" s="352">
        <f>[3]KLM!$FH$19</f>
        <v>22</v>
      </c>
      <c r="E46" s="353">
        <f>(C46-D46)/D46</f>
        <v>0.45454545454545453</v>
      </c>
      <c r="F46" s="352">
        <f>SUM([3]KLM!$FN$19:$FV$19)</f>
        <v>270</v>
      </c>
      <c r="G46" s="352">
        <f>SUM([3]KLM!$EZ$19:$FH$19)</f>
        <v>154</v>
      </c>
      <c r="H46" s="351">
        <f>(F46-G46)/G46</f>
        <v>0.75324675324675328</v>
      </c>
      <c r="I46" s="353">
        <f>F46/$F$66</f>
        <v>9.5880000852266673E-4</v>
      </c>
      <c r="J46" s="349" t="s">
        <v>216</v>
      </c>
      <c r="K46" s="362"/>
      <c r="L46" s="350">
        <f>[3]KLM!$FV$41</f>
        <v>7861</v>
      </c>
      <c r="M46" s="352">
        <f>[3]KLM!$FH$41</f>
        <v>4872</v>
      </c>
      <c r="N46" s="353">
        <f>(L46-M46)/M46</f>
        <v>0.6135057471264368</v>
      </c>
      <c r="O46" s="350">
        <f>SUM([3]KLM!$FN$41:$FV$41)</f>
        <v>63647</v>
      </c>
      <c r="P46" s="352">
        <f>SUM([3]KLM!$EZ$41:$FH$41)</f>
        <v>36090</v>
      </c>
      <c r="Q46" s="351">
        <f>(O46-P46)/P46</f>
        <v>0.76356331393737875</v>
      </c>
      <c r="R46" s="353">
        <f>O46/$O$66</f>
        <v>2.2702768373727795E-3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515" t="s">
        <v>132</v>
      </c>
      <c r="C48" s="350">
        <f>[3]Southwest!$FV$19</f>
        <v>1368</v>
      </c>
      <c r="D48" s="352">
        <f>[3]Southwest!$FH$19</f>
        <v>1458</v>
      </c>
      <c r="E48" s="353">
        <f>(C48-D48)/D48</f>
        <v>-6.1728395061728392E-2</v>
      </c>
      <c r="F48" s="352">
        <f>SUM([3]Southwest!$FN$19:$FV$19)</f>
        <v>12198</v>
      </c>
      <c r="G48" s="352">
        <f>SUM([3]Southwest!$EZ$19:$FH$19)</f>
        <v>13570</v>
      </c>
      <c r="H48" s="351">
        <f>(F48-G48)/G48</f>
        <v>-0.10110537951363302</v>
      </c>
      <c r="I48" s="353">
        <f>F48/$F$66</f>
        <v>4.3316453718368481E-2</v>
      </c>
      <c r="J48" s="357" t="s">
        <v>132</v>
      </c>
      <c r="L48" s="350">
        <f>[3]Southwest!$FV$41</f>
        <v>160682</v>
      </c>
      <c r="M48" s="352">
        <f>[3]Southwest!$FH$41</f>
        <v>167576</v>
      </c>
      <c r="N48" s="353">
        <f>(L48-M48)/M48</f>
        <v>-4.113954265527283E-2</v>
      </c>
      <c r="O48" s="350">
        <f>SUM([3]Southwest!$FN$41:$FV$41)</f>
        <v>1472136</v>
      </c>
      <c r="P48" s="352">
        <f>SUM([3]Southwest!$EZ$41:$FH$41)</f>
        <v>1571860</v>
      </c>
      <c r="Q48" s="351">
        <f>(O48-P48)/P48</f>
        <v>-6.3443309200564929E-2</v>
      </c>
      <c r="R48" s="353">
        <f>O48/$O$66</f>
        <v>5.2510821598231089E-2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[3]Spirit!$FV$19</f>
        <v>618</v>
      </c>
      <c r="D50" s="352">
        <f>[3]Spirit!$FH$19</f>
        <v>704</v>
      </c>
      <c r="E50" s="353">
        <f>(C50-D50)/D50</f>
        <v>-0.12215909090909091</v>
      </c>
      <c r="F50" s="352">
        <f>SUM([3]Spirit!$FN$19:$FV$19)</f>
        <v>6393</v>
      </c>
      <c r="G50" s="352">
        <f>SUM([3]Spirit!$EZ$19:$FH$19)</f>
        <v>6921</v>
      </c>
      <c r="H50" s="351">
        <f>(F50-G50)/G50</f>
        <v>-7.6289553532726484E-2</v>
      </c>
      <c r="I50" s="353">
        <f>F50/$F$66</f>
        <v>2.2702253535131143E-2</v>
      </c>
      <c r="J50" s="349" t="s">
        <v>161</v>
      </c>
      <c r="K50" s="55"/>
      <c r="L50" s="350">
        <f>[3]Spirit!$FV$41</f>
        <v>83947</v>
      </c>
      <c r="M50" s="352">
        <f>[3]Spirit!$FH$41</f>
        <v>93251</v>
      </c>
      <c r="N50" s="353">
        <f>(L50-M50)/M50</f>
        <v>-9.9773728968053962E-2</v>
      </c>
      <c r="O50" s="350">
        <f>SUM([3]Spirit!$FN$41:$FV$41)</f>
        <v>878064</v>
      </c>
      <c r="P50" s="352">
        <f>SUM([3]Spirit!$EZ$41:$FH$41)</f>
        <v>945930</v>
      </c>
      <c r="Q50" s="351">
        <f>(O50-P50)/P50</f>
        <v>-7.1745266563064916E-2</v>
      </c>
      <c r="R50" s="353">
        <f>O50/$O$66</f>
        <v>3.1320382122187886E-2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Country'!$FV$19</f>
        <v>1188</v>
      </c>
      <c r="D52" s="352">
        <f>'[3]Sun Country'!$FH$19</f>
        <v>1285</v>
      </c>
      <c r="E52" s="353">
        <f>(C52-D52)/D52</f>
        <v>-7.5486381322957194E-2</v>
      </c>
      <c r="F52" s="352">
        <f>SUM('[3]Sun Country'!$FN$19:$FV$19)</f>
        <v>14996</v>
      </c>
      <c r="G52" s="352">
        <f>SUM('[3]Sun Country'!$EZ$19:$FH$19)</f>
        <v>15879</v>
      </c>
      <c r="H52" s="351">
        <f>(F52-G52)/G52</f>
        <v>-5.5608035770514513E-2</v>
      </c>
      <c r="I52" s="353">
        <f>F52/$F$66</f>
        <v>5.3252462695577443E-2</v>
      </c>
      <c r="J52" s="349" t="s">
        <v>49</v>
      </c>
      <c r="K52" s="362"/>
      <c r="L52" s="350">
        <f>'[3]Sun Country'!$FV$41</f>
        <v>132514</v>
      </c>
      <c r="M52" s="352">
        <f>'[3]Sun Country'!$FH$41</f>
        <v>136394</v>
      </c>
      <c r="N52" s="353">
        <f>(L52-M52)/M52</f>
        <v>-2.8446999134859305E-2</v>
      </c>
      <c r="O52" s="350">
        <f>SUM('[3]Sun Country'!$FN$41:$FV$41)</f>
        <v>1806758</v>
      </c>
      <c r="P52" s="352">
        <f>SUM('[3]Sun Country'!$EZ$41:$FH$41)</f>
        <v>1825498</v>
      </c>
      <c r="Q52" s="351">
        <f>(O52-P52)/P52</f>
        <v>-1.0265691882434272E-2</v>
      </c>
      <c r="R52" s="353">
        <f>O52/$O$66</f>
        <v>6.4446727074928406E-2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1528</v>
      </c>
      <c r="D54" s="352">
        <f>SUM(D55:D61)</f>
        <v>1696</v>
      </c>
      <c r="E54" s="353">
        <f t="shared" ref="E54:E61" si="12">(C54-D54)/D54</f>
        <v>-9.9056603773584911E-2</v>
      </c>
      <c r="F54" s="352">
        <f>SUM(F55:F61)</f>
        <v>13469</v>
      </c>
      <c r="G54" s="352">
        <f>SUM(G55:G61)</f>
        <v>14996</v>
      </c>
      <c r="H54" s="351">
        <f t="shared" ref="H54:H61" si="13">(F54-G54)/G54</f>
        <v>-0.10182715390770872</v>
      </c>
      <c r="I54" s="353">
        <f t="shared" ref="I54:I61" si="14">F54/$F$66</f>
        <v>4.7829915980710368E-2</v>
      </c>
      <c r="J54" s="349" t="s">
        <v>19</v>
      </c>
      <c r="K54" s="357"/>
      <c r="L54" s="350">
        <f>SUM(L55:L61)</f>
        <v>132745</v>
      </c>
      <c r="M54" s="352">
        <f>SUM(M55:M61)</f>
        <v>144709</v>
      </c>
      <c r="N54" s="353">
        <f t="shared" ref="N54:N61" si="15">(L54-M54)/M54</f>
        <v>-8.267626754382934E-2</v>
      </c>
      <c r="O54" s="350">
        <f>SUM(O55:O61)</f>
        <v>1205306</v>
      </c>
      <c r="P54" s="352">
        <f>SUM(P55:P61)</f>
        <v>1282265</v>
      </c>
      <c r="Q54" s="351">
        <f t="shared" ref="Q54:Q61" si="16">(O54-P54)/P54</f>
        <v>-6.0018014996900015E-2</v>
      </c>
      <c r="R54" s="353">
        <f t="shared" ref="R54:R61" si="17">O54/$O$66</f>
        <v>4.2993044350031193E-2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[3]United!$FV$19</f>
        <v>652</v>
      </c>
      <c r="D55" s="9">
        <f>[3]United!$FH$19+[3]Continental!$FH$19</f>
        <v>844</v>
      </c>
      <c r="E55" s="86">
        <f t="shared" si="12"/>
        <v>-0.22748815165876776</v>
      </c>
      <c r="F55" s="9">
        <f>SUM([3]United!$FN$19:$FV$19)</f>
        <v>5708</v>
      </c>
      <c r="G55" s="9">
        <f>SUM([3]United!$EZ$19:$FH$19)+SUM([3]Continental!$EZ$19:$FH$19)</f>
        <v>6840</v>
      </c>
      <c r="H55" s="39">
        <f t="shared" si="13"/>
        <v>-0.16549707602339181</v>
      </c>
      <c r="I55" s="86">
        <f t="shared" si="14"/>
        <v>2.0269742402397709E-2</v>
      </c>
      <c r="J55" s="363"/>
      <c r="K55" s="424" t="s">
        <v>19</v>
      </c>
      <c r="L55" s="354">
        <f>[3]United!$FV$41</f>
        <v>78239</v>
      </c>
      <c r="M55" s="9">
        <f>[3]United!$FH$41+[3]Continental!$FH$41</f>
        <v>99698</v>
      </c>
      <c r="N55" s="86">
        <f t="shared" si="15"/>
        <v>-0.21524002487512287</v>
      </c>
      <c r="O55" s="354">
        <f>SUM([3]United!$FN$41:$FV$41)</f>
        <v>708061</v>
      </c>
      <c r="P55" s="9">
        <f>SUM([3]United!$EZ$41:$FH$41)+SUM([3]Continental!$EZ$41:$FH$41)</f>
        <v>799050</v>
      </c>
      <c r="Q55" s="39">
        <f t="shared" si="16"/>
        <v>-0.11387147237344346</v>
      </c>
      <c r="R55" s="86">
        <f t="shared" si="17"/>
        <v>2.5256406236696272E-2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Express'!$FV$19</f>
        <v>10</v>
      </c>
      <c r="D56" s="9">
        <f>'[3]Continental Express'!$FH$19</f>
        <v>12</v>
      </c>
      <c r="E56" s="86">
        <f t="shared" si="12"/>
        <v>-0.16666666666666666</v>
      </c>
      <c r="F56" s="9">
        <f>SUM('[3]Continental Express'!$FN$19:$FV$19)</f>
        <v>64</v>
      </c>
      <c r="G56" s="9">
        <f>SUM('[3]Continental Express'!$EZ$19:$FH$19)</f>
        <v>146</v>
      </c>
      <c r="H56" s="39">
        <f t="shared" si="13"/>
        <v>-0.56164383561643838</v>
      </c>
      <c r="I56" s="86">
        <f t="shared" si="14"/>
        <v>2.2727111313129879E-4</v>
      </c>
      <c r="J56" s="53"/>
      <c r="K56" s="424" t="s">
        <v>174</v>
      </c>
      <c r="L56" s="354">
        <f>'[3]Continental Express'!$FV$41</f>
        <v>379</v>
      </c>
      <c r="M56" s="9">
        <f>'[3]Continental Express'!$FH$41</f>
        <v>399</v>
      </c>
      <c r="N56" s="86">
        <f t="shared" si="15"/>
        <v>-5.0125313283208017E-2</v>
      </c>
      <c r="O56" s="354">
        <f>SUM('[3]Continental Express'!$FN$41:$FV$41)</f>
        <v>2069</v>
      </c>
      <c r="P56" s="9">
        <f>SUM('[3]Continental Express'!$EZ$41:$FH$41)</f>
        <v>5950</v>
      </c>
      <c r="Q56" s="39">
        <f t="shared" si="16"/>
        <v>-0.65226890756302525</v>
      </c>
      <c r="R56" s="86">
        <f t="shared" si="17"/>
        <v>7.3800851203109034E-5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Jet_UA'!$FV$19</f>
        <v>0</v>
      </c>
      <c r="D57" s="9">
        <f>'[3]Go Jet_UA'!$FH$19</f>
        <v>10</v>
      </c>
      <c r="E57" s="86">
        <f t="shared" si="12"/>
        <v>-1</v>
      </c>
      <c r="F57" s="9">
        <f>SUM('[3]Go Jet_UA'!$FN$19:$FV$19)</f>
        <v>157</v>
      </c>
      <c r="G57" s="9">
        <f>SUM('[3]Go Jet_UA'!$EZ$19:$FH$19)</f>
        <v>216</v>
      </c>
      <c r="H57" s="39">
        <f t="shared" si="13"/>
        <v>-0.27314814814814814</v>
      </c>
      <c r="I57" s="86">
        <f t="shared" si="14"/>
        <v>5.5752444940021734E-4</v>
      </c>
      <c r="J57" s="363"/>
      <c r="K57" s="358" t="s">
        <v>160</v>
      </c>
      <c r="L57" s="354">
        <f>'[3]Go Jet_UA'!$FV$41</f>
        <v>0</v>
      </c>
      <c r="M57" s="9">
        <f>'[3]Go Jet_UA'!$FH$41</f>
        <v>634</v>
      </c>
      <c r="N57" s="86">
        <f t="shared" si="15"/>
        <v>-1</v>
      </c>
      <c r="O57" s="354">
        <f>SUM('[3]Go Jet_UA'!$FN$41:$FV$41)</f>
        <v>10365</v>
      </c>
      <c r="P57" s="9">
        <f>SUM('[3]Go Jet_UA'!$EZ$41:$FH$41)</f>
        <v>13916</v>
      </c>
      <c r="Q57" s="39">
        <f t="shared" si="16"/>
        <v>-0.25517390054613392</v>
      </c>
      <c r="R57" s="86">
        <f t="shared" si="17"/>
        <v>3.6971765235390292E-4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[3]MESA_UA!$FV$19</f>
        <v>246</v>
      </c>
      <c r="D58" s="9">
        <f>[3]MESA_UA!$FH$19</f>
        <v>288</v>
      </c>
      <c r="E58" s="86">
        <f t="shared" si="12"/>
        <v>-0.14583333333333334</v>
      </c>
      <c r="F58" s="9">
        <f>SUM([3]MESA_UA!$FN$19:$FV$19)</f>
        <v>2474</v>
      </c>
      <c r="G58" s="9">
        <f>SUM([3]MESA_UA!$EZ$19:$FH$19)</f>
        <v>2732</v>
      </c>
      <c r="H58" s="39">
        <f>(F58-G58)/G58</f>
        <v>-9.443631039531479E-2</v>
      </c>
      <c r="I58" s="86">
        <f t="shared" si="14"/>
        <v>8.7854489669817685E-3</v>
      </c>
      <c r="J58" s="363"/>
      <c r="K58" s="358" t="s">
        <v>51</v>
      </c>
      <c r="L58" s="354">
        <f>[3]MESA_UA!$FV$41</f>
        <v>15314</v>
      </c>
      <c r="M58" s="9">
        <f>[3]MESA_UA!$FH$41</f>
        <v>14348</v>
      </c>
      <c r="N58" s="86">
        <f t="shared" si="15"/>
        <v>6.7326456649010311E-2</v>
      </c>
      <c r="O58" s="354">
        <f>SUM([3]MESA_UA!$FN$41:$FV$41)</f>
        <v>160188</v>
      </c>
      <c r="P58" s="9">
        <f>SUM([3]MESA_UA!$EZ$41:$FH$41)</f>
        <v>156141</v>
      </c>
      <c r="Q58" s="39">
        <f t="shared" si="16"/>
        <v>2.5918881011393547E-2</v>
      </c>
      <c r="R58" s="86">
        <f t="shared" si="17"/>
        <v>5.7138766324425477E-3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[3]Republic_UA!$FV$19</f>
        <v>410</v>
      </c>
      <c r="D59" s="9">
        <f>[3]Republic_UA!$FH$19</f>
        <v>362</v>
      </c>
      <c r="E59" s="86">
        <f t="shared" si="12"/>
        <v>0.13259668508287292</v>
      </c>
      <c r="F59" s="9">
        <f>SUM([3]Republic_UA!$FN$19:$FV$19)</f>
        <v>3632</v>
      </c>
      <c r="G59" s="9">
        <f>SUM([3]Republic_UA!$EZ$19:$FH$19)</f>
        <v>2826</v>
      </c>
      <c r="H59" s="39">
        <f t="shared" ref="H59" si="18">(F59-G59)/G59</f>
        <v>0.28520877565463554</v>
      </c>
      <c r="I59" s="86">
        <f t="shared" si="14"/>
        <v>1.2897635670201206E-2</v>
      </c>
      <c r="J59" s="363"/>
      <c r="K59" s="426" t="s">
        <v>52</v>
      </c>
      <c r="L59" s="354">
        <f>[3]Republic_UA!$FV$41</f>
        <v>25283</v>
      </c>
      <c r="M59" s="9">
        <f>[3]Republic_UA!$FH$41</f>
        <v>18057</v>
      </c>
      <c r="N59" s="86">
        <f t="shared" si="15"/>
        <v>0.40017721659190342</v>
      </c>
      <c r="O59" s="354">
        <f>SUM([3]Republic_UA!$FN$41:$FV$41)</f>
        <v>230820</v>
      </c>
      <c r="P59" s="9">
        <f>SUM([3]Republic_UA!$EZ$41:$FH$41)</f>
        <v>160763</v>
      </c>
      <c r="Q59" s="39">
        <f t="shared" si="16"/>
        <v>0.43577813302812213</v>
      </c>
      <c r="R59" s="86">
        <f t="shared" si="17"/>
        <v>8.2333071409867713E-3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West_UA'!$FV$19</f>
        <v>210</v>
      </c>
      <c r="D60" s="9">
        <f>'[3]Sky West_UA'!$FH$19+'[3]Sky West_CO'!$FH$19</f>
        <v>180</v>
      </c>
      <c r="E60" s="86">
        <f t="shared" si="12"/>
        <v>0.16666666666666666</v>
      </c>
      <c r="F60" s="9">
        <f>SUM('[3]Sky West_UA'!$FN$19:$FV$19)</f>
        <v>1434</v>
      </c>
      <c r="G60" s="9">
        <f>SUM('[3]Sky West_UA'!$EZ$19:$FH$19)+SUM('[3]Sky West_CO'!$EZ$19:$FH$19)</f>
        <v>2212</v>
      </c>
      <c r="H60" s="39">
        <f t="shared" si="13"/>
        <v>-0.35171790235081374</v>
      </c>
      <c r="I60" s="86">
        <f t="shared" si="14"/>
        <v>5.0922933785981636E-3</v>
      </c>
      <c r="J60" s="363"/>
      <c r="K60" s="358" t="s">
        <v>100</v>
      </c>
      <c r="L60" s="354">
        <f>'[3]Sky West_UA'!$FV$41</f>
        <v>13530</v>
      </c>
      <c r="M60" s="9">
        <f>'[3]Sky West_UA'!$FH$41+'[3]Sky West_CO'!$FH$41</f>
        <v>11573</v>
      </c>
      <c r="N60" s="86">
        <f t="shared" si="15"/>
        <v>0.16910049252570639</v>
      </c>
      <c r="O60" s="354">
        <f>SUM('[3]Sky West_UA'!$FN$41:$FV$41)</f>
        <v>93803</v>
      </c>
      <c r="P60" s="9">
        <f>SUM('[3]Sky West_UA'!$EZ$41:$FH$41)+SUM('[3]Sky West_CO'!$EZ$41:$FH$41)</f>
        <v>145172</v>
      </c>
      <c r="Q60" s="39">
        <f t="shared" si="16"/>
        <v>-0.35384922712368777</v>
      </c>
      <c r="R60" s="86">
        <f t="shared" si="17"/>
        <v>3.3459358363485923E-3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America'!$FV$19</f>
        <v>0</v>
      </c>
      <c r="D61" s="9">
        <f>'[3]Shuttle America'!$FH$19</f>
        <v>0</v>
      </c>
      <c r="E61" s="86" t="e">
        <f t="shared" si="12"/>
        <v>#DIV/0!</v>
      </c>
      <c r="F61" s="9">
        <f>SUM('[3]Shuttle America'!$FN$19:$FV$19)</f>
        <v>0</v>
      </c>
      <c r="G61" s="9">
        <f>SUM('[3]Shuttle America'!$EZ$19:$FH$19)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America'!$FV$41</f>
        <v>0</v>
      </c>
      <c r="M61" s="9">
        <f>'[3]Shuttle America'!$FH$41</f>
        <v>0</v>
      </c>
      <c r="N61" s="86" t="e">
        <f t="shared" si="15"/>
        <v>#DIV/0!</v>
      </c>
      <c r="O61" s="354">
        <f>SUM('[3]Shuttle America'!$FN$41:$FV$41)</f>
        <v>0</v>
      </c>
      <c r="P61" s="9">
        <f>SUM('[3]Shuttle America'!$EZ$41:$FH$41)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18582</v>
      </c>
      <c r="D64" s="439">
        <f>+D66-D65</f>
        <v>18929</v>
      </c>
      <c r="E64" s="440">
        <f>(C64-D64)/D64</f>
        <v>-1.833166041523588E-2</v>
      </c>
      <c r="F64" s="438">
        <f t="shared" ref="F64:G64" si="19">+F66-F65</f>
        <v>168385</v>
      </c>
      <c r="G64" s="439">
        <f t="shared" si="19"/>
        <v>173133</v>
      </c>
      <c r="H64" s="445">
        <f>(F64-G64)/G64</f>
        <v>-2.7424003511751081E-2</v>
      </c>
      <c r="I64" s="501">
        <f>F64/$F$66</f>
        <v>0.59795384975958976</v>
      </c>
      <c r="K64" s="372" t="s">
        <v>136</v>
      </c>
      <c r="L64" s="438">
        <f>+L66-L65</f>
        <v>2356635</v>
      </c>
      <c r="M64" s="439">
        <f>+M66-M65</f>
        <v>2377733</v>
      </c>
      <c r="N64" s="440">
        <f>(L64-M64)/M64</f>
        <v>-8.8731577515221427E-3</v>
      </c>
      <c r="O64" s="438">
        <f t="shared" ref="O64" si="20">+O66-O65</f>
        <v>22153430</v>
      </c>
      <c r="P64" s="439">
        <f>+P66-P65</f>
        <v>22244784</v>
      </c>
      <c r="Q64" s="488">
        <f>(O64-P64)/P64</f>
        <v>-4.1067604882115286E-3</v>
      </c>
      <c r="R64" s="494">
        <f>+O64/O66</f>
        <v>0.79020879220323437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11682</v>
      </c>
      <c r="D65" s="373">
        <f>D61+D38+D36+D34+D33+D37+D20+D60+D57+D35+D56+D58+D25+D24+D21+D15+D6+D59+D22+D23+D7+D16+D5</f>
        <v>11400</v>
      </c>
      <c r="E65" s="374">
        <f>(C65-D65)/D65</f>
        <v>2.4736842105263158E-2</v>
      </c>
      <c r="F65" s="441">
        <f>F61+F38+F36+F34+F33+F37+F20+F60+F57+F35+F56+F58+F25+F24+F21+F15+F6+F59+F22+F23+F7+F16</f>
        <v>113217</v>
      </c>
      <c r="G65" s="373">
        <f>G61+G38+G36+G34+G33+G37+G20+G60+G57+G35+G56+G58+G25+G24+G21+G15+G6+G59+G22+G23+G7+G16</f>
        <v>113471</v>
      </c>
      <c r="H65" s="446">
        <f>(F65-G65)/G65</f>
        <v>-2.2384574032131557E-3</v>
      </c>
      <c r="I65" s="502">
        <f>F65/$F$66</f>
        <v>0.40204615024041024</v>
      </c>
      <c r="K65" s="329" t="s">
        <v>137</v>
      </c>
      <c r="L65" s="441">
        <f>L61+L38+L36+L34+L33+L37+L20+L60+L57+L35+L56+L58+L25+L24+L21+L15+L6+L59+L22+L23+L7+L16</f>
        <v>590457</v>
      </c>
      <c r="M65" s="373">
        <f>M61+M38+M36+M34+M33+M37+M20+M60+M57+M35+M56+M58+M25+M24+M21+M15+M6+M59+M22+M23+M7+M16</f>
        <v>565612</v>
      </c>
      <c r="N65" s="374">
        <f>(L65-M65)/M65</f>
        <v>4.3925871445443167E-2</v>
      </c>
      <c r="O65" s="441">
        <f>O61+O38+O36+O34+O33+O37+O20+O60+O57+O35+O56+O58+O25+O24+O21+O15+O6+O59+O22+O23+O7+O16</f>
        <v>5881477</v>
      </c>
      <c r="P65" s="373">
        <f>P61+P38+P36+P34+P33+P37+P20+P60+P57+P35+P56+P58+P25+P24+P21+P15+P6+P59+P22+P23+P7+P16</f>
        <v>5710778</v>
      </c>
      <c r="Q65" s="486">
        <f>(O65-P65)/P65</f>
        <v>2.9890673389860366E-2</v>
      </c>
      <c r="R65" s="495">
        <f>+O65/O66</f>
        <v>0.20979120779676566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30264</v>
      </c>
      <c r="D66" s="443">
        <f>D54+D52+D42+D40+D31+D18+D13+D4+D50+D29+D27+D9+D46+D11+D44+D48</f>
        <v>30329</v>
      </c>
      <c r="E66" s="444">
        <f>(C66-D66)/D66</f>
        <v>-2.1431633090441492E-3</v>
      </c>
      <c r="F66" s="442">
        <f>F54+F52+F42+F40+F31+F18+F13+F4+F50+F29+F27+F9+F46+F11+F44+F48</f>
        <v>281602</v>
      </c>
      <c r="G66" s="443">
        <f>G54+G52+G42+G40+G31+G18+G13+G4+G50+G29+G27+G9+G46+G11+G44+G48</f>
        <v>286604</v>
      </c>
      <c r="H66" s="447">
        <f>(F66-G66)/G66</f>
        <v>-1.7452652440300902E-2</v>
      </c>
      <c r="I66" s="503">
        <f>+H66/H66</f>
        <v>1</v>
      </c>
      <c r="K66" s="329" t="s">
        <v>138</v>
      </c>
      <c r="L66" s="442">
        <f>L54+L52+L42+L40+L31+L18+L13+L4+L50+L29+L27+L9+L46+L11+L44+L48</f>
        <v>2947092</v>
      </c>
      <c r="M66" s="443">
        <f>M54+M52+M42+M40+M31+M18+M13+M4+M50+M29+M27+M9+M46+M11+M44+M48</f>
        <v>2943345</v>
      </c>
      <c r="N66" s="444">
        <f>(L66-M66)/M66</f>
        <v>1.2730413865856703E-3</v>
      </c>
      <c r="O66" s="442">
        <f>O54+O52+O42+O40+O31+O18+O13+O4+O50+O29+O27+O9+O46+O11+O44+O48</f>
        <v>28034907</v>
      </c>
      <c r="P66" s="443">
        <f>P54+P52+P42+P40+P31+P18+P13+P4+P50+P29+P27+P9+P46+P11+P44+P48</f>
        <v>27955562</v>
      </c>
      <c r="Q66" s="489">
        <f>(O66-P66)/P66</f>
        <v>2.8382545126440311E-3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September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G18" sqref="G1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43344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229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[3]American!$FV$22</f>
        <v>66896</v>
      </c>
      <c r="C4" s="21">
        <f>[3]Delta!$FV$22+[3]Delta!$FV$32</f>
        <v>822901</v>
      </c>
      <c r="D4" s="21">
        <f>[3]United!$FV$22</f>
        <v>38492</v>
      </c>
      <c r="E4" s="21">
        <f>[3]Spirit!$FV$22</f>
        <v>41539</v>
      </c>
      <c r="F4" s="21">
        <f>[3]Condor!$FV$22+[3]Condor!$FV$32</f>
        <v>1784</v>
      </c>
      <c r="G4" s="21">
        <f>'[3]Air France'!$FV$22+'[3]Air France'!$FV$32</f>
        <v>4862</v>
      </c>
      <c r="H4" s="21">
        <f>'[3]Jet Blue'!$FV$22</f>
        <v>9416</v>
      </c>
      <c r="I4" s="21">
        <f>[3]KLM!$FV$22+[3]KLM!$FV$32</f>
        <v>3978</v>
      </c>
      <c r="J4" s="21">
        <f>'Other Major Airline Stats'!J5</f>
        <v>181213</v>
      </c>
      <c r="K4" s="281">
        <f>SUM(B4:J4)</f>
        <v>1171081</v>
      </c>
    </row>
    <row r="5" spans="1:20" x14ac:dyDescent="0.2">
      <c r="A5" s="62" t="s">
        <v>31</v>
      </c>
      <c r="B5" s="14">
        <f>[3]American!$FV$23</f>
        <v>66689</v>
      </c>
      <c r="C5" s="14">
        <f>[3]Delta!$FV$23+[3]Delta!$FV$33</f>
        <v>830657</v>
      </c>
      <c r="D5" s="14">
        <f>[3]United!$FV$23</f>
        <v>39747</v>
      </c>
      <c r="E5" s="14">
        <f>[3]Spirit!$FV$23</f>
        <v>42408</v>
      </c>
      <c r="F5" s="14">
        <f>[3]Condor!$FV$23+[3]Condor!$FV$33</f>
        <v>2146</v>
      </c>
      <c r="G5" s="14">
        <f>'[3]Air France'!$FV$23+'[3]Air France'!$FV$33</f>
        <v>4458</v>
      </c>
      <c r="H5" s="14">
        <f>'[3]Jet Blue'!$FV$23</f>
        <v>10193</v>
      </c>
      <c r="I5" s="14">
        <f>[3]KLM!$FV$23+[3]KLM!$FV$33</f>
        <v>3883</v>
      </c>
      <c r="J5" s="14">
        <f>'Other Major Airline Stats'!J6</f>
        <v>185373</v>
      </c>
      <c r="K5" s="282">
        <f>SUM(B5:J5)</f>
        <v>1185554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133585</v>
      </c>
      <c r="C6" s="34">
        <f t="shared" si="0"/>
        <v>1653558</v>
      </c>
      <c r="D6" s="34">
        <f t="shared" si="0"/>
        <v>78239</v>
      </c>
      <c r="E6" s="34">
        <f t="shared" si="0"/>
        <v>83947</v>
      </c>
      <c r="F6" s="34">
        <f t="shared" ref="F6:I6" si="1">SUM(F4:F5)</f>
        <v>3930</v>
      </c>
      <c r="G6" s="34">
        <f t="shared" si="1"/>
        <v>9320</v>
      </c>
      <c r="H6" s="34">
        <f t="shared" si="1"/>
        <v>19609</v>
      </c>
      <c r="I6" s="34">
        <f t="shared" si="1"/>
        <v>7861</v>
      </c>
      <c r="J6" s="34">
        <f t="shared" si="0"/>
        <v>366586</v>
      </c>
      <c r="K6" s="283">
        <f>SUM(B6:J6)</f>
        <v>2356635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[3]American!$FV$27</f>
        <v>3144</v>
      </c>
      <c r="C9" s="21">
        <f>[3]Delta!$FV$27+[3]Delta!$FV$37</f>
        <v>31849</v>
      </c>
      <c r="D9" s="21">
        <f>[3]United!$FV$27</f>
        <v>1432</v>
      </c>
      <c r="E9" s="21">
        <f>[3]Spirit!$FV$27</f>
        <v>236</v>
      </c>
      <c r="F9" s="21">
        <f>[3]Condor!$FV$27+[3]Condor!$FV$37</f>
        <v>3</v>
      </c>
      <c r="G9" s="21">
        <f>'[3]Air France'!$FV$27+'[3]Air France'!$FV$37</f>
        <v>8</v>
      </c>
      <c r="H9" s="21">
        <f>'[3]Jet Blue'!$FV$27</f>
        <v>217</v>
      </c>
      <c r="I9" s="21">
        <f>[3]KLM!$FV$27+[3]KLM!$FV$37</f>
        <v>16</v>
      </c>
      <c r="J9" s="21">
        <f>'Other Major Airline Stats'!J10</f>
        <v>3627</v>
      </c>
      <c r="K9" s="281">
        <f>SUM(B9:J9)</f>
        <v>40532</v>
      </c>
    </row>
    <row r="10" spans="1:20" x14ac:dyDescent="0.2">
      <c r="A10" s="62" t="s">
        <v>33</v>
      </c>
      <c r="B10" s="14">
        <f>[3]American!$FV$28</f>
        <v>3609</v>
      </c>
      <c r="C10" s="14">
        <f>[3]Delta!$FV$28+[3]Delta!$FV$38</f>
        <v>31486</v>
      </c>
      <c r="D10" s="14">
        <f>[3]United!$FV$28</f>
        <v>1404</v>
      </c>
      <c r="E10" s="14">
        <f>[3]Spirit!$FV$28</f>
        <v>253</v>
      </c>
      <c r="F10" s="14">
        <f>[3]Condor!$FV$28+[3]Condor!$FV$38</f>
        <v>4</v>
      </c>
      <c r="G10" s="14">
        <f>'[3]Air France'!$FV$28+'[3]Air France'!$FV$38</f>
        <v>10</v>
      </c>
      <c r="H10" s="14">
        <f>'[3]Jet Blue'!$FV$28</f>
        <v>265</v>
      </c>
      <c r="I10" s="14">
        <f>[3]KLM!$FV$28+[3]KLM!$FV$38</f>
        <v>12</v>
      </c>
      <c r="J10" s="14">
        <f>'Other Major Airline Stats'!J11</f>
        <v>4038</v>
      </c>
      <c r="K10" s="282">
        <f>SUM(B10:J10)</f>
        <v>41081</v>
      </c>
    </row>
    <row r="11" spans="1:20" ht="15.75" thickBot="1" x14ac:dyDescent="0.3">
      <c r="A11" s="63" t="s">
        <v>34</v>
      </c>
      <c r="B11" s="284">
        <f t="shared" ref="B11:J11" si="2">SUM(B9:B10)</f>
        <v>6753</v>
      </c>
      <c r="C11" s="284">
        <f t="shared" si="2"/>
        <v>63335</v>
      </c>
      <c r="D11" s="284">
        <f t="shared" si="2"/>
        <v>2836</v>
      </c>
      <c r="E11" s="284">
        <f t="shared" si="2"/>
        <v>489</v>
      </c>
      <c r="F11" s="284">
        <f t="shared" ref="F11:I11" si="3">SUM(F9:F10)</f>
        <v>7</v>
      </c>
      <c r="G11" s="284">
        <f t="shared" si="3"/>
        <v>18</v>
      </c>
      <c r="H11" s="284">
        <f t="shared" si="3"/>
        <v>482</v>
      </c>
      <c r="I11" s="284">
        <f t="shared" si="3"/>
        <v>28</v>
      </c>
      <c r="J11" s="284">
        <f t="shared" si="2"/>
        <v>7665</v>
      </c>
      <c r="K11" s="285">
        <f>SUM(B11:J11)</f>
        <v>81613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[3]American!$FV$4</f>
        <v>593</v>
      </c>
      <c r="C15" s="21">
        <f>[3]Delta!$FV$4+[3]Delta!$FV$15</f>
        <v>6242</v>
      </c>
      <c r="D15" s="21">
        <f>[3]United!$FV$4</f>
        <v>326</v>
      </c>
      <c r="E15" s="21">
        <f>[3]Spirit!$FV$4</f>
        <v>309</v>
      </c>
      <c r="F15" s="21">
        <f>[3]Condor!$FV$4+[3]Condor!$FV$15</f>
        <v>8</v>
      </c>
      <c r="G15" s="21">
        <f>'[3]Air France'!$FV$4+'[3]Air France'!$FV$15</f>
        <v>21</v>
      </c>
      <c r="H15" s="21">
        <f>'[3]Jet Blue'!$FV$4</f>
        <v>86</v>
      </c>
      <c r="I15" s="21">
        <f>[3]KLM!$FV$4+[3]KLM!$FV$15</f>
        <v>16</v>
      </c>
      <c r="J15" s="21">
        <f>'Other Major Airline Stats'!J16</f>
        <v>1614</v>
      </c>
      <c r="K15" s="27">
        <f>SUM(B15:J15)</f>
        <v>9215</v>
      </c>
    </row>
    <row r="16" spans="1:20" x14ac:dyDescent="0.2">
      <c r="A16" s="62" t="s">
        <v>23</v>
      </c>
      <c r="B16" s="14">
        <f>[3]American!$FV$5</f>
        <v>595</v>
      </c>
      <c r="C16" s="14">
        <f>[3]Delta!$FV$5+[3]Delta!$FV$16</f>
        <v>6239</v>
      </c>
      <c r="D16" s="14">
        <f>[3]United!$FV$5</f>
        <v>326</v>
      </c>
      <c r="E16" s="14">
        <f>[3]Spirit!$FV$5</f>
        <v>309</v>
      </c>
      <c r="F16" s="14">
        <f>[3]Condor!$FV$5+[3]Condor!$FV$16</f>
        <v>9</v>
      </c>
      <c r="G16" s="14">
        <f>'[3]Air France'!$FV$5+'[3]Air France'!$FV$16</f>
        <v>21</v>
      </c>
      <c r="H16" s="14">
        <f>'[3]Jet Blue'!$FV$5</f>
        <v>86</v>
      </c>
      <c r="I16" s="14">
        <f>[3]KLM!$FV$5+[3]KLM!$FV$16</f>
        <v>16</v>
      </c>
      <c r="J16" s="14">
        <f>'Other Major Airline Stats'!J17</f>
        <v>1608</v>
      </c>
      <c r="K16" s="33">
        <f>SUM(B16:J16)</f>
        <v>9209</v>
      </c>
    </row>
    <row r="17" spans="1:11" x14ac:dyDescent="0.2">
      <c r="A17" s="62" t="s">
        <v>24</v>
      </c>
      <c r="B17" s="288">
        <f t="shared" ref="B17:J17" si="4">SUM(B15:B16)</f>
        <v>1188</v>
      </c>
      <c r="C17" s="286">
        <f t="shared" si="4"/>
        <v>12481</v>
      </c>
      <c r="D17" s="286">
        <f t="shared" si="4"/>
        <v>652</v>
      </c>
      <c r="E17" s="286">
        <f t="shared" si="4"/>
        <v>618</v>
      </c>
      <c r="F17" s="286">
        <f t="shared" ref="F17:I17" si="5">SUM(F15:F16)</f>
        <v>17</v>
      </c>
      <c r="G17" s="286">
        <f t="shared" si="5"/>
        <v>42</v>
      </c>
      <c r="H17" s="286">
        <f t="shared" si="5"/>
        <v>172</v>
      </c>
      <c r="I17" s="286">
        <f t="shared" si="5"/>
        <v>32</v>
      </c>
      <c r="J17" s="286">
        <f t="shared" si="4"/>
        <v>3222</v>
      </c>
      <c r="K17" s="287">
        <f>SUM(B17:J17)</f>
        <v>18424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[3]American!$FV$8</f>
        <v>0</v>
      </c>
      <c r="C19" s="21">
        <f>[3]Delta!$FV$8</f>
        <v>0</v>
      </c>
      <c r="D19" s="21">
        <f>[3]United!$FV$8</f>
        <v>0</v>
      </c>
      <c r="E19" s="21">
        <f>[3]Spirit!$FV$8</f>
        <v>0</v>
      </c>
      <c r="F19" s="21">
        <f>[3]Condor!$FV$8</f>
        <v>0</v>
      </c>
      <c r="G19" s="21">
        <f>'[3]Air France'!$FV$8</f>
        <v>0</v>
      </c>
      <c r="H19" s="21">
        <f>'[3]Jet Blue'!$FV$8</f>
        <v>0</v>
      </c>
      <c r="I19" s="21">
        <f>[3]KLM!$FV$8</f>
        <v>0</v>
      </c>
      <c r="J19" s="21">
        <f>'Other Major Airline Stats'!J20</f>
        <v>77</v>
      </c>
      <c r="K19" s="27">
        <f>SUM(B19:J19)</f>
        <v>77</v>
      </c>
    </row>
    <row r="20" spans="1:11" x14ac:dyDescent="0.2">
      <c r="A20" s="62" t="s">
        <v>26</v>
      </c>
      <c r="B20" s="14">
        <f>[3]American!$FV$9</f>
        <v>0</v>
      </c>
      <c r="C20" s="14">
        <f>[3]Delta!$FV$9</f>
        <v>6</v>
      </c>
      <c r="D20" s="14">
        <f>[3]United!$FV$9</f>
        <v>0</v>
      </c>
      <c r="E20" s="14">
        <f>[3]Spirit!$FV$9</f>
        <v>0</v>
      </c>
      <c r="F20" s="14">
        <f>[3]Condor!$FV$9</f>
        <v>0</v>
      </c>
      <c r="G20" s="14">
        <f>'[3]Air France'!$FV$9</f>
        <v>0</v>
      </c>
      <c r="H20" s="14">
        <f>'[3]Jet Blue'!$FV$9</f>
        <v>0</v>
      </c>
      <c r="I20" s="14">
        <f>[3]KLM!$FV$9</f>
        <v>0</v>
      </c>
      <c r="J20" s="14">
        <f>'Other Major Airline Stats'!J21</f>
        <v>75</v>
      </c>
      <c r="K20" s="33">
        <f>SUM(B20:J20)</f>
        <v>81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6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152</v>
      </c>
      <c r="K21" s="176">
        <f>SUM(B21:J21)</f>
        <v>158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1188</v>
      </c>
      <c r="C23" s="28">
        <f t="shared" si="8"/>
        <v>12487</v>
      </c>
      <c r="D23" s="28">
        <f t="shared" si="8"/>
        <v>652</v>
      </c>
      <c r="E23" s="28">
        <f>E17+E21</f>
        <v>618</v>
      </c>
      <c r="F23" s="28">
        <f t="shared" ref="F23:I23" si="9">F17+F21</f>
        <v>17</v>
      </c>
      <c r="G23" s="28">
        <f t="shared" si="9"/>
        <v>42</v>
      </c>
      <c r="H23" s="28">
        <f t="shared" si="9"/>
        <v>172</v>
      </c>
      <c r="I23" s="28">
        <f t="shared" si="9"/>
        <v>32</v>
      </c>
      <c r="J23" s="28">
        <f t="shared" si="8"/>
        <v>3374</v>
      </c>
      <c r="K23" s="29">
        <f>SUM(B23:J23)</f>
        <v>18582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[3]American!$FV$47</f>
        <v>41110</v>
      </c>
      <c r="C28" s="21">
        <f>[3]Delta!$FV$47</f>
        <v>4747502</v>
      </c>
      <c r="D28" s="21">
        <f>[3]United!$FV$47</f>
        <v>71231</v>
      </c>
      <c r="E28" s="21">
        <f>[3]Spirit!$FV$47</f>
        <v>0</v>
      </c>
      <c r="F28" s="21">
        <f>[3]Condor!$FV$47</f>
        <v>138956</v>
      </c>
      <c r="G28" s="21">
        <f>'[3]Air France'!$FV$47</f>
        <v>430894</v>
      </c>
      <c r="H28" s="21">
        <f>'[3]Jet Blue'!$FV$47</f>
        <v>0</v>
      </c>
      <c r="I28" s="21">
        <f>[3]KLM!$FV$47</f>
        <v>444835</v>
      </c>
      <c r="J28" s="21">
        <f>'Other Major Airline Stats'!J28</f>
        <v>340073</v>
      </c>
      <c r="K28" s="27">
        <f>SUM(B28:J28)</f>
        <v>6214601</v>
      </c>
    </row>
    <row r="29" spans="1:11" x14ac:dyDescent="0.2">
      <c r="A29" s="62" t="s">
        <v>38</v>
      </c>
      <c r="B29" s="14">
        <f>[3]American!$FV$48</f>
        <v>15706</v>
      </c>
      <c r="C29" s="14">
        <f>[3]Delta!$FV$48</f>
        <v>1414062</v>
      </c>
      <c r="D29" s="14">
        <f>[3]United!$FV$48</f>
        <v>48146</v>
      </c>
      <c r="E29" s="14">
        <f>[3]Spirit!$FV$48</f>
        <v>0</v>
      </c>
      <c r="F29" s="14">
        <f>[3]Condor!$FV$48</f>
        <v>0</v>
      </c>
      <c r="G29" s="14">
        <f>'[3]Air France'!$FV$48</f>
        <v>0</v>
      </c>
      <c r="H29" s="14">
        <f>'[3]Jet Blue'!$FV$48</f>
        <v>0</v>
      </c>
      <c r="I29" s="14">
        <f>[3]KLM!$FV$48</f>
        <v>0</v>
      </c>
      <c r="J29" s="14">
        <f>'Other Major Airline Stats'!J29</f>
        <v>204152</v>
      </c>
      <c r="K29" s="33">
        <f>SUM(B29:J29)</f>
        <v>1682066</v>
      </c>
    </row>
    <row r="30" spans="1:11" x14ac:dyDescent="0.2">
      <c r="A30" s="66" t="s">
        <v>39</v>
      </c>
      <c r="B30" s="288">
        <f t="shared" ref="B30:J30" si="10">SUM(B28:B29)</f>
        <v>56816</v>
      </c>
      <c r="C30" s="288">
        <f t="shared" si="10"/>
        <v>6161564</v>
      </c>
      <c r="D30" s="288">
        <f t="shared" si="10"/>
        <v>119377</v>
      </c>
      <c r="E30" s="288">
        <f t="shared" si="10"/>
        <v>0</v>
      </c>
      <c r="F30" s="288">
        <f t="shared" ref="F30:I30" si="11">SUM(F28:F29)</f>
        <v>138956</v>
      </c>
      <c r="G30" s="288">
        <f t="shared" si="11"/>
        <v>430894</v>
      </c>
      <c r="H30" s="288">
        <f t="shared" si="11"/>
        <v>0</v>
      </c>
      <c r="I30" s="288">
        <f t="shared" si="11"/>
        <v>444835</v>
      </c>
      <c r="J30" s="288">
        <f t="shared" si="10"/>
        <v>544225</v>
      </c>
      <c r="K30" s="27">
        <f>SUM(B30:J30)</f>
        <v>7896667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[3]American!$FV$52</f>
        <v>10085</v>
      </c>
      <c r="C33" s="21">
        <f>[3]Delta!$FV$52</f>
        <v>2098561</v>
      </c>
      <c r="D33" s="21">
        <f>[3]United!$FV$52</f>
        <v>43766</v>
      </c>
      <c r="E33" s="21">
        <f>[3]Spirit!$FV$52</f>
        <v>0</v>
      </c>
      <c r="F33" s="21">
        <f>[3]Condor!$FV$52</f>
        <v>39685</v>
      </c>
      <c r="G33" s="21">
        <f>'[3]Air France'!$FV$52</f>
        <v>207770</v>
      </c>
      <c r="H33" s="21">
        <f>'[3]Jet Blue'!$FV$52</f>
        <v>0</v>
      </c>
      <c r="I33" s="21">
        <f>[3]KLM!$FV$52</f>
        <v>121930</v>
      </c>
      <c r="J33" s="21">
        <f>'Other Major Airline Stats'!J33</f>
        <v>128636</v>
      </c>
      <c r="K33" s="27">
        <f t="shared" si="12"/>
        <v>2650433</v>
      </c>
    </row>
    <row r="34" spans="1:11" x14ac:dyDescent="0.2">
      <c r="A34" s="62" t="s">
        <v>38</v>
      </c>
      <c r="B34" s="14">
        <f>[3]American!$FV$53</f>
        <v>51556</v>
      </c>
      <c r="C34" s="14">
        <f>[3]Delta!$FV$53</f>
        <v>1607553</v>
      </c>
      <c r="D34" s="14">
        <f>[3]United!$FV$53</f>
        <v>20423</v>
      </c>
      <c r="E34" s="14">
        <f>[3]Spirit!$FV$53</f>
        <v>0</v>
      </c>
      <c r="F34" s="14">
        <f>[3]Condor!$FV$53</f>
        <v>0</v>
      </c>
      <c r="G34" s="14">
        <f>'[3]Air France'!$FV$53</f>
        <v>0</v>
      </c>
      <c r="H34" s="14">
        <f>'[3]Jet Blue'!$FV$53</f>
        <v>0</v>
      </c>
      <c r="I34" s="14">
        <f>[3]KLM!$FV$53</f>
        <v>0</v>
      </c>
      <c r="J34" s="14">
        <f>'Other Major Airline Stats'!J34</f>
        <v>339673</v>
      </c>
      <c r="K34" s="33">
        <f t="shared" si="12"/>
        <v>2019205</v>
      </c>
    </row>
    <row r="35" spans="1:11" x14ac:dyDescent="0.2">
      <c r="A35" s="66" t="s">
        <v>41</v>
      </c>
      <c r="B35" s="288">
        <f t="shared" ref="B35:J35" si="13">SUM(B33:B34)</f>
        <v>61641</v>
      </c>
      <c r="C35" s="288">
        <f t="shared" si="13"/>
        <v>3706114</v>
      </c>
      <c r="D35" s="288">
        <f t="shared" si="13"/>
        <v>64189</v>
      </c>
      <c r="E35" s="288">
        <f t="shared" si="13"/>
        <v>0</v>
      </c>
      <c r="F35" s="288">
        <f t="shared" ref="F35:I35" si="14">SUM(F33:F34)</f>
        <v>39685</v>
      </c>
      <c r="G35" s="288">
        <f t="shared" si="14"/>
        <v>207770</v>
      </c>
      <c r="H35" s="288">
        <f t="shared" si="14"/>
        <v>0</v>
      </c>
      <c r="I35" s="288">
        <f t="shared" si="14"/>
        <v>121930</v>
      </c>
      <c r="J35" s="288">
        <f t="shared" si="13"/>
        <v>468309</v>
      </c>
      <c r="K35" s="27">
        <f t="shared" si="12"/>
        <v>4669638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[3]American!$FV$57</f>
        <v>0</v>
      </c>
      <c r="C38" s="21">
        <f>[3]Delta!$FV$57</f>
        <v>0</v>
      </c>
      <c r="D38" s="21">
        <f>[3]United!$FV$57</f>
        <v>0</v>
      </c>
      <c r="E38" s="21">
        <f>[3]Spirit!$FV$57</f>
        <v>0</v>
      </c>
      <c r="F38" s="21">
        <f>[3]Condor!$FV$57</f>
        <v>0</v>
      </c>
      <c r="G38" s="21">
        <f>'[3]Air France'!$FV$57</f>
        <v>0</v>
      </c>
      <c r="H38" s="21">
        <f>'[3]Jet Blue'!$FV$57</f>
        <v>0</v>
      </c>
      <c r="I38" s="21">
        <f>[3]KLM!$FV$57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[3]American!$FV$58</f>
        <v>0</v>
      </c>
      <c r="C39" s="14">
        <f>[3]Delta!$FV$58</f>
        <v>0</v>
      </c>
      <c r="D39" s="14">
        <f>[3]United!$FV$58</f>
        <v>0</v>
      </c>
      <c r="E39" s="14">
        <f>[3]Spirit!$FV$58</f>
        <v>0</v>
      </c>
      <c r="F39" s="14">
        <f>[3]Condor!$FV$58</f>
        <v>0</v>
      </c>
      <c r="G39" s="14">
        <f>'[3]Air France'!$FV$58</f>
        <v>0</v>
      </c>
      <c r="H39" s="14">
        <f>'[3]Jet Blue'!$FV$58</f>
        <v>0</v>
      </c>
      <c r="I39" s="14">
        <f>[3]KLM!$FV$58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51195</v>
      </c>
      <c r="C43" s="21">
        <f t="shared" si="17"/>
        <v>6846063</v>
      </c>
      <c r="D43" s="21">
        <f t="shared" si="17"/>
        <v>114997</v>
      </c>
      <c r="E43" s="21">
        <f>E28+E33+E38</f>
        <v>0</v>
      </c>
      <c r="F43" s="21">
        <f t="shared" ref="F43:I43" si="18">F28+F33+F38</f>
        <v>178641</v>
      </c>
      <c r="G43" s="21">
        <f t="shared" si="18"/>
        <v>638664</v>
      </c>
      <c r="H43" s="21">
        <f t="shared" si="18"/>
        <v>0</v>
      </c>
      <c r="I43" s="21">
        <f t="shared" si="18"/>
        <v>566765</v>
      </c>
      <c r="J43" s="21">
        <f t="shared" si="17"/>
        <v>468709</v>
      </c>
      <c r="K43" s="27">
        <f>SUM(B43:J43)</f>
        <v>8865034</v>
      </c>
    </row>
    <row r="44" spans="1:11" x14ac:dyDescent="0.2">
      <c r="A44" s="62" t="s">
        <v>38</v>
      </c>
      <c r="B44" s="14">
        <f t="shared" si="17"/>
        <v>67262</v>
      </c>
      <c r="C44" s="14">
        <f t="shared" si="17"/>
        <v>3021615</v>
      </c>
      <c r="D44" s="14">
        <f t="shared" si="17"/>
        <v>68569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543825</v>
      </c>
      <c r="K44" s="27">
        <f>SUM(B44:J44)</f>
        <v>3701271</v>
      </c>
    </row>
    <row r="45" spans="1:11" ht="15.75" thickBot="1" x14ac:dyDescent="0.3">
      <c r="A45" s="63" t="s">
        <v>46</v>
      </c>
      <c r="B45" s="289">
        <f t="shared" ref="B45:J45" si="20">SUM(B43:B44)</f>
        <v>118457</v>
      </c>
      <c r="C45" s="289">
        <f t="shared" si="20"/>
        <v>9867678</v>
      </c>
      <c r="D45" s="289">
        <f t="shared" si="20"/>
        <v>183566</v>
      </c>
      <c r="E45" s="289">
        <f t="shared" si="20"/>
        <v>0</v>
      </c>
      <c r="F45" s="289">
        <f t="shared" ref="F45:I45" si="21">SUM(F43:F44)</f>
        <v>178641</v>
      </c>
      <c r="G45" s="289">
        <f t="shared" si="21"/>
        <v>638664</v>
      </c>
      <c r="H45" s="289">
        <f t="shared" si="21"/>
        <v>0</v>
      </c>
      <c r="I45" s="289">
        <f t="shared" si="21"/>
        <v>566765</v>
      </c>
      <c r="J45" s="289">
        <f t="shared" si="20"/>
        <v>1012534</v>
      </c>
      <c r="K45" s="290">
        <f>SUM(B45:J45)</f>
        <v>12566305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[3]Delta!$FV$70+[3]Delta!$FV$73</f>
        <v>414498</v>
      </c>
      <c r="D47" s="306"/>
      <c r="E47" s="306"/>
      <c r="F47" s="306"/>
      <c r="G47" s="306"/>
      <c r="H47" s="306"/>
      <c r="I47" s="306"/>
      <c r="J47" s="306"/>
      <c r="K47" s="307">
        <f>SUM(B47:J47)</f>
        <v>414498</v>
      </c>
    </row>
    <row r="48" spans="1:11" hidden="1" x14ac:dyDescent="0.2">
      <c r="A48" s="376" t="s">
        <v>125</v>
      </c>
      <c r="C48" s="319">
        <f>[3]Delta!$FV$71+[3]Delta!$FV$74</f>
        <v>416159</v>
      </c>
      <c r="D48" s="306"/>
      <c r="E48" s="306"/>
      <c r="F48" s="306"/>
      <c r="G48" s="306"/>
      <c r="H48" s="306"/>
      <c r="I48" s="306"/>
      <c r="J48" s="306"/>
      <c r="K48" s="307">
        <f>SUM(B48:J48)</f>
        <v>416159</v>
      </c>
    </row>
    <row r="49" spans="1:11" hidden="1" x14ac:dyDescent="0.2">
      <c r="A49" s="377" t="s">
        <v>126</v>
      </c>
      <c r="C49" s="320">
        <f>SUM(C47:C48)</f>
        <v>830657</v>
      </c>
      <c r="K49" s="307">
        <f>SUM(B49:J49)</f>
        <v>830657</v>
      </c>
    </row>
    <row r="50" spans="1:11" x14ac:dyDescent="0.2">
      <c r="A50" s="375" t="s">
        <v>124</v>
      </c>
      <c r="B50" s="387"/>
      <c r="C50" s="322">
        <f>[3]Delta!$FV$70+[3]Delta!$FV$73</f>
        <v>414498</v>
      </c>
      <c r="D50" s="387"/>
      <c r="E50" s="322">
        <f>[3]Spirit!$FV$70+[3]Spirit!$FV$73</f>
        <v>0</v>
      </c>
      <c r="F50" s="387"/>
      <c r="G50" s="387"/>
      <c r="H50" s="387"/>
      <c r="I50" s="387"/>
      <c r="J50" s="321">
        <f>'Other Major Airline Stats'!J48</f>
        <v>142137</v>
      </c>
      <c r="K50" s="310">
        <f>SUM(B50:J50)</f>
        <v>556635</v>
      </c>
    </row>
    <row r="51" spans="1:11" x14ac:dyDescent="0.2">
      <c r="A51" s="389" t="s">
        <v>125</v>
      </c>
      <c r="B51" s="387"/>
      <c r="C51" s="322">
        <f>[3]Delta!$FV$71+[3]Delta!$FV$74</f>
        <v>416159</v>
      </c>
      <c r="D51" s="387"/>
      <c r="E51" s="322">
        <f>[3]Spirit!$FV$71+[3]Spirit!$FV$74</f>
        <v>0</v>
      </c>
      <c r="F51" s="387"/>
      <c r="G51" s="387"/>
      <c r="H51" s="387"/>
      <c r="I51" s="387"/>
      <c r="J51" s="321">
        <f>+'Other Major Airline Stats'!J49</f>
        <v>6350</v>
      </c>
      <c r="K51" s="310">
        <f>SUM(B51:J51)</f>
        <v>422509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B2" sqref="B2:I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43344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[3]Frontier!$FV$22</f>
        <v>20178</v>
      </c>
      <c r="C5" s="146">
        <f>'[3]Great Lakes'!$FV$22</f>
        <v>0</v>
      </c>
      <c r="D5" s="118">
        <f>'[3]Air Choice One'!$FV$22</f>
        <v>401</v>
      </c>
      <c r="E5" s="118">
        <f>'[3]Boutique Air'!$FV$22</f>
        <v>392</v>
      </c>
      <c r="F5" s="146">
        <f>[3]Icelandair!$FV$32</f>
        <v>5539</v>
      </c>
      <c r="G5" s="118">
        <f>[3]Southwest!$FV$22</f>
        <v>79715</v>
      </c>
      <c r="H5" s="118">
        <f>'[3]Sun Country'!$FV$22+'[3]Sun Country'!$FV$32</f>
        <v>64994</v>
      </c>
      <c r="I5" s="118">
        <f>[3]Alaska!$FV$22</f>
        <v>9994</v>
      </c>
      <c r="J5" s="147">
        <f>SUM(B5:I5)</f>
        <v>181213</v>
      </c>
      <c r="M5" s="130"/>
    </row>
    <row r="6" spans="1:13" x14ac:dyDescent="0.2">
      <c r="A6" s="62" t="s">
        <v>31</v>
      </c>
      <c r="B6" s="146">
        <f>[3]Frontier!$FV$23</f>
        <v>20727</v>
      </c>
      <c r="C6" s="146">
        <f>'[3]Great Lakes'!$FV$23</f>
        <v>0</v>
      </c>
      <c r="D6" s="118">
        <f>'[3]Air Choice One'!$FV$23</f>
        <v>403</v>
      </c>
      <c r="E6" s="118">
        <f>'[3]Boutique Air'!$FV$23</f>
        <v>398</v>
      </c>
      <c r="F6" s="146">
        <f>[3]Icelandair!$FV$33</f>
        <v>5600</v>
      </c>
      <c r="G6" s="118">
        <f>[3]Southwest!$FV$23</f>
        <v>80967</v>
      </c>
      <c r="H6" s="118">
        <f>'[3]Sun Country'!$FV$23+'[3]Sun Country'!$FV$33</f>
        <v>67520</v>
      </c>
      <c r="I6" s="118">
        <f>[3]Alaska!$FV$23</f>
        <v>9758</v>
      </c>
      <c r="J6" s="147">
        <f>SUM(B6:I6)</f>
        <v>185373</v>
      </c>
    </row>
    <row r="7" spans="1:13" ht="15" x14ac:dyDescent="0.25">
      <c r="A7" s="60" t="s">
        <v>7</v>
      </c>
      <c r="B7" s="155">
        <f t="shared" ref="B7:I7" si="0">SUM(B5:B6)</f>
        <v>40905</v>
      </c>
      <c r="C7" s="155">
        <f t="shared" si="0"/>
        <v>0</v>
      </c>
      <c r="D7" s="155">
        <f t="shared" ref="D7:E7" si="1">SUM(D5:D6)</f>
        <v>804</v>
      </c>
      <c r="E7" s="155">
        <f t="shared" si="1"/>
        <v>790</v>
      </c>
      <c r="F7" s="155">
        <f t="shared" si="0"/>
        <v>11139</v>
      </c>
      <c r="G7" s="155">
        <f t="shared" si="0"/>
        <v>160682</v>
      </c>
      <c r="H7" s="155">
        <f>SUM(H5:H6)</f>
        <v>132514</v>
      </c>
      <c r="I7" s="155">
        <f t="shared" si="0"/>
        <v>19752</v>
      </c>
      <c r="J7" s="156">
        <f>SUM(B7:I7)</f>
        <v>366586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[3]Frontier!$FV$27</f>
        <v>167</v>
      </c>
      <c r="C10" s="154">
        <f>'[3]Great Lakes'!$FV$27</f>
        <v>0</v>
      </c>
      <c r="D10" s="154">
        <f>'[3]Air Choice One'!$FV$27</f>
        <v>0</v>
      </c>
      <c r="E10" s="154">
        <f>'[3]Boutique Air'!$FV$27</f>
        <v>0</v>
      </c>
      <c r="F10" s="154">
        <f>[3]Icelandair!$FV$37</f>
        <v>71</v>
      </c>
      <c r="G10" s="154">
        <f>[3]Southwest!$FV$27</f>
        <v>1679</v>
      </c>
      <c r="H10" s="154">
        <f>'[3]Sun Country'!$FV$27+'[3]Sun Country'!$FV$37</f>
        <v>1429</v>
      </c>
      <c r="I10" s="154">
        <f>[3]Alaska!$FV$27</f>
        <v>281</v>
      </c>
      <c r="J10" s="147">
        <f>SUM(B10:I10)</f>
        <v>3627</v>
      </c>
    </row>
    <row r="11" spans="1:13" x14ac:dyDescent="0.2">
      <c r="A11" s="62" t="s">
        <v>33</v>
      </c>
      <c r="B11" s="157">
        <f>[3]Frontier!$FV$28</f>
        <v>156</v>
      </c>
      <c r="C11" s="157">
        <f>'[3]Great Lakes'!$FV$28</f>
        <v>0</v>
      </c>
      <c r="D11" s="157">
        <f>'[3]Air Choice One'!$FV$28</f>
        <v>0</v>
      </c>
      <c r="E11" s="157">
        <f>'[3]Boutique Air'!$FV$28</f>
        <v>0</v>
      </c>
      <c r="F11" s="157">
        <f>[3]Icelandair!$FV$38</f>
        <v>69</v>
      </c>
      <c r="G11" s="157">
        <f>[3]Southwest!$FV$28</f>
        <v>1897</v>
      </c>
      <c r="H11" s="157">
        <f>'[3]Sun Country'!$FV$28+'[3]Sun Country'!$FV$38</f>
        <v>1545</v>
      </c>
      <c r="I11" s="157">
        <f>[3]Alaska!$FV$28</f>
        <v>371</v>
      </c>
      <c r="J11" s="147">
        <f>SUM(B11:I11)</f>
        <v>4038</v>
      </c>
    </row>
    <row r="12" spans="1:13" ht="15.75" thickBot="1" x14ac:dyDescent="0.3">
      <c r="A12" s="63" t="s">
        <v>34</v>
      </c>
      <c r="B12" s="150">
        <f t="shared" ref="B12:I12" si="2">SUM(B10:B11)</f>
        <v>323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140</v>
      </c>
      <c r="G12" s="150">
        <f t="shared" si="2"/>
        <v>3576</v>
      </c>
      <c r="H12" s="150">
        <f>SUM(H10:H11)</f>
        <v>2974</v>
      </c>
      <c r="I12" s="150">
        <f t="shared" si="2"/>
        <v>652</v>
      </c>
      <c r="J12" s="158">
        <f>SUM(B12:I12)</f>
        <v>7665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[3]Frontier!$FV$4</f>
        <v>150</v>
      </c>
      <c r="C16" s="146">
        <f>'[3]Great Lakes'!$FV$4</f>
        <v>0</v>
      </c>
      <c r="D16" s="106">
        <f>'[3]Air Choice One'!$FV$4</f>
        <v>90</v>
      </c>
      <c r="E16" s="106">
        <f>'[3]Boutique Air'!$FV$4</f>
        <v>72</v>
      </c>
      <c r="F16" s="146">
        <f>[3]Icelandair!$FV$15</f>
        <v>37</v>
      </c>
      <c r="G16" s="106">
        <f>[3]Southwest!$FV$4</f>
        <v>684</v>
      </c>
      <c r="H16" s="118">
        <f>'[3]Sun Country'!$FV$4+'[3]Sun Country'!$FV$15</f>
        <v>521</v>
      </c>
      <c r="I16" s="118">
        <f>[3]Alaska!$FV$4</f>
        <v>60</v>
      </c>
      <c r="J16" s="147">
        <f>SUM(B16:I16)</f>
        <v>1614</v>
      </c>
    </row>
    <row r="17" spans="1:257" x14ac:dyDescent="0.2">
      <c r="A17" s="62" t="s">
        <v>23</v>
      </c>
      <c r="B17" s="146">
        <f>[3]Frontier!$FV$5</f>
        <v>150</v>
      </c>
      <c r="C17" s="146">
        <f>'[3]Great Lakes'!$FV$5</f>
        <v>0</v>
      </c>
      <c r="D17" s="106">
        <f>'[3]Air Choice One'!$FV$5</f>
        <v>90</v>
      </c>
      <c r="E17" s="106">
        <f>'[3]Boutique Air'!$FV$5</f>
        <v>72</v>
      </c>
      <c r="F17" s="146">
        <f>[3]Icelandair!$FV$16</f>
        <v>37</v>
      </c>
      <c r="G17" s="106">
        <f>[3]Southwest!$FV$5</f>
        <v>684</v>
      </c>
      <c r="H17" s="118">
        <f>'[3]Sun Country'!$FV$5+'[3]Sun Country'!$FV$16</f>
        <v>515</v>
      </c>
      <c r="I17" s="118">
        <f>[3]Alaska!$FV$5</f>
        <v>60</v>
      </c>
      <c r="J17" s="147">
        <f>SUM(B17:I17)</f>
        <v>1608</v>
      </c>
    </row>
    <row r="18" spans="1:257" x14ac:dyDescent="0.2">
      <c r="A18" s="66" t="s">
        <v>24</v>
      </c>
      <c r="B18" s="148">
        <f t="shared" ref="B18:I18" si="4">SUM(B16:B17)</f>
        <v>300</v>
      </c>
      <c r="C18" s="148">
        <f t="shared" si="4"/>
        <v>0</v>
      </c>
      <c r="D18" s="148">
        <f t="shared" ref="D18:E18" si="5">SUM(D16:D17)</f>
        <v>180</v>
      </c>
      <c r="E18" s="148">
        <f t="shared" si="5"/>
        <v>144</v>
      </c>
      <c r="F18" s="148">
        <f t="shared" si="4"/>
        <v>74</v>
      </c>
      <c r="G18" s="148">
        <f t="shared" si="4"/>
        <v>1368</v>
      </c>
      <c r="H18" s="148">
        <f t="shared" si="4"/>
        <v>1036</v>
      </c>
      <c r="I18" s="148">
        <f t="shared" si="4"/>
        <v>120</v>
      </c>
      <c r="J18" s="149">
        <f>SUM(B18:I18)</f>
        <v>3222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[3]Frontier!$FV$8</f>
        <v>0</v>
      </c>
      <c r="C20" s="146">
        <f>'[3]Great Lakes'!$FV$8</f>
        <v>0</v>
      </c>
      <c r="D20" s="118">
        <f>'[3]Air Choice One'!$FV$8</f>
        <v>0</v>
      </c>
      <c r="E20" s="118">
        <f>'[3]Boutique Air'!$FV$8</f>
        <v>0</v>
      </c>
      <c r="F20" s="146">
        <f>[3]Icelandair!$FV$8</f>
        <v>0</v>
      </c>
      <c r="G20" s="118">
        <f>[3]Southwest!$FV$8</f>
        <v>0</v>
      </c>
      <c r="H20" s="118">
        <f>'[3]Sun Country'!$FV$8</f>
        <v>77</v>
      </c>
      <c r="I20" s="118">
        <f>[3]Alaska!$FV$8</f>
        <v>0</v>
      </c>
      <c r="J20" s="147">
        <f>SUM(B20:I20)</f>
        <v>77</v>
      </c>
    </row>
    <row r="21" spans="1:257" x14ac:dyDescent="0.2">
      <c r="A21" s="62" t="s">
        <v>26</v>
      </c>
      <c r="B21" s="146">
        <f>[3]Frontier!$FV$9</f>
        <v>0</v>
      </c>
      <c r="C21" s="146">
        <f>'[3]Great Lakes'!$FV$9</f>
        <v>0</v>
      </c>
      <c r="D21" s="118">
        <f>'[3]Air Choice One'!$FV$9</f>
        <v>0</v>
      </c>
      <c r="E21" s="118">
        <f>'[3]Boutique Air'!$FV$9</f>
        <v>0</v>
      </c>
      <c r="F21" s="146">
        <f>[3]Icelandair!$FV$9</f>
        <v>0</v>
      </c>
      <c r="G21" s="118">
        <f>[3]Southwest!$FV$9</f>
        <v>0</v>
      </c>
      <c r="H21" s="118">
        <f>'[3]Sun Country'!$FV$9</f>
        <v>75</v>
      </c>
      <c r="I21" s="118">
        <f>[3]Alaska!$FV$9</f>
        <v>0</v>
      </c>
      <c r="J21" s="147">
        <f>SUM(B21:I21)</f>
        <v>75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152</v>
      </c>
      <c r="I22" s="148">
        <f t="shared" si="6"/>
        <v>0</v>
      </c>
      <c r="J22" s="149">
        <f>SUM(B22:I22)</f>
        <v>152</v>
      </c>
    </row>
    <row r="23" spans="1:257" ht="15.75" thickBot="1" x14ac:dyDescent="0.3">
      <c r="A23" s="63" t="s">
        <v>28</v>
      </c>
      <c r="B23" s="150">
        <f t="shared" ref="B23:I23" si="8">B22+B18</f>
        <v>300</v>
      </c>
      <c r="C23" s="150">
        <f t="shared" si="8"/>
        <v>0</v>
      </c>
      <c r="D23" s="150">
        <f t="shared" ref="D23:E23" si="9">D22+D18</f>
        <v>180</v>
      </c>
      <c r="E23" s="150">
        <f t="shared" si="9"/>
        <v>144</v>
      </c>
      <c r="F23" s="150">
        <f t="shared" si="8"/>
        <v>74</v>
      </c>
      <c r="G23" s="150">
        <f t="shared" si="8"/>
        <v>1368</v>
      </c>
      <c r="H23" s="150">
        <f t="shared" si="8"/>
        <v>1188</v>
      </c>
      <c r="I23" s="150">
        <f t="shared" si="8"/>
        <v>120</v>
      </c>
      <c r="J23" s="151">
        <f>SUM(B23:I23)</f>
        <v>3374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[3]Frontier!$FV$47</f>
        <v>0</v>
      </c>
      <c r="C28" s="146">
        <f>'[3]Great Lakes'!$FV$47</f>
        <v>0</v>
      </c>
      <c r="D28" s="118">
        <f>'[3]Air Choice One'!$FV$47</f>
        <v>0</v>
      </c>
      <c r="E28" s="118">
        <f>'[3]Boutique Air'!$FV$47</f>
        <v>0</v>
      </c>
      <c r="F28" s="146">
        <f>[3]Icelandair!$FV$47</f>
        <v>9885</v>
      </c>
      <c r="G28" s="118">
        <f>[3]Southwest!$FV$47</f>
        <v>209146</v>
      </c>
      <c r="H28" s="118">
        <f>'[3]Sun Country'!$FV$47</f>
        <v>97056</v>
      </c>
      <c r="I28" s="118">
        <f>[3]Alaska!$FV$47</f>
        <v>23986</v>
      </c>
      <c r="J28" s="147">
        <f>SUM(B28:I28)</f>
        <v>340073</v>
      </c>
    </row>
    <row r="29" spans="1:257" x14ac:dyDescent="0.2">
      <c r="A29" s="62" t="s">
        <v>38</v>
      </c>
      <c r="B29" s="146">
        <f>[3]Frontier!$FV$48</f>
        <v>0</v>
      </c>
      <c r="C29" s="146">
        <f>'[3]Great Lakes'!$FV$48</f>
        <v>0</v>
      </c>
      <c r="D29" s="118">
        <f>'[3]Air Choice One'!$FV$48</f>
        <v>0</v>
      </c>
      <c r="E29" s="118">
        <f>'[3]Boutique Air'!$FV$48</f>
        <v>0</v>
      </c>
      <c r="F29" s="146">
        <f>[3]Icelandair!$FV$48</f>
        <v>0</v>
      </c>
      <c r="G29" s="118">
        <f>[3]Southwest!$FV$48</f>
        <v>0</v>
      </c>
      <c r="H29" s="118">
        <f>'[3]Sun Country'!$FV$48</f>
        <v>198181</v>
      </c>
      <c r="I29" s="118">
        <f>[3]Alaska!$FV$48</f>
        <v>5971</v>
      </c>
      <c r="J29" s="147">
        <f>SUM(B29:I29)</f>
        <v>204152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9885</v>
      </c>
      <c r="G30" s="162">
        <f t="shared" si="10"/>
        <v>209146</v>
      </c>
      <c r="H30" s="162">
        <f t="shared" si="10"/>
        <v>295237</v>
      </c>
      <c r="I30" s="162">
        <f t="shared" si="10"/>
        <v>29957</v>
      </c>
      <c r="J30" s="165">
        <f>SUM(B30:I30)</f>
        <v>544225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[3]Frontier!$FV$52</f>
        <v>0</v>
      </c>
      <c r="C33" s="146">
        <f>'[3]Great Lakes'!$FV$52</f>
        <v>0</v>
      </c>
      <c r="D33" s="118">
        <f>'[3]Air Choice One'!$FV$52</f>
        <v>0</v>
      </c>
      <c r="E33" s="118">
        <f>'[3]Boutique Air'!$FV$52</f>
        <v>0</v>
      </c>
      <c r="F33" s="146">
        <f>[3]Icelandair!$FV$52</f>
        <v>507</v>
      </c>
      <c r="G33" s="118">
        <f>[3]Southwest!$FV$52</f>
        <v>78604</v>
      </c>
      <c r="H33" s="118">
        <f>'[3]Sun Country'!$FV$52</f>
        <v>44060</v>
      </c>
      <c r="I33" s="118">
        <f>[3]Alaska!$FV$52</f>
        <v>5465</v>
      </c>
      <c r="J33" s="147">
        <f>SUM(B33:I33)</f>
        <v>128636</v>
      </c>
    </row>
    <row r="34" spans="1:10" x14ac:dyDescent="0.2">
      <c r="A34" s="62" t="s">
        <v>38</v>
      </c>
      <c r="B34" s="146">
        <f>[3]Frontier!$FV$53</f>
        <v>0</v>
      </c>
      <c r="C34" s="146">
        <f>'[3]Great Lakes'!$FV$53</f>
        <v>0</v>
      </c>
      <c r="D34" s="118">
        <f>'[3]Air Choice One'!$FV$53</f>
        <v>0</v>
      </c>
      <c r="E34" s="118">
        <f>'[3]Boutique Air'!$FV$53</f>
        <v>0</v>
      </c>
      <c r="F34" s="146">
        <f>[3]Icelandair!$FV$53</f>
        <v>0</v>
      </c>
      <c r="G34" s="118">
        <f>[3]Southwest!$FV$53</f>
        <v>0</v>
      </c>
      <c r="H34" s="118">
        <f>'[3]Sun Country'!$FV$53</f>
        <v>335356</v>
      </c>
      <c r="I34" s="118">
        <f>[3]Alaska!$FV$53</f>
        <v>4317</v>
      </c>
      <c r="J34" s="163">
        <f>SUM(B34:I34)</f>
        <v>339673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507</v>
      </c>
      <c r="G35" s="164">
        <f t="shared" si="12"/>
        <v>78604</v>
      </c>
      <c r="H35" s="164">
        <f t="shared" si="12"/>
        <v>379416</v>
      </c>
      <c r="I35" s="164">
        <f t="shared" si="12"/>
        <v>9782</v>
      </c>
      <c r="J35" s="165">
        <f>SUM(B35:I35)</f>
        <v>468309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[3]Frontier!$FV$57</f>
        <v>0</v>
      </c>
      <c r="C38" s="154">
        <f>'[3]Great Lakes'!$FV$57</f>
        <v>0</v>
      </c>
      <c r="D38" s="154">
        <f>'[3]Air Choice One'!$FV$57</f>
        <v>0</v>
      </c>
      <c r="E38" s="154">
        <f>'[3]Boutique Air'!$FV$57</f>
        <v>0</v>
      </c>
      <c r="F38" s="154">
        <f>[3]Icelandair!$FV$57</f>
        <v>0</v>
      </c>
      <c r="G38" s="154">
        <f>[3]Southwest!$FV$57</f>
        <v>0</v>
      </c>
      <c r="H38" s="154">
        <f>'[3]Sun Country'!$FV$57</f>
        <v>0</v>
      </c>
      <c r="I38" s="154">
        <f>[3]Alaska!$FV$57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[3]Frontier!$FV$58</f>
        <v>0</v>
      </c>
      <c r="C39" s="157">
        <f>'[3]Great Lakes'!$FV$58</f>
        <v>0</v>
      </c>
      <c r="D39" s="157">
        <f>'[3]Air Choice One'!$FV$58</f>
        <v>0</v>
      </c>
      <c r="E39" s="157">
        <f>'[3]Boutique Air'!$FV$58</f>
        <v>0</v>
      </c>
      <c r="F39" s="157">
        <f>[3]Icelandair!$FV$58</f>
        <v>0</v>
      </c>
      <c r="G39" s="157">
        <f>[3]Southwest!$FV$58</f>
        <v>0</v>
      </c>
      <c r="H39" s="157">
        <f>'[3]Sun Country'!$FV$58</f>
        <v>0</v>
      </c>
      <c r="I39" s="157">
        <f>[3]Alaska!$FV$58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10392</v>
      </c>
      <c r="G43" s="154">
        <f t="shared" si="16"/>
        <v>287750</v>
      </c>
      <c r="H43" s="154">
        <f t="shared" si="16"/>
        <v>141116</v>
      </c>
      <c r="I43" s="154">
        <f t="shared" si="16"/>
        <v>29451</v>
      </c>
      <c r="J43" s="147">
        <f>SUM(B43:I43)</f>
        <v>468709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533537</v>
      </c>
      <c r="I44" s="157">
        <f t="shared" si="18"/>
        <v>10288</v>
      </c>
      <c r="J44" s="147">
        <f>SUM(B44:I44)</f>
        <v>543825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10392</v>
      </c>
      <c r="G45" s="167">
        <f t="shared" si="20"/>
        <v>287750</v>
      </c>
      <c r="H45" s="167">
        <f t="shared" si="20"/>
        <v>674653</v>
      </c>
      <c r="I45" s="167">
        <f t="shared" si="20"/>
        <v>39739</v>
      </c>
      <c r="J45" s="168">
        <f>SUM(B45:I45)</f>
        <v>1012534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[3]Southwest!$FV$70+[3]Southwest!$FV$73</f>
        <v>80594</v>
      </c>
      <c r="H48" s="322">
        <f>'[3]Sun Country'!$FV$70+'[3]Sun Country'!$FV$73</f>
        <v>61543</v>
      </c>
      <c r="I48" s="387"/>
      <c r="J48" s="310">
        <f>SUM(B48:I48)</f>
        <v>142137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[3]Southwest!$FV$71+[3]Southwest!$FV$74</f>
        <v>373</v>
      </c>
      <c r="H49" s="322">
        <f>'[3]Sun Country'!$FV$71+'[3]Sun Country'!$FV$74</f>
        <v>5977</v>
      </c>
      <c r="I49" s="387"/>
      <c r="J49" s="310">
        <f>SUM(B49:I49)</f>
        <v>6350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September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workbookViewId="0">
      <selection activeCell="B4" sqref="B4:M4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43344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[3]Pinnacle!$FV$22+[3]Pinnacle!$FV$32</f>
        <v>57655</v>
      </c>
      <c r="C5" s="132">
        <f>[3]MESA_UA!$FV$22</f>
        <v>7387</v>
      </c>
      <c r="D5" s="130">
        <f>'[3]Sky West'!$FV$22+'[3]Sky West'!$FV$32</f>
        <v>182154</v>
      </c>
      <c r="E5" s="130">
        <f>'[3]Sky West_UA'!$FV$22</f>
        <v>6745</v>
      </c>
      <c r="F5" s="130">
        <f>'[3]Sky West_AS'!$FV$22</f>
        <v>0</v>
      </c>
      <c r="G5" s="130">
        <f>'[3]Sky West_AA'!$FV$22</f>
        <v>1559</v>
      </c>
      <c r="H5" s="130">
        <f>[3]Republic!$FV$22</f>
        <v>11026</v>
      </c>
      <c r="I5" s="130">
        <f>[3]Republic_UA!$FV$22</f>
        <v>12683</v>
      </c>
      <c r="J5" s="130">
        <f>'[3]Sky Regional'!$FV$32</f>
        <v>5347</v>
      </c>
      <c r="K5" s="130">
        <f>'[3]American Eagle'!$FV$22</f>
        <v>271</v>
      </c>
      <c r="L5" s="130">
        <f>'Other Regional'!M5</f>
        <v>9289</v>
      </c>
      <c r="M5" s="110">
        <f>SUM(B5:L5)</f>
        <v>294116</v>
      </c>
    </row>
    <row r="6" spans="1:13" s="10" customFormat="1" x14ac:dyDescent="0.2">
      <c r="A6" s="62" t="s">
        <v>31</v>
      </c>
      <c r="B6" s="131">
        <f>[3]Pinnacle!$FV$23+[3]Pinnacle!$FV$33</f>
        <v>58427</v>
      </c>
      <c r="C6" s="132">
        <f>[3]MESA_UA!$FV$23</f>
        <v>7927</v>
      </c>
      <c r="D6" s="130">
        <f>'[3]Sky West'!$FV$23+'[3]Sky West'!$FV$33</f>
        <v>182392</v>
      </c>
      <c r="E6" s="130">
        <f>'[3]Sky West_UA'!$FV$23</f>
        <v>6785</v>
      </c>
      <c r="F6" s="130">
        <f>'[3]Sky West_AS'!$FV$23</f>
        <v>0</v>
      </c>
      <c r="G6" s="130">
        <f>'[3]Sky West_AA'!$FV$23</f>
        <v>1495</v>
      </c>
      <c r="H6" s="130">
        <f>[3]Republic!$FV$23</f>
        <v>12182</v>
      </c>
      <c r="I6" s="130">
        <f>[3]Republic_UA!$FV$23</f>
        <v>12600</v>
      </c>
      <c r="J6" s="130">
        <f>'[3]Sky Regional'!$FV$33</f>
        <v>5659</v>
      </c>
      <c r="K6" s="130">
        <f>'[3]American Eagle'!$FV$23</f>
        <v>169</v>
      </c>
      <c r="L6" s="130">
        <f>'Other Regional'!M6</f>
        <v>8705</v>
      </c>
      <c r="M6" s="115">
        <f>SUM(B6:L6)</f>
        <v>296341</v>
      </c>
    </row>
    <row r="7" spans="1:13" ht="15" thickBot="1" x14ac:dyDescent="0.25">
      <c r="A7" s="73" t="s">
        <v>7</v>
      </c>
      <c r="B7" s="133">
        <f>SUM(B5:B6)</f>
        <v>116082</v>
      </c>
      <c r="C7" s="133">
        <f t="shared" ref="C7:L7" si="0">SUM(C5:C6)</f>
        <v>15314</v>
      </c>
      <c r="D7" s="133">
        <f t="shared" si="0"/>
        <v>364546</v>
      </c>
      <c r="E7" s="133">
        <f t="shared" si="0"/>
        <v>13530</v>
      </c>
      <c r="F7" s="133">
        <f t="shared" ref="F7:G7" si="1">SUM(F5:F6)</f>
        <v>0</v>
      </c>
      <c r="G7" s="133">
        <f t="shared" si="1"/>
        <v>3054</v>
      </c>
      <c r="H7" s="133">
        <f t="shared" si="0"/>
        <v>23208</v>
      </c>
      <c r="I7" s="133">
        <f t="shared" si="0"/>
        <v>25283</v>
      </c>
      <c r="J7" s="133">
        <f t="shared" si="0"/>
        <v>11006</v>
      </c>
      <c r="K7" s="133">
        <f t="shared" si="0"/>
        <v>440</v>
      </c>
      <c r="L7" s="133">
        <f t="shared" si="0"/>
        <v>17994</v>
      </c>
      <c r="M7" s="134">
        <f>SUM(B7:L7)</f>
        <v>590457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[3]Pinnacle!$FV$27+[3]Pinnacle!$FV$37</f>
        <v>2353</v>
      </c>
      <c r="C10" s="132">
        <f>[3]MESA_UA!$FV$27</f>
        <v>248</v>
      </c>
      <c r="D10" s="130">
        <f>'[3]Sky West'!$FV$27+'[3]Sky West'!$FV$37</f>
        <v>6375</v>
      </c>
      <c r="E10" s="130">
        <f>'[3]Sky West_UA'!$FV$27</f>
        <v>213</v>
      </c>
      <c r="F10" s="130">
        <f>'[3]Sky West_AS'!$FV$27</f>
        <v>0</v>
      </c>
      <c r="G10" s="130">
        <f>'[3]Sky West_AA'!$FV$27</f>
        <v>120</v>
      </c>
      <c r="H10" s="130">
        <f>[3]Republic!$FV$27</f>
        <v>449</v>
      </c>
      <c r="I10" s="130">
        <f>[3]Republic_UA!$FV$27</f>
        <v>469</v>
      </c>
      <c r="J10" s="130">
        <f>'[3]Sky Regional'!$FV$37</f>
        <v>52</v>
      </c>
      <c r="K10" s="130">
        <f>'[3]American Eagle'!$FV$27</f>
        <v>35</v>
      </c>
      <c r="L10" s="130">
        <f>'Other Regional'!M10</f>
        <v>261</v>
      </c>
      <c r="M10" s="110">
        <f>SUM(B10:L10)</f>
        <v>10575</v>
      </c>
    </row>
    <row r="11" spans="1:13" x14ac:dyDescent="0.2">
      <c r="A11" s="62" t="s">
        <v>33</v>
      </c>
      <c r="B11" s="131">
        <f>[3]Pinnacle!$FV$28+[3]Pinnacle!$FV$38</f>
        <v>2228</v>
      </c>
      <c r="C11" s="132">
        <f>[3]MESA_UA!$FV$28</f>
        <v>213</v>
      </c>
      <c r="D11" s="130">
        <f>'[3]Sky West'!$FV$28+'[3]Sky West'!$FV$38</f>
        <v>6417</v>
      </c>
      <c r="E11" s="130">
        <f>'[3]Sky West_UA'!$FV$28</f>
        <v>294</v>
      </c>
      <c r="F11" s="130">
        <f>'[3]Sky West_AS'!$FV$28</f>
        <v>0</v>
      </c>
      <c r="G11" s="130">
        <f>'[3]Sky West_AA'!$FV$28</f>
        <v>131</v>
      </c>
      <c r="H11" s="130">
        <f>[3]Republic!$FV$28</f>
        <v>473</v>
      </c>
      <c r="I11" s="130">
        <f>[3]Republic_UA!$FV$28</f>
        <v>466</v>
      </c>
      <c r="J11" s="130">
        <f>'[3]Sky Regional'!$FV$38</f>
        <v>63</v>
      </c>
      <c r="K11" s="130">
        <f>'[3]American Eagle'!$FV$28</f>
        <v>34</v>
      </c>
      <c r="L11" s="130">
        <f>'Other Regional'!M11</f>
        <v>265</v>
      </c>
      <c r="M11" s="115">
        <f>SUM(B11:L11)</f>
        <v>10584</v>
      </c>
    </row>
    <row r="12" spans="1:13" ht="15" thickBot="1" x14ac:dyDescent="0.25">
      <c r="A12" s="74" t="s">
        <v>34</v>
      </c>
      <c r="B12" s="136">
        <f t="shared" ref="B12:L12" si="2">SUM(B10:B11)</f>
        <v>4581</v>
      </c>
      <c r="C12" s="136">
        <f t="shared" si="2"/>
        <v>461</v>
      </c>
      <c r="D12" s="136">
        <f t="shared" si="2"/>
        <v>12792</v>
      </c>
      <c r="E12" s="136">
        <f t="shared" si="2"/>
        <v>507</v>
      </c>
      <c r="F12" s="136">
        <f t="shared" ref="F12:G12" si="3">SUM(F10:F11)</f>
        <v>0</v>
      </c>
      <c r="G12" s="136">
        <f t="shared" si="3"/>
        <v>251</v>
      </c>
      <c r="H12" s="136">
        <f t="shared" si="2"/>
        <v>922</v>
      </c>
      <c r="I12" s="136">
        <f t="shared" si="2"/>
        <v>935</v>
      </c>
      <c r="J12" s="136">
        <f t="shared" si="2"/>
        <v>115</v>
      </c>
      <c r="K12" s="136">
        <f t="shared" si="2"/>
        <v>69</v>
      </c>
      <c r="L12" s="136">
        <f t="shared" si="2"/>
        <v>526</v>
      </c>
      <c r="M12" s="137">
        <f>SUM(B12:L12)</f>
        <v>21159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[3]Pinnacle!$FV$4+[3]Pinnacle!$FV$15</f>
        <v>995</v>
      </c>
      <c r="C15" s="108">
        <f>[3]MESA_UA!$FV$4</f>
        <v>123</v>
      </c>
      <c r="D15" s="106">
        <f>'[3]Sky West'!$FV$4+'[3]Sky West'!$FV$15</f>
        <v>3928</v>
      </c>
      <c r="E15" s="106">
        <f>'[3]Sky West_UA'!$FV$4</f>
        <v>105</v>
      </c>
      <c r="F15" s="106">
        <f>'[3]Sky West_AS'!$FV$4</f>
        <v>0</v>
      </c>
      <c r="G15" s="106">
        <f>'[3]Sky West_AA'!$FV$4</f>
        <v>28</v>
      </c>
      <c r="H15" s="109">
        <f>[3]Republic!$FV$4</f>
        <v>214</v>
      </c>
      <c r="I15" s="455">
        <f>[3]Republic_UA!$FV$4</f>
        <v>205</v>
      </c>
      <c r="J15" s="455">
        <f>'[3]Sky Regional'!$FV$15</f>
        <v>89</v>
      </c>
      <c r="K15" s="109">
        <f>'[3]American Eagle'!$FV$4</f>
        <v>5</v>
      </c>
      <c r="L15" s="107">
        <f>'Other Regional'!M15</f>
        <v>148</v>
      </c>
      <c r="M15" s="110">
        <f t="shared" ref="M15:M21" si="5">SUM(B15:L15)</f>
        <v>5840</v>
      </c>
    </row>
    <row r="16" spans="1:13" x14ac:dyDescent="0.2">
      <c r="A16" s="62" t="s">
        <v>54</v>
      </c>
      <c r="B16" s="14">
        <f>[3]Pinnacle!$FV$5+[3]Pinnacle!$FV$16</f>
        <v>994</v>
      </c>
      <c r="C16" s="113">
        <f>[3]MESA_UA!$FV$5</f>
        <v>123</v>
      </c>
      <c r="D16" s="111">
        <f>'[3]Sky West'!$FV$5+'[3]Sky West'!$FV$16</f>
        <v>3924</v>
      </c>
      <c r="E16" s="111">
        <f>'[3]Sky West_UA'!$FV$5</f>
        <v>105</v>
      </c>
      <c r="F16" s="111">
        <f>'[3]Sky West_AS'!$FV$5</f>
        <v>0</v>
      </c>
      <c r="G16" s="111">
        <f>'[3]Sky West_AA'!$FV$5</f>
        <v>28</v>
      </c>
      <c r="H16" s="114">
        <f>[3]Republic!$FV$5</f>
        <v>214</v>
      </c>
      <c r="I16" s="297">
        <f>[3]Republic_UA!$FV$5</f>
        <v>205</v>
      </c>
      <c r="J16" s="297">
        <f>'[3]Sky Regional'!$FV$16</f>
        <v>89</v>
      </c>
      <c r="K16" s="114">
        <f>'[3]American Eagle'!$FV$5</f>
        <v>5</v>
      </c>
      <c r="L16" s="112">
        <f>'Other Regional'!M16</f>
        <v>148</v>
      </c>
      <c r="M16" s="115">
        <f t="shared" si="5"/>
        <v>5835</v>
      </c>
    </row>
    <row r="17" spans="1:13" x14ac:dyDescent="0.2">
      <c r="A17" s="71" t="s">
        <v>55</v>
      </c>
      <c r="B17" s="116">
        <f t="shared" ref="B17:K17" si="6">SUM(B15:B16)</f>
        <v>1989</v>
      </c>
      <c r="C17" s="116">
        <f t="shared" si="6"/>
        <v>246</v>
      </c>
      <c r="D17" s="116">
        <f t="shared" si="6"/>
        <v>7852</v>
      </c>
      <c r="E17" s="116">
        <f t="shared" si="6"/>
        <v>210</v>
      </c>
      <c r="F17" s="116">
        <f t="shared" ref="F17:G17" si="7">SUM(F15:F16)</f>
        <v>0</v>
      </c>
      <c r="G17" s="116">
        <f t="shared" si="7"/>
        <v>56</v>
      </c>
      <c r="H17" s="116">
        <f t="shared" si="6"/>
        <v>428</v>
      </c>
      <c r="I17" s="116">
        <f t="shared" ref="I17:J17" si="8">SUM(I15:I16)</f>
        <v>410</v>
      </c>
      <c r="J17" s="116">
        <f t="shared" si="8"/>
        <v>178</v>
      </c>
      <c r="K17" s="116">
        <f t="shared" si="6"/>
        <v>10</v>
      </c>
      <c r="L17" s="116">
        <f>SUM(L15:L16)</f>
        <v>296</v>
      </c>
      <c r="M17" s="117">
        <f t="shared" si="5"/>
        <v>11675</v>
      </c>
    </row>
    <row r="18" spans="1:13" x14ac:dyDescent="0.2">
      <c r="A18" s="62" t="s">
        <v>56</v>
      </c>
      <c r="B18" s="118">
        <f>[3]Pinnacle!$FV$8</f>
        <v>0</v>
      </c>
      <c r="C18" s="119">
        <f>[3]MESA_UA!$FV$8</f>
        <v>0</v>
      </c>
      <c r="D18" s="118">
        <f>'[3]Sky West'!$FV$8</f>
        <v>1</v>
      </c>
      <c r="E18" s="118">
        <f>'[3]Sky West_UA'!$FV$8</f>
        <v>0</v>
      </c>
      <c r="F18" s="118">
        <f>'[3]Sky West_AS'!$FV$8</f>
        <v>0</v>
      </c>
      <c r="G18" s="118">
        <f>'[3]Sky West_AA'!$FV$8</f>
        <v>0</v>
      </c>
      <c r="H18" s="118">
        <f>[3]Republic!$FV$8</f>
        <v>0</v>
      </c>
      <c r="I18" s="118">
        <f>[3]Republic_UA!$FV$8</f>
        <v>0</v>
      </c>
      <c r="J18" s="118">
        <f>'[3]Sky Regional'!$FV$8</f>
        <v>0</v>
      </c>
      <c r="K18" s="118">
        <f>'[3]American Eagle'!$FV$8</f>
        <v>0</v>
      </c>
      <c r="L18" s="118">
        <f>'Other Regional'!M18</f>
        <v>0</v>
      </c>
      <c r="M18" s="110">
        <f t="shared" si="5"/>
        <v>1</v>
      </c>
    </row>
    <row r="19" spans="1:13" x14ac:dyDescent="0.2">
      <c r="A19" s="62" t="s">
        <v>57</v>
      </c>
      <c r="B19" s="120">
        <f>[3]Pinnacle!$FV$9</f>
        <v>0</v>
      </c>
      <c r="C19" s="121">
        <f>[3]MESA_UA!$FV$9</f>
        <v>0</v>
      </c>
      <c r="D19" s="120">
        <f>'[3]Sky West'!$FV$9</f>
        <v>6</v>
      </c>
      <c r="E19" s="120">
        <f>'[3]Sky West_UA'!$FV$9</f>
        <v>0</v>
      </c>
      <c r="F19" s="120">
        <f>'[3]Sky West_AS'!$FV$9</f>
        <v>0</v>
      </c>
      <c r="G19" s="120">
        <f>'[3]Sky West_AA'!$FV$9</f>
        <v>0</v>
      </c>
      <c r="H19" s="120">
        <f>[3]Republic!$FV$9</f>
        <v>0</v>
      </c>
      <c r="I19" s="120">
        <f>[3]Republic_UA!$FV$9</f>
        <v>0</v>
      </c>
      <c r="J19" s="120">
        <f>'[3]Sky Regional'!$FV$9</f>
        <v>0</v>
      </c>
      <c r="K19" s="120">
        <f>'[3]American Eagle'!$FV$9</f>
        <v>0</v>
      </c>
      <c r="L19" s="120">
        <f>'Other Regional'!M19</f>
        <v>0</v>
      </c>
      <c r="M19" s="115">
        <f t="shared" si="5"/>
        <v>6</v>
      </c>
    </row>
    <row r="20" spans="1:13" x14ac:dyDescent="0.2">
      <c r="A20" s="71" t="s">
        <v>58</v>
      </c>
      <c r="B20" s="116">
        <f t="shared" ref="B20:L20" si="9">SUM(B18:B19)</f>
        <v>0</v>
      </c>
      <c r="C20" s="116">
        <f t="shared" si="9"/>
        <v>0</v>
      </c>
      <c r="D20" s="116">
        <f t="shared" si="9"/>
        <v>7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7</v>
      </c>
    </row>
    <row r="21" spans="1:13" ht="15.75" thickBot="1" x14ac:dyDescent="0.3">
      <c r="A21" s="72" t="s">
        <v>28</v>
      </c>
      <c r="B21" s="122">
        <f t="shared" ref="B21:K21" si="11">SUM(B20,B17)</f>
        <v>1989</v>
      </c>
      <c r="C21" s="122">
        <f t="shared" si="11"/>
        <v>246</v>
      </c>
      <c r="D21" s="122">
        <f t="shared" si="11"/>
        <v>7859</v>
      </c>
      <c r="E21" s="122">
        <f t="shared" si="11"/>
        <v>210</v>
      </c>
      <c r="F21" s="122">
        <f t="shared" ref="F21:G21" si="12">SUM(F20,F17)</f>
        <v>0</v>
      </c>
      <c r="G21" s="122">
        <f t="shared" si="12"/>
        <v>56</v>
      </c>
      <c r="H21" s="122">
        <f t="shared" si="11"/>
        <v>428</v>
      </c>
      <c r="I21" s="122">
        <f t="shared" si="11"/>
        <v>410</v>
      </c>
      <c r="J21" s="122">
        <f t="shared" si="11"/>
        <v>178</v>
      </c>
      <c r="K21" s="122">
        <f t="shared" si="11"/>
        <v>10</v>
      </c>
      <c r="L21" s="122">
        <f>SUM(L20,L17)</f>
        <v>296</v>
      </c>
      <c r="M21" s="123">
        <f t="shared" si="5"/>
        <v>11682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[3]Pinnacle!$FV$47</f>
        <v>0</v>
      </c>
      <c r="C25" s="132">
        <f>[3]MESA_UA!$FV$47</f>
        <v>0</v>
      </c>
      <c r="D25" s="130">
        <f>'[3]Sky West'!$FV$47</f>
        <v>0</v>
      </c>
      <c r="E25" s="130">
        <f>'[3]Sky West_UA'!$FV$47</f>
        <v>0</v>
      </c>
      <c r="F25" s="130">
        <f>'[3]Sky West_AS'!$FV$47</f>
        <v>0</v>
      </c>
      <c r="G25" s="130">
        <f>'[3]Sky West_AA'!$FV$47</f>
        <v>367</v>
      </c>
      <c r="H25" s="130">
        <f>[3]Republic!$FV$47</f>
        <v>0</v>
      </c>
      <c r="I25" s="130">
        <f>[3]Republic_UA!$FV$47</f>
        <v>0</v>
      </c>
      <c r="J25" s="130">
        <f>'[3]Sky Regional'!$FV$47</f>
        <v>1318</v>
      </c>
      <c r="K25" s="130">
        <f>'[3]American Eagle'!$FV$47</f>
        <v>0</v>
      </c>
      <c r="L25" s="130">
        <f>'Other Regional'!M25</f>
        <v>524</v>
      </c>
      <c r="M25" s="110">
        <f>SUM(B25:L25)</f>
        <v>2209</v>
      </c>
    </row>
    <row r="26" spans="1:13" x14ac:dyDescent="0.2">
      <c r="A26" s="75" t="s">
        <v>38</v>
      </c>
      <c r="B26" s="130">
        <f>[3]Pinnacle!$FV$48</f>
        <v>0</v>
      </c>
      <c r="C26" s="132">
        <f>[3]MESA_UA!$FV$48</f>
        <v>0</v>
      </c>
      <c r="D26" s="130">
        <f>'[3]Sky West'!$FV$48</f>
        <v>0</v>
      </c>
      <c r="E26" s="130">
        <f>'[3]Sky West_UA'!$FV$48</f>
        <v>0</v>
      </c>
      <c r="F26" s="130">
        <f>'[3]Sky West_AS'!$FV$48</f>
        <v>0</v>
      </c>
      <c r="G26" s="130">
        <f>'[3]Sky West_AA'!$FV$48</f>
        <v>0</v>
      </c>
      <c r="H26" s="130">
        <f>[3]Republic!$FV$48</f>
        <v>0</v>
      </c>
      <c r="I26" s="130">
        <f>[3]Republic_UA!$FV$48</f>
        <v>0</v>
      </c>
      <c r="J26" s="130">
        <f>'[3]Sky Regional'!$FV$48</f>
        <v>0</v>
      </c>
      <c r="K26" s="130">
        <f>'[3]American Eagle'!$FV$48</f>
        <v>0</v>
      </c>
      <c r="L26" s="130">
        <f>'Other Regional'!M26</f>
        <v>1293</v>
      </c>
      <c r="M26" s="110">
        <f>SUM(B26:L26)</f>
        <v>1293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367</v>
      </c>
      <c r="H27" s="133">
        <f t="shared" si="13"/>
        <v>0</v>
      </c>
      <c r="I27" s="133">
        <f t="shared" si="13"/>
        <v>0</v>
      </c>
      <c r="J27" s="133">
        <f t="shared" si="13"/>
        <v>1318</v>
      </c>
      <c r="K27" s="133">
        <f t="shared" si="13"/>
        <v>0</v>
      </c>
      <c r="L27" s="133">
        <f t="shared" si="13"/>
        <v>1817</v>
      </c>
      <c r="M27" s="134">
        <f>SUM(B27:L27)</f>
        <v>3502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[3]Pinnacle!$FV$52</f>
        <v>0</v>
      </c>
      <c r="C30" s="132">
        <f>[3]MESA_UA!$FV$52</f>
        <v>0</v>
      </c>
      <c r="D30" s="130">
        <f>'[3]Sky West'!$FV$52</f>
        <v>0</v>
      </c>
      <c r="E30" s="130">
        <f>'[3]Sky West_UA'!$FV$52</f>
        <v>0</v>
      </c>
      <c r="F30" s="130">
        <f>'[3]Sky West_AS'!$FV$52</f>
        <v>0</v>
      </c>
      <c r="G30" s="130">
        <f>'[3]Sky West_AA'!$FV$52</f>
        <v>0</v>
      </c>
      <c r="H30" s="130">
        <f>[3]Republic!$FV$52</f>
        <v>0</v>
      </c>
      <c r="I30" s="130">
        <f>[3]Republic_UA!$FV$52</f>
        <v>0</v>
      </c>
      <c r="J30" s="130">
        <f>'[3]Sky Regional'!$FV$52</f>
        <v>1645</v>
      </c>
      <c r="K30" s="130">
        <f>'[3]American Eagle'!$FV$52</f>
        <v>0</v>
      </c>
      <c r="L30" s="130">
        <f>'Other Regional'!M30</f>
        <v>294</v>
      </c>
      <c r="M30" s="110">
        <f t="shared" ref="M30:M37" si="15">SUM(B30:L30)</f>
        <v>1939</v>
      </c>
    </row>
    <row r="31" spans="1:13" x14ac:dyDescent="0.2">
      <c r="A31" s="75" t="s">
        <v>60</v>
      </c>
      <c r="B31" s="130">
        <f>[3]Pinnacle!$FV$53</f>
        <v>0</v>
      </c>
      <c r="C31" s="132">
        <f>[3]MESA_UA!$FV$53</f>
        <v>0</v>
      </c>
      <c r="D31" s="130">
        <f>'[3]Sky West'!$FV$53</f>
        <v>0</v>
      </c>
      <c r="E31" s="130">
        <f>'[3]Sky West_UA'!$FV$53</f>
        <v>0</v>
      </c>
      <c r="F31" s="130">
        <f>'[3]Sky West_AS'!$FV$53</f>
        <v>0</v>
      </c>
      <c r="G31" s="130">
        <f>'[3]Sky West_AA'!$FV$53</f>
        <v>0</v>
      </c>
      <c r="H31" s="130">
        <f>[3]Republic!$FV$53</f>
        <v>0</v>
      </c>
      <c r="I31" s="130">
        <f>[3]Republic_UA!$FV$53</f>
        <v>0</v>
      </c>
      <c r="J31" s="130">
        <f>'[3]Sky Regional'!$FV$53</f>
        <v>0</v>
      </c>
      <c r="K31" s="130">
        <f>'[3]American Eagle'!$FV$53</f>
        <v>0</v>
      </c>
      <c r="L31" s="130">
        <f>'Other Regional'!M31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1645</v>
      </c>
      <c r="K32" s="133">
        <f t="shared" si="16"/>
        <v>0</v>
      </c>
      <c r="L32" s="133">
        <f>SUM(L30:L31)</f>
        <v>294</v>
      </c>
      <c r="M32" s="134">
        <f t="shared" si="15"/>
        <v>1939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[3]Pinnacle!$FV$57</f>
        <v>0</v>
      </c>
      <c r="C35" s="132">
        <f>[3]MESA_UA!$FV$57</f>
        <v>0</v>
      </c>
      <c r="D35" s="130">
        <f>'[3]Sky West'!$FV$57</f>
        <v>0</v>
      </c>
      <c r="E35" s="130">
        <f>'[3]Sky West_UA'!$FV$57</f>
        <v>0</v>
      </c>
      <c r="F35" s="130">
        <f>'[3]Sky West_AS'!$FV$57</f>
        <v>0</v>
      </c>
      <c r="G35" s="130">
        <f>'[3]Sky West_AA'!$FV$57</f>
        <v>0</v>
      </c>
      <c r="H35" s="130">
        <f>[3]Republic!$FV$57</f>
        <v>0</v>
      </c>
      <c r="I35" s="130">
        <f>[3]Republic!$FV$57</f>
        <v>0</v>
      </c>
      <c r="J35" s="130">
        <f>[3]Republic!$FV$57</f>
        <v>0</v>
      </c>
      <c r="K35" s="130">
        <f>'[3]American Eagle'!$FV$57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[3]Pinnacle!$FV$58</f>
        <v>0</v>
      </c>
      <c r="C36" s="132">
        <f>[3]MESA_UA!$FV$58</f>
        <v>0</v>
      </c>
      <c r="D36" s="130">
        <f>'[3]Sky West'!$FV$58</f>
        <v>0</v>
      </c>
      <c r="E36" s="130">
        <f>'[3]Sky West_UA'!$FV$58</f>
        <v>0</v>
      </c>
      <c r="F36" s="130">
        <f>'[3]Sky West_AS'!$FV$58</f>
        <v>0</v>
      </c>
      <c r="G36" s="130">
        <f>'[3]Sky West_AA'!$FV$58</f>
        <v>0</v>
      </c>
      <c r="H36" s="130">
        <f>[3]Republic!$FV$58</f>
        <v>0</v>
      </c>
      <c r="I36" s="130">
        <f>[3]Republic!$FV$58</f>
        <v>0</v>
      </c>
      <c r="J36" s="130">
        <f>[3]Republic!$FV$58</f>
        <v>0</v>
      </c>
      <c r="K36" s="130">
        <f>'[3]American Eagle'!$FV$58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0</v>
      </c>
      <c r="G40" s="130">
        <f t="shared" ref="G40" si="22">SUM(G35,G30,G25)</f>
        <v>367</v>
      </c>
      <c r="H40" s="130">
        <f t="shared" si="20"/>
        <v>0</v>
      </c>
      <c r="I40" s="130">
        <f t="shared" si="20"/>
        <v>0</v>
      </c>
      <c r="J40" s="130">
        <f t="shared" si="20"/>
        <v>2963</v>
      </c>
      <c r="K40" s="130">
        <f>SUM(K35,K30,K25)</f>
        <v>0</v>
      </c>
      <c r="L40" s="130">
        <f>L35+L30+L25</f>
        <v>818</v>
      </c>
      <c r="M40" s="110">
        <f>SUM(B40:L40)</f>
        <v>4148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1293</v>
      </c>
      <c r="M41" s="110">
        <f>SUM(B41:L41)</f>
        <v>1293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0</v>
      </c>
      <c r="G42" s="136">
        <f t="shared" ref="G42" si="24">SUM(G37,G32,G27)</f>
        <v>367</v>
      </c>
      <c r="H42" s="136">
        <f t="shared" si="20"/>
        <v>0</v>
      </c>
      <c r="I42" s="136">
        <f t="shared" si="20"/>
        <v>0</v>
      </c>
      <c r="J42" s="136">
        <f t="shared" si="20"/>
        <v>2963</v>
      </c>
      <c r="K42" s="136">
        <f>SUM(K37,K32,K27)</f>
        <v>0</v>
      </c>
      <c r="L42" s="136">
        <f>SUM(L37,L32,L27)</f>
        <v>2111</v>
      </c>
      <c r="M42" s="137">
        <f>SUM(B42:L42)</f>
        <v>5441</v>
      </c>
    </row>
    <row r="44" spans="1:13" x14ac:dyDescent="0.2">
      <c r="A44" s="375" t="s">
        <v>124</v>
      </c>
      <c r="B44" s="321">
        <f>[3]Pinnacle!$FV$70+[3]Pinnacle!$FV$73</f>
        <v>22319</v>
      </c>
      <c r="D44" s="322">
        <f>'[3]Sky West'!$FV$70+'[3]Sky West'!$FV$73</f>
        <v>57271</v>
      </c>
      <c r="E44" s="5"/>
      <c r="F44" s="5"/>
      <c r="G44" s="5"/>
      <c r="L44" s="322">
        <f>+'Other Regional'!M46</f>
        <v>1808</v>
      </c>
      <c r="M44" s="310">
        <f>SUM(B44:L44)</f>
        <v>81398</v>
      </c>
    </row>
    <row r="45" spans="1:13" x14ac:dyDescent="0.2">
      <c r="A45" s="389" t="s">
        <v>125</v>
      </c>
      <c r="B45" s="321">
        <f>[3]Pinnacle!$FV$71+[3]Pinnacle!$FV$74</f>
        <v>36108</v>
      </c>
      <c r="D45" s="322">
        <f>'[3]Sky West'!$FV$71+'[3]Sky West'!$FV$74</f>
        <v>125121</v>
      </c>
      <c r="E45" s="5"/>
      <c r="F45" s="5"/>
      <c r="G45" s="5"/>
      <c r="L45" s="322">
        <f>+'Other Regional'!M47</f>
        <v>3078</v>
      </c>
      <c r="M45" s="310">
        <f>SUM(B45:L45)</f>
        <v>164307</v>
      </c>
    </row>
    <row r="46" spans="1:13" x14ac:dyDescent="0.2">
      <c r="A46" s="312" t="s">
        <v>126</v>
      </c>
      <c r="B46" s="313">
        <f>SUM(B44:B45)</f>
        <v>58427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September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zoomScaleNormal="100" zoomScaleSheetLayoutView="100" workbookViewId="0">
      <selection activeCell="B4" sqref="B4:M4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43344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America'!$FV$22</f>
        <v>0</v>
      </c>
      <c r="C5" s="131">
        <f>'[3]Shuttle America_Delta'!$FV$22</f>
        <v>0</v>
      </c>
      <c r="D5" s="456">
        <f>[3]Horizon_AS!$FV$22</f>
        <v>3880</v>
      </c>
      <c r="E5" s="456">
        <f>[3]PSA!$FV$22</f>
        <v>0</v>
      </c>
      <c r="F5" s="21">
        <f>[3]Compass!$FV$22+[3]Compass!$FV$32</f>
        <v>0</v>
      </c>
      <c r="G5" s="131">
        <f>'[3]Atlantic Southeast'!$FV$22+'[3]Atlantic Southeast'!$FV$32</f>
        <v>0</v>
      </c>
      <c r="H5" s="131">
        <f>'[3]Continental Express'!$FV$22</f>
        <v>220</v>
      </c>
      <c r="I5" s="130">
        <f>'[3]Go Jet_UA'!$FV$22</f>
        <v>0</v>
      </c>
      <c r="J5" s="21">
        <f>'[3]Go Jet'!$FV$22+'[3]Go Jet'!$FV$32</f>
        <v>5189</v>
      </c>
      <c r="K5" s="132">
        <f>'[3]Air Wisconsin'!$FV$22</f>
        <v>0</v>
      </c>
      <c r="L5" s="130">
        <f>[3]MESA!$FV$22</f>
        <v>0</v>
      </c>
      <c r="M5" s="110">
        <f>SUM(B5:L5)</f>
        <v>9289</v>
      </c>
    </row>
    <row r="6" spans="1:13" s="10" customFormat="1" x14ac:dyDescent="0.2">
      <c r="A6" s="62" t="s">
        <v>31</v>
      </c>
      <c r="B6" s="131">
        <f>'[3]Shuttle America'!$FV$23</f>
        <v>0</v>
      </c>
      <c r="C6" s="131">
        <f>'[3]Shuttle America_Delta'!$FV$23</f>
        <v>0</v>
      </c>
      <c r="D6" s="456">
        <f>[3]Horizon_AS!$FV$23</f>
        <v>3660</v>
      </c>
      <c r="E6" s="456">
        <f>[3]PSA!$FV$23</f>
        <v>0</v>
      </c>
      <c r="F6" s="14">
        <f>[3]Compass!$FV$23+[3]Compass!$FV$33</f>
        <v>0</v>
      </c>
      <c r="G6" s="131">
        <f>'[3]Atlantic Southeast'!$FV$23+'[3]Atlantic Southeast'!$FV$33</f>
        <v>0</v>
      </c>
      <c r="H6" s="131">
        <f>'[3]Continental Express'!$FV$23</f>
        <v>159</v>
      </c>
      <c r="I6" s="130">
        <f>'[3]Go Jet_UA'!$FV$23</f>
        <v>0</v>
      </c>
      <c r="J6" s="14">
        <f>'[3]Go Jet'!$FV$23+'[3]Go Jet'!$FV$33</f>
        <v>4886</v>
      </c>
      <c r="K6" s="132">
        <f>'[3]Air Wisconsin'!$FV$23</f>
        <v>0</v>
      </c>
      <c r="L6" s="130">
        <f>[3]MESA!$FV$23</f>
        <v>0</v>
      </c>
      <c r="M6" s="115">
        <f>SUM(B6:L6)</f>
        <v>8705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ref="D7" si="1">SUM(D5:D6)</f>
        <v>7540</v>
      </c>
      <c r="E7" s="133">
        <f t="shared" si="0"/>
        <v>0</v>
      </c>
      <c r="F7" s="133">
        <f>SUM(F5:F6)</f>
        <v>0</v>
      </c>
      <c r="G7" s="133">
        <f t="shared" si="0"/>
        <v>0</v>
      </c>
      <c r="H7" s="133">
        <f t="shared" si="0"/>
        <v>379</v>
      </c>
      <c r="I7" s="133">
        <f t="shared" si="0"/>
        <v>0</v>
      </c>
      <c r="J7" s="133">
        <f>SUM(J5:J6)</f>
        <v>10075</v>
      </c>
      <c r="K7" s="133">
        <f t="shared" si="0"/>
        <v>0</v>
      </c>
      <c r="L7" s="133">
        <f t="shared" si="0"/>
        <v>0</v>
      </c>
      <c r="M7" s="134">
        <f>SUM(B7:L7)</f>
        <v>17994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America'!$FV$27</f>
        <v>0</v>
      </c>
      <c r="C10" s="131">
        <f>'[3]Shuttle America_Delta'!$FV$27</f>
        <v>0</v>
      </c>
      <c r="D10" s="456">
        <f>[3]Horizon_AS!$FV$27</f>
        <v>111</v>
      </c>
      <c r="E10" s="456">
        <f>[3]PSA!$FV$27</f>
        <v>0</v>
      </c>
      <c r="F10" s="21">
        <f>[3]Compass!$FV$27+[3]Compass!$FV$37</f>
        <v>0</v>
      </c>
      <c r="G10" s="21">
        <f>'[3]Atlantic Southeast'!$FV$27+'[3]Atlantic Southeast'!$FV$37</f>
        <v>0</v>
      </c>
      <c r="H10" s="131">
        <f>'[3]Continental Express'!$FV$27</f>
        <v>11</v>
      </c>
      <c r="I10" s="130">
        <f>'[3]Go Jet_UA'!$FV$27</f>
        <v>0</v>
      </c>
      <c r="J10" s="21">
        <f>'[3]Go Jet'!$FV$27+'[3]Go Jet'!$FV$37</f>
        <v>139</v>
      </c>
      <c r="K10" s="132">
        <f>'[3]Air Wisconsin'!$FV$27</f>
        <v>0</v>
      </c>
      <c r="L10" s="130">
        <f>[3]MESA!$FV$27</f>
        <v>0</v>
      </c>
      <c r="M10" s="110">
        <f>SUM(B10:L10)</f>
        <v>261</v>
      </c>
    </row>
    <row r="11" spans="1:13" x14ac:dyDescent="0.2">
      <c r="A11" s="62" t="s">
        <v>33</v>
      </c>
      <c r="B11" s="131">
        <f>'[3]Shuttle America'!$FV$28</f>
        <v>0</v>
      </c>
      <c r="C11" s="131">
        <f>'[3]Shuttle America_Delta'!$FV$28</f>
        <v>0</v>
      </c>
      <c r="D11" s="456">
        <f>[3]Horizon_AS!$FV$28</f>
        <v>105</v>
      </c>
      <c r="E11" s="456">
        <f>[3]PSA!$FV$28</f>
        <v>0</v>
      </c>
      <c r="F11" s="14">
        <f>[3]Compass!$FV$28+[3]Compass!$FV$38</f>
        <v>0</v>
      </c>
      <c r="G11" s="14">
        <f>'[3]Atlantic Southeast'!$FV$28+'[3]Atlantic Southeast'!$FV$38</f>
        <v>0</v>
      </c>
      <c r="H11" s="131">
        <f>'[3]Continental Express'!$FV$28</f>
        <v>8</v>
      </c>
      <c r="I11" s="130">
        <f>'[3]Go Jet_UA'!$FV$28</f>
        <v>0</v>
      </c>
      <c r="J11" s="14">
        <f>'[3]Go Jet'!$FV$28+'[3]Go Jet'!$FV$38</f>
        <v>152</v>
      </c>
      <c r="K11" s="132">
        <f>'[3]Air Wisconsin'!$FV$28</f>
        <v>0</v>
      </c>
      <c r="L11" s="130">
        <f>[3]MESA!$FV$28</f>
        <v>0</v>
      </c>
      <c r="M11" s="115">
        <f>SUM(B11:L11)</f>
        <v>265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216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0</v>
      </c>
      <c r="H12" s="136">
        <f t="shared" si="3"/>
        <v>19</v>
      </c>
      <c r="I12" s="136">
        <f t="shared" si="3"/>
        <v>0</v>
      </c>
      <c r="J12" s="136">
        <f t="shared" ref="J12" si="4">SUM(J10:J11)</f>
        <v>291</v>
      </c>
      <c r="K12" s="136">
        <f t="shared" si="3"/>
        <v>0</v>
      </c>
      <c r="L12" s="136">
        <f t="shared" si="3"/>
        <v>0</v>
      </c>
      <c r="M12" s="137">
        <f>SUM(B12:L12)</f>
        <v>526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America'!$FV$4</f>
        <v>0</v>
      </c>
      <c r="C15" s="106">
        <f>'[3]Shuttle America_Delta'!$FV$4</f>
        <v>0</v>
      </c>
      <c r="D15" s="457">
        <f>[3]Horizon_AS!$FV$4</f>
        <v>60</v>
      </c>
      <c r="E15" s="457">
        <f>[3]PSA!$FV$4</f>
        <v>0</v>
      </c>
      <c r="F15" s="21">
        <f>[3]Compass!$FV$4+[3]Compass!$FV$15</f>
        <v>0</v>
      </c>
      <c r="G15" s="107">
        <f>'[3]Atlantic Southeast'!$FV$4+'[3]Atlantic Southeast'!$FV$15</f>
        <v>0</v>
      </c>
      <c r="H15" s="107">
        <f>'[3]Continental Express'!$FV$4</f>
        <v>5</v>
      </c>
      <c r="I15" s="106">
        <f>'[3]Go Jet_UA'!$FV$4</f>
        <v>0</v>
      </c>
      <c r="J15" s="21">
        <f>'[3]Go Jet'!$FV$4+'[3]Go Jet'!$FV$15</f>
        <v>83</v>
      </c>
      <c r="K15" s="108">
        <f>'[3]Air Wisconsin'!$FV$4</f>
        <v>0</v>
      </c>
      <c r="L15" s="106">
        <f>[3]MESA!$FV$4</f>
        <v>0</v>
      </c>
      <c r="M15" s="110">
        <f t="shared" ref="M15:M21" si="5">SUM(B15:L15)</f>
        <v>148</v>
      </c>
    </row>
    <row r="16" spans="1:13" x14ac:dyDescent="0.2">
      <c r="A16" s="62" t="s">
        <v>54</v>
      </c>
      <c r="B16" s="111">
        <f>'[3]Shuttle America'!$FV$5</f>
        <v>0</v>
      </c>
      <c r="C16" s="111">
        <f>'[3]Shuttle America_Delta'!$FV$5</f>
        <v>0</v>
      </c>
      <c r="D16" s="458">
        <f>[3]Horizon_AS!$FV$5</f>
        <v>60</v>
      </c>
      <c r="E16" s="458">
        <f>[3]PSA!$FV$5</f>
        <v>0</v>
      </c>
      <c r="F16" s="14">
        <f>[3]Compass!$FV$5+[3]Compass!$FV$16</f>
        <v>0</v>
      </c>
      <c r="G16" s="112">
        <f>'[3]Atlantic Southeast'!$FV$5+'[3]Atlantic Southeast'!$FV$16</f>
        <v>0</v>
      </c>
      <c r="H16" s="112">
        <f>'[3]Continental Express'!$FV$5</f>
        <v>5</v>
      </c>
      <c r="I16" s="111">
        <f>'[3]Go Jet_UA'!$FV$5</f>
        <v>0</v>
      </c>
      <c r="J16" s="14">
        <f>'[3]Go Jet'!$FV$5+'[3]Go Jet'!$FV$16</f>
        <v>83</v>
      </c>
      <c r="K16" s="113">
        <f>'[3]Air Wisconsin'!$FV$5</f>
        <v>0</v>
      </c>
      <c r="L16" s="111">
        <f>[3]MESA!$FV$5</f>
        <v>0</v>
      </c>
      <c r="M16" s="115">
        <f t="shared" si="5"/>
        <v>148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120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0</v>
      </c>
      <c r="H17" s="116">
        <f t="shared" si="7"/>
        <v>10</v>
      </c>
      <c r="I17" s="116">
        <f t="shared" si="7"/>
        <v>0</v>
      </c>
      <c r="J17" s="286">
        <f>SUM(J15:J16)</f>
        <v>166</v>
      </c>
      <c r="K17" s="116">
        <f t="shared" si="7"/>
        <v>0</v>
      </c>
      <c r="L17" s="116">
        <f t="shared" si="7"/>
        <v>0</v>
      </c>
      <c r="M17" s="117">
        <f t="shared" si="5"/>
        <v>296</v>
      </c>
    </row>
    <row r="18" spans="1:13" x14ac:dyDescent="0.2">
      <c r="A18" s="62" t="s">
        <v>56</v>
      </c>
      <c r="B18" s="118">
        <f>'[3]Shuttle America'!$FV$8</f>
        <v>0</v>
      </c>
      <c r="C18" s="118">
        <f>'[3]Shuttle America_Delta'!$FV$8</f>
        <v>0</v>
      </c>
      <c r="D18" s="118">
        <f>[3]Horizon_AS!$FV$8</f>
        <v>0</v>
      </c>
      <c r="E18" s="118">
        <f>[3]PSA!$FV$8</f>
        <v>0</v>
      </c>
      <c r="F18" s="21">
        <f>[3]Compass!$FV$8</f>
        <v>0</v>
      </c>
      <c r="G18" s="109">
        <f>'[3]Atlantic Southeast'!$FV$8</f>
        <v>0</v>
      </c>
      <c r="H18" s="109">
        <f>'[3]Continental Express'!$FV$8</f>
        <v>0</v>
      </c>
      <c r="I18" s="118">
        <f>'[3]Go Jet_UA'!$FV$8</f>
        <v>0</v>
      </c>
      <c r="J18" s="21">
        <f>'[3]Go Jet'!$FV$8</f>
        <v>0</v>
      </c>
      <c r="K18" s="119">
        <f>'[3]Air Wisconsin'!$FV$8</f>
        <v>0</v>
      </c>
      <c r="L18" s="118">
        <f>[3]MESA!$FV$8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America'!$FV$9</f>
        <v>0</v>
      </c>
      <c r="C19" s="120">
        <f>'[3]Shuttle America_Delta'!$FV$9</f>
        <v>0</v>
      </c>
      <c r="D19" s="120">
        <f>[3]Horizon_AS!$FV$9</f>
        <v>0</v>
      </c>
      <c r="E19" s="120">
        <f>[3]PSA!$FV$9</f>
        <v>0</v>
      </c>
      <c r="F19" s="14">
        <f>[3]Compass!$FV$9</f>
        <v>0</v>
      </c>
      <c r="G19" s="114">
        <f>'[3]Atlantic Southeast'!$FV$9</f>
        <v>0</v>
      </c>
      <c r="H19" s="114">
        <f>'[3]Continental Express'!$FV$9</f>
        <v>0</v>
      </c>
      <c r="I19" s="120">
        <f>'[3]Go Jet_UA'!$FV$9</f>
        <v>0</v>
      </c>
      <c r="J19" s="14">
        <f>'[3]Go Jet'!$FV$9</f>
        <v>0</v>
      </c>
      <c r="K19" s="121">
        <f>'[3]Air Wisconsin'!$FV$9</f>
        <v>0</v>
      </c>
      <c r="L19" s="120">
        <f>[3]MESA!$FV$9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120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0</v>
      </c>
      <c r="H21" s="122">
        <f t="shared" si="11"/>
        <v>10</v>
      </c>
      <c r="I21" s="122">
        <f t="shared" si="11"/>
        <v>0</v>
      </c>
      <c r="J21" s="122">
        <f t="shared" ref="J21" si="12">SUM(J20,J17)</f>
        <v>166</v>
      </c>
      <c r="K21" s="122">
        <f t="shared" si="11"/>
        <v>0</v>
      </c>
      <c r="L21" s="122">
        <f t="shared" si="11"/>
        <v>0</v>
      </c>
      <c r="M21" s="123">
        <f t="shared" si="5"/>
        <v>296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America'!$FV$47</f>
        <v>0</v>
      </c>
      <c r="C25" s="130">
        <f>'[3]Shuttle America_Delta'!$FV$47</f>
        <v>0</v>
      </c>
      <c r="D25" s="130">
        <f>[3]Horizon_AS!$FV$47</f>
        <v>524</v>
      </c>
      <c r="E25" s="130">
        <f>[3]PSA!$FV$47</f>
        <v>0</v>
      </c>
      <c r="F25" s="130">
        <f>[3]Compass!$FV$47</f>
        <v>0</v>
      </c>
      <c r="G25" s="131">
        <f>'[3]Atlantic Southeast'!$FV$47</f>
        <v>0</v>
      </c>
      <c r="H25" s="131">
        <f>'[3]Continental Express'!$FV$47</f>
        <v>0</v>
      </c>
      <c r="I25" s="130">
        <f>'[3]Go Jet_UA'!$FV$47</f>
        <v>0</v>
      </c>
      <c r="J25" s="130">
        <f>'[3]Go Jet'!$FV$47</f>
        <v>0</v>
      </c>
      <c r="K25" s="132">
        <f>'[3]Air Wisconsin'!$FV$47</f>
        <v>0</v>
      </c>
      <c r="L25" s="130">
        <f>[3]MESA!$FV$47</f>
        <v>0</v>
      </c>
      <c r="M25" s="110">
        <f>SUM(B25:L25)</f>
        <v>524</v>
      </c>
    </row>
    <row r="26" spans="1:13" x14ac:dyDescent="0.2">
      <c r="A26" s="75" t="s">
        <v>38</v>
      </c>
      <c r="B26" s="130">
        <f>'[3]Shuttle America'!$FV$48</f>
        <v>0</v>
      </c>
      <c r="C26" s="130">
        <f>'[3]Shuttle America_Delta'!$FV$48</f>
        <v>0</v>
      </c>
      <c r="D26" s="130">
        <f>[3]Horizon_AS!$FV$48</f>
        <v>1293</v>
      </c>
      <c r="E26" s="130">
        <f>[3]PSA!$FV$48</f>
        <v>0</v>
      </c>
      <c r="F26" s="130">
        <f>[3]Compass!$FV$48</f>
        <v>0</v>
      </c>
      <c r="G26" s="131">
        <f>'[3]Atlantic Southeast'!$FV$48</f>
        <v>0</v>
      </c>
      <c r="H26" s="131">
        <f>'[3]Continental Express'!$FV$48</f>
        <v>0</v>
      </c>
      <c r="I26" s="130">
        <f>'[3]Go Jet_UA'!$FV$48</f>
        <v>0</v>
      </c>
      <c r="J26" s="130">
        <f>'[3]Go Jet'!$FV$48</f>
        <v>0</v>
      </c>
      <c r="K26" s="132">
        <f>'[3]Air Wisconsin'!$FV$48</f>
        <v>0</v>
      </c>
      <c r="L26" s="130">
        <f>[3]MESA!$FV$48</f>
        <v>0</v>
      </c>
      <c r="M26" s="110">
        <f>SUM(B26:L26)</f>
        <v>1293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1817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0</v>
      </c>
      <c r="K27" s="133">
        <f t="shared" si="14"/>
        <v>0</v>
      </c>
      <c r="L27" s="133">
        <f t="shared" si="14"/>
        <v>0</v>
      </c>
      <c r="M27" s="134">
        <f>SUM(B27:L27)</f>
        <v>1817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America'!$FV$52</f>
        <v>0</v>
      </c>
      <c r="C30" s="130">
        <f>'[3]Shuttle America_Delta'!$FV$52</f>
        <v>0</v>
      </c>
      <c r="D30" s="130">
        <f>[3]Horizon_AS!$FV$52</f>
        <v>294</v>
      </c>
      <c r="E30" s="130">
        <f>[3]PSA!$FV$52</f>
        <v>0</v>
      </c>
      <c r="F30" s="130">
        <f>[3]Compass!$FV$52</f>
        <v>0</v>
      </c>
      <c r="G30" s="131">
        <f>'[3]Atlantic Southeast'!$FV$52</f>
        <v>0</v>
      </c>
      <c r="H30" s="131">
        <f>'[3]Continental Express'!$FV$52</f>
        <v>0</v>
      </c>
      <c r="I30" s="130">
        <f>'[3]Go Jet_UA'!$FV$52</f>
        <v>0</v>
      </c>
      <c r="J30" s="130">
        <f>'[3]Go Jet'!$FV$52</f>
        <v>0</v>
      </c>
      <c r="K30" s="132">
        <f>'[3]Air Wisconsin'!BH$52</f>
        <v>0</v>
      </c>
      <c r="L30" s="130">
        <f>[3]MESA!$FV$52</f>
        <v>0</v>
      </c>
      <c r="M30" s="110">
        <f>SUM(B30:L30)</f>
        <v>294</v>
      </c>
    </row>
    <row r="31" spans="1:13" x14ac:dyDescent="0.2">
      <c r="A31" s="75" t="s">
        <v>60</v>
      </c>
      <c r="B31" s="130">
        <f>'[3]Shuttle America'!$FV$53</f>
        <v>0</v>
      </c>
      <c r="C31" s="130">
        <f>'[3]Shuttle America_Delta'!$FV$53</f>
        <v>0</v>
      </c>
      <c r="D31" s="130">
        <f>[3]Horizon_AS!$FV$53</f>
        <v>0</v>
      </c>
      <c r="E31" s="130">
        <f>[3]PSA!$FV$53</f>
        <v>0</v>
      </c>
      <c r="F31" s="130">
        <f>[3]Compass!$FV$53</f>
        <v>0</v>
      </c>
      <c r="G31" s="131">
        <f>'[3]Atlantic Southeast'!$FV$53</f>
        <v>0</v>
      </c>
      <c r="H31" s="131">
        <f>'[3]Continental Express'!$FV$53</f>
        <v>0</v>
      </c>
      <c r="I31" s="130">
        <f>'[3]Go Jet_UA'!$FV$53</f>
        <v>0</v>
      </c>
      <c r="J31" s="130">
        <f>'[3]Go Jet'!$FV$53</f>
        <v>0</v>
      </c>
      <c r="K31" s="132">
        <f>'[3]Air Wisconsin'!$FV$53</f>
        <v>0</v>
      </c>
      <c r="L31" s="130">
        <f>[3]MESA!$FV$53</f>
        <v>0</v>
      </c>
      <c r="M31" s="110">
        <f>SUM(B31:L31)</f>
        <v>0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294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294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America'!$FV$57</f>
        <v>0</v>
      </c>
      <c r="C35" s="130">
        <f>'[3]Shuttle America_Delta'!$FV$57</f>
        <v>0</v>
      </c>
      <c r="D35" s="130">
        <f>[3]Horizon_AS!$FV$57</f>
        <v>0</v>
      </c>
      <c r="E35" s="130">
        <f>[3]PSA!$FV$57</f>
        <v>0</v>
      </c>
      <c r="F35" s="130">
        <f>[3]Compass!$FV$57</f>
        <v>0</v>
      </c>
      <c r="G35" s="131">
        <f>'[3]Atlantic Southeast'!$FV$57</f>
        <v>0</v>
      </c>
      <c r="H35" s="131">
        <f>'[3]Continental Express'!$FV$57</f>
        <v>0</v>
      </c>
      <c r="I35" s="130">
        <f>'[3]Go Jet_UA'!$AJ$57</f>
        <v>0</v>
      </c>
      <c r="J35" s="130">
        <f>'[3]Go Jet'!$FV$57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818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0</v>
      </c>
      <c r="K40" s="130">
        <f t="shared" si="20"/>
        <v>0</v>
      </c>
      <c r="L40" s="130">
        <f t="shared" si="20"/>
        <v>0</v>
      </c>
      <c r="M40" s="110">
        <f>SUM(B40:L40)</f>
        <v>818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1293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1293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2111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0</v>
      </c>
      <c r="K42" s="136">
        <f t="shared" si="26"/>
        <v>0</v>
      </c>
      <c r="L42" s="136">
        <f t="shared" si="26"/>
        <v>0</v>
      </c>
      <c r="M42" s="137">
        <f>SUM(B42:L42)</f>
        <v>2111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America_Delta'!$FV$70+'[3]Shuttle America_Delta'!$FV$73</f>
        <v>0</v>
      </c>
      <c r="D46" s="5"/>
      <c r="F46" s="322">
        <f>[3]Compass!$FV$70+[3]Compass!$FV$73</f>
        <v>0</v>
      </c>
      <c r="G46" s="322">
        <f>'[3]Atlantic Southeast'!$FV$70+'[3]Atlantic Southeast'!$FV$73</f>
        <v>0</v>
      </c>
      <c r="J46" s="322">
        <f>'[3]Go Jet'!$FV$70+'[3]Go Jet'!$FV$73</f>
        <v>1808</v>
      </c>
      <c r="M46" s="388">
        <f>SUM(B46:L46)</f>
        <v>1808</v>
      </c>
    </row>
    <row r="47" spans="1:13" x14ac:dyDescent="0.2">
      <c r="A47" s="389" t="s">
        <v>125</v>
      </c>
      <c r="C47" s="322">
        <f>'[3]Shuttle America_Delta'!$FV$71+'[3]Shuttle America_Delta'!$FV$74</f>
        <v>0</v>
      </c>
      <c r="D47" s="5"/>
      <c r="F47" s="322">
        <f>[3]Compass!$FV$71+[3]Compass!$FV$74</f>
        <v>0</v>
      </c>
      <c r="G47" s="322">
        <f>'[3]Atlantic Southeast'!$FV$71+'[3]Atlantic Southeast'!$FV$74</f>
        <v>0</v>
      </c>
      <c r="J47" s="322">
        <f>'[3]Go Jet'!$FV$71+'[3]Go Jet'!$FV$74</f>
        <v>3078</v>
      </c>
      <c r="M47" s="388">
        <f>SUM(B47:L47)</f>
        <v>3078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September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N28" sqref="N2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43344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Misc'!$FV$22</f>
        <v>177</v>
      </c>
      <c r="C5" s="184">
        <f>[3]Ryan!$FV$22</f>
        <v>0</v>
      </c>
      <c r="D5" s="184">
        <f>'[3]Charter Misc'!$FV$32</f>
        <v>0</v>
      </c>
      <c r="E5" s="184">
        <f>[3]Omni!$FV$32</f>
        <v>0</v>
      </c>
      <c r="F5" s="184">
        <f>[3]Xtra!$FV$32+[3]Xtra!$FV$22</f>
        <v>0</v>
      </c>
      <c r="G5" s="339">
        <f>SUM(B5:F5)</f>
        <v>177</v>
      </c>
    </row>
    <row r="6" spans="1:17" x14ac:dyDescent="0.2">
      <c r="A6" s="62" t="s">
        <v>31</v>
      </c>
      <c r="B6" s="418">
        <f>'[3]Charter Misc'!$FV$23</f>
        <v>173</v>
      </c>
      <c r="C6" s="187">
        <f>[3]Ryan!$FV$23</f>
        <v>0</v>
      </c>
      <c r="D6" s="187">
        <f>'[3]Charter Misc'!$FV$33</f>
        <v>0</v>
      </c>
      <c r="E6" s="187">
        <f>[3]Omni!$FV$33</f>
        <v>0</v>
      </c>
      <c r="F6" s="187">
        <f>[3]Xtra!$FV$33+[3]Xtra!$FV$23</f>
        <v>0</v>
      </c>
      <c r="G6" s="338">
        <f>SUM(B6:F6)</f>
        <v>173</v>
      </c>
    </row>
    <row r="7" spans="1:17" ht="15.75" thickBot="1" x14ac:dyDescent="0.3">
      <c r="A7" s="183" t="s">
        <v>7</v>
      </c>
      <c r="B7" s="419">
        <f>SUM(B5:B6)</f>
        <v>350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350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Misc'!$FV$4</f>
        <v>1</v>
      </c>
      <c r="C10" s="184">
        <f>[3]Ryan!$FV$4</f>
        <v>0</v>
      </c>
      <c r="D10" s="184">
        <f>'[3]Charter Misc'!$FV$15</f>
        <v>0</v>
      </c>
      <c r="E10" s="184">
        <f>[3]Omni!$FV$15</f>
        <v>0</v>
      </c>
      <c r="F10" s="184">
        <f>[3]Xtra!$FV$15+[3]Xtra!$FV$4</f>
        <v>0</v>
      </c>
      <c r="G10" s="338">
        <f>SUM(B10:F10)</f>
        <v>1</v>
      </c>
    </row>
    <row r="11" spans="1:17" x14ac:dyDescent="0.2">
      <c r="A11" s="182" t="s">
        <v>81</v>
      </c>
      <c r="B11" s="417">
        <f>'[3]Charter Misc'!$FV$5</f>
        <v>1</v>
      </c>
      <c r="C11" s="184">
        <f>[3]Ryan!$FV$5</f>
        <v>0</v>
      </c>
      <c r="D11" s="184">
        <f>'[3]Charter Misc'!$FV$16</f>
        <v>0</v>
      </c>
      <c r="E11" s="184">
        <f>[3]Omni!$FV$16</f>
        <v>0</v>
      </c>
      <c r="F11" s="184">
        <f>[3]Xtra!$FV$16+[3]Xtra!$FV$5</f>
        <v>0</v>
      </c>
      <c r="G11" s="338">
        <f>SUM(B11:F11)</f>
        <v>1</v>
      </c>
    </row>
    <row r="12" spans="1:17" ht="15.75" thickBot="1" x14ac:dyDescent="0.3">
      <c r="A12" s="277" t="s">
        <v>28</v>
      </c>
      <c r="B12" s="421">
        <f>SUM(B10:B11)</f>
        <v>2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32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6">
        <f t="shared" ref="G22:G23" si="6">L22-B22</f>
        <v>1192631</v>
      </c>
      <c r="H22" s="507">
        <f t="shared" ref="H22:H23" si="7">M22-C22</f>
        <v>1233627</v>
      </c>
      <c r="I22" s="507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6">
        <f t="shared" si="6"/>
        <v>1511202</v>
      </c>
      <c r="H23" s="507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6">
        <f t="shared" ref="G24:H26" si="11">L24-B24</f>
        <v>1413434</v>
      </c>
      <c r="H24" s="507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+[12]Charter!$B25</f>
        <v>128052</v>
      </c>
      <c r="C25" s="333">
        <f>+[12]Charter!$C25</f>
        <v>118282</v>
      </c>
      <c r="D25" s="332">
        <f t="shared" ref="D25" si="13">SUM(B25:C25)</f>
        <v>246334</v>
      </c>
      <c r="E25" s="336">
        <f>[13]Charter!D25</f>
        <v>225442</v>
      </c>
      <c r="F25" s="238">
        <f t="shared" si="1"/>
        <v>9.2671285740900097E-2</v>
      </c>
      <c r="G25" s="506">
        <f t="shared" si="11"/>
        <v>1504357</v>
      </c>
      <c r="H25" s="507">
        <f t="shared" si="11"/>
        <v>1476799</v>
      </c>
      <c r="I25" s="332">
        <f t="shared" si="2"/>
        <v>2981156</v>
      </c>
      <c r="J25" s="336">
        <f>[13]Charter!I25</f>
        <v>2980236</v>
      </c>
      <c r="K25" s="244">
        <f t="shared" si="3"/>
        <v>3.0870038480174052E-4</v>
      </c>
      <c r="L25" s="331">
        <f>+[12]Charter!$L25</f>
        <v>1632409</v>
      </c>
      <c r="M25" s="333">
        <f>+[12]Charter!$M25</f>
        <v>1595081</v>
      </c>
      <c r="N25" s="332">
        <f t="shared" ref="N25" si="14">SUM(L25:M25)</f>
        <v>3227490</v>
      </c>
      <c r="O25" s="336">
        <f>[13]Charter!N25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331">
        <f>+[14]Charter!$B26</f>
        <v>128004</v>
      </c>
      <c r="C26" s="333">
        <f>+[14]Charter!$C26</f>
        <v>132185</v>
      </c>
      <c r="D26" s="332">
        <f t="shared" ref="D26" si="15">SUM(B26:C26)</f>
        <v>260189</v>
      </c>
      <c r="E26" s="336">
        <f>[15]Charter!D26</f>
        <v>248451</v>
      </c>
      <c r="F26" s="249">
        <f t="shared" si="1"/>
        <v>4.7244728336774656E-2</v>
      </c>
      <c r="G26" s="506">
        <f t="shared" si="11"/>
        <v>1634622</v>
      </c>
      <c r="H26" s="507">
        <f t="shared" si="11"/>
        <v>1620854</v>
      </c>
      <c r="I26" s="332">
        <f t="shared" si="2"/>
        <v>3255476</v>
      </c>
      <c r="J26" s="336">
        <f>[15]Charter!I26</f>
        <v>3247151</v>
      </c>
      <c r="K26" s="250">
        <f t="shared" si="3"/>
        <v>2.5637859157150375E-3</v>
      </c>
      <c r="L26" s="331">
        <f>+[14]Charter!$L26</f>
        <v>1762626</v>
      </c>
      <c r="M26" s="333">
        <f>+[14]Charter!$M26</f>
        <v>1753039</v>
      </c>
      <c r="N26" s="332">
        <f t="shared" ref="N26" si="16">SUM(L26:M26)</f>
        <v>3515665</v>
      </c>
      <c r="O26" s="336">
        <f>[15]Charter!N26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331">
        <f>+[16]Charter!$B27</f>
        <v>139361</v>
      </c>
      <c r="C27" s="333">
        <f>+[16]Charter!$C27</f>
        <v>126713</v>
      </c>
      <c r="D27" s="332">
        <f t="shared" ref="D27" si="17">SUM(B27:C27)</f>
        <v>266074</v>
      </c>
      <c r="E27" s="336">
        <f>[17]Charter!D27</f>
        <v>263710</v>
      </c>
      <c r="F27" s="238">
        <f t="shared" si="1"/>
        <v>8.9643927041067831E-3</v>
      </c>
      <c r="G27" s="506">
        <f t="shared" ref="G27" si="18">L27-B27</f>
        <v>1694875</v>
      </c>
      <c r="H27" s="507">
        <f t="shared" ref="H27" si="19">M27-C27</f>
        <v>1704059</v>
      </c>
      <c r="I27" s="332">
        <f t="shared" ref="I27" si="20">SUM(G27:H27)</f>
        <v>3398934</v>
      </c>
      <c r="J27" s="336">
        <f>[17]Charter!I27</f>
        <v>3397860</v>
      </c>
      <c r="K27" s="244">
        <f t="shared" si="3"/>
        <v>3.1608129822888523E-4</v>
      </c>
      <c r="L27" s="331">
        <f>+[16]Charter!$L27</f>
        <v>1834236</v>
      </c>
      <c r="M27" s="333">
        <f>+[16]Charter!$M27</f>
        <v>1830772</v>
      </c>
      <c r="N27" s="332">
        <f t="shared" ref="N27" si="21">SUM(L27:M27)</f>
        <v>3665008</v>
      </c>
      <c r="O27" s="336">
        <f>[17]Charter!N27</f>
        <v>3661570</v>
      </c>
      <c r="P27" s="238">
        <f t="shared" si="9"/>
        <v>9.3894149231067551E-4</v>
      </c>
    </row>
    <row r="28" spans="1:16" ht="14.1" customHeight="1" x14ac:dyDescent="0.2">
      <c r="A28" s="248" t="s">
        <v>111</v>
      </c>
      <c r="B28" s="331">
        <f>+[2]Charter!$B28</f>
        <v>139687</v>
      </c>
      <c r="C28" s="333">
        <f>+[2]Charter!$C28</f>
        <v>136180</v>
      </c>
      <c r="D28" s="332">
        <f t="shared" ref="D28" si="22">SUM(B28:C28)</f>
        <v>275867</v>
      </c>
      <c r="E28" s="336">
        <f>[18]Charter!D28</f>
        <v>267158</v>
      </c>
      <c r="F28" s="249">
        <f t="shared" si="1"/>
        <v>3.2598686919351097E-2</v>
      </c>
      <c r="G28" s="506">
        <f t="shared" ref="G28" si="23">L28-B28</f>
        <v>1736320</v>
      </c>
      <c r="H28" s="507">
        <f t="shared" ref="H28" si="24">M28-C28</f>
        <v>1726918</v>
      </c>
      <c r="I28" s="332">
        <f t="shared" ref="I28" si="25">SUM(G28:H28)</f>
        <v>3463238</v>
      </c>
      <c r="J28" s="336">
        <f>[18]Charter!I28</f>
        <v>3401041</v>
      </c>
      <c r="K28" s="250">
        <f t="shared" si="3"/>
        <v>1.8287636050256378E-2</v>
      </c>
      <c r="L28" s="331">
        <f>+[2]Charter!$L28</f>
        <v>1876007</v>
      </c>
      <c r="M28" s="333">
        <f>+[2]Charter!$M28</f>
        <v>1863098</v>
      </c>
      <c r="N28" s="332">
        <f t="shared" ref="N28" si="26">SUM(L28:M28)</f>
        <v>3739105</v>
      </c>
      <c r="O28" s="336">
        <f>[18]Charter!N28</f>
        <v>3668199</v>
      </c>
      <c r="P28" s="249">
        <f t="shared" si="9"/>
        <v>1.932992184993235E-2</v>
      </c>
    </row>
    <row r="29" spans="1:16" ht="14.1" customHeight="1" x14ac:dyDescent="0.2">
      <c r="A29" s="235" t="s">
        <v>112</v>
      </c>
      <c r="B29" s="506">
        <f>'Intl Detail'!$P$4+'Intl Detail'!$P$9</f>
        <v>112387</v>
      </c>
      <c r="C29" s="507">
        <f>'Intl Detail'!$P$5+'Intl Detail'!$P$10</f>
        <v>113274</v>
      </c>
      <c r="D29" s="332">
        <f t="shared" ref="D29" si="27">SUM(B29:C29)</f>
        <v>225661</v>
      </c>
      <c r="E29" s="336">
        <f>[1]Charter!D29</f>
        <v>219794</v>
      </c>
      <c r="F29" s="238">
        <f t="shared" si="1"/>
        <v>2.6693176337843617E-2</v>
      </c>
      <c r="G29" s="506">
        <f t="shared" ref="G29" si="28">L29-B29</f>
        <v>1404094</v>
      </c>
      <c r="H29" s="507">
        <f t="shared" ref="H29" si="29">M29-C29</f>
        <v>1420459</v>
      </c>
      <c r="I29" s="332">
        <f t="shared" ref="I29" si="30">SUM(G29:H29)</f>
        <v>2824553</v>
      </c>
      <c r="J29" s="336">
        <f>[1]Charter!I29</f>
        <v>2821616</v>
      </c>
      <c r="K29" s="244">
        <f t="shared" si="3"/>
        <v>1.0408928784072674E-3</v>
      </c>
      <c r="L29" s="506">
        <f>'Monthly Summary'!$B$11</f>
        <v>1516481</v>
      </c>
      <c r="M29" s="507">
        <f>'Monthly Summary'!$C$11</f>
        <v>1533733</v>
      </c>
      <c r="N29" s="332">
        <f t="shared" ref="N29" si="31">SUM(L29:M29)</f>
        <v>3050214</v>
      </c>
      <c r="O29" s="336">
        <f>[1]Charter!N29</f>
        <v>3041410</v>
      </c>
      <c r="P29" s="238">
        <f t="shared" si="9"/>
        <v>2.8947100193660179E-3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3"/>
        <v>#DIV/0!</v>
      </c>
      <c r="L30" s="331"/>
      <c r="M30" s="333"/>
      <c r="N30" s="332">
        <f>SUM(L30:M30)</f>
        <v>0</v>
      </c>
      <c r="O30" s="336"/>
      <c r="P30" s="249" t="e">
        <f t="shared" si="9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ref="I31:I32" si="32">SUM(G31:H31)</f>
        <v>0</v>
      </c>
      <c r="J31" s="336"/>
      <c r="K31" s="244" t="e">
        <f t="shared" si="3"/>
        <v>#DIV/0!</v>
      </c>
      <c r="L31" s="331"/>
      <c r="M31" s="333"/>
      <c r="N31" s="332">
        <f>SUM(L31:M31)</f>
        <v>0</v>
      </c>
      <c r="O31" s="336"/>
      <c r="P31" s="238" t="e">
        <f t="shared" si="9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32"/>
        <v>0</v>
      </c>
      <c r="J32" s="336"/>
      <c r="K32" s="252" t="e">
        <f t="shared" si="3"/>
        <v>#DIV/0!</v>
      </c>
      <c r="L32" s="331"/>
      <c r="M32" s="333"/>
      <c r="N32" s="161">
        <f t="shared" si="4"/>
        <v>0</v>
      </c>
      <c r="O32" s="336"/>
      <c r="P32" s="252" t="e">
        <f t="shared" si="9"/>
        <v>#DIV/0!</v>
      </c>
    </row>
    <row r="33" spans="1:16" ht="13.5" thickBot="1" x14ac:dyDescent="0.25">
      <c r="A33" s="245" t="s">
        <v>77</v>
      </c>
      <c r="B33" s="255">
        <f>SUM(B21:B32)</f>
        <v>1240317</v>
      </c>
      <c r="C33" s="256">
        <f>SUM(C21:C32)</f>
        <v>1198006</v>
      </c>
      <c r="D33" s="256">
        <f>SUM(D21:D32)</f>
        <v>2438323</v>
      </c>
      <c r="E33" s="257">
        <f>SUM(E21:E32)</f>
        <v>2353607</v>
      </c>
      <c r="F33" s="240">
        <f>(D33-E33)/E33</f>
        <v>3.5994114565430849E-2</v>
      </c>
      <c r="G33" s="258">
        <f>SUM(G21:G32)</f>
        <v>13294226</v>
      </c>
      <c r="H33" s="256">
        <f>SUM(H21:H32)</f>
        <v>13265245</v>
      </c>
      <c r="I33" s="256">
        <f>SUM(I21:I32)</f>
        <v>26559471</v>
      </c>
      <c r="J33" s="259">
        <f>SUM(J21:J32)</f>
        <v>26548445</v>
      </c>
      <c r="K33" s="241">
        <f>(I33-J33)/J33</f>
        <v>4.1531622661892251E-4</v>
      </c>
      <c r="L33" s="258">
        <f>SUM(L21:L32)</f>
        <v>14534543</v>
      </c>
      <c r="M33" s="256">
        <f>SUM(M21:M32)</f>
        <v>14463251</v>
      </c>
      <c r="N33" s="256">
        <f>SUM(N21:N32)</f>
        <v>28997794</v>
      </c>
      <c r="O33" s="257">
        <f>SUM(O21:O32)</f>
        <v>28902052</v>
      </c>
      <c r="P33" s="239">
        <f>(N33-O33)/O33</f>
        <v>3.3126367636457095E-3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September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3"/>
  <sheetViews>
    <sheetView zoomScaleNormal="100" workbookViewId="0">
      <selection activeCell="P27" sqref="P27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8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43344</v>
      </c>
      <c r="B2" s="437" t="s">
        <v>186</v>
      </c>
      <c r="C2" s="516" t="s">
        <v>230</v>
      </c>
      <c r="D2" s="8" t="s">
        <v>82</v>
      </c>
      <c r="E2" s="8" t="s">
        <v>83</v>
      </c>
      <c r="F2" s="199"/>
      <c r="G2" s="180" t="s">
        <v>84</v>
      </c>
      <c r="H2" s="180" t="s">
        <v>187</v>
      </c>
      <c r="I2" s="180" t="s">
        <v>167</v>
      </c>
      <c r="J2" s="102" t="s">
        <v>85</v>
      </c>
      <c r="K2" s="8" t="s">
        <v>86</v>
      </c>
      <c r="L2" s="180" t="s">
        <v>87</v>
      </c>
      <c r="M2" s="180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[3]DHL!$FV$4</f>
        <v>20</v>
      </c>
      <c r="C4" s="161">
        <f>'[3]Atlas Air'!$FV$4</f>
        <v>32</v>
      </c>
      <c r="D4" s="161">
        <f>[3]FedEx!$FV$4+[3]FedEx!$FV$15</f>
        <v>126</v>
      </c>
      <c r="E4" s="161">
        <f>[3]UPS!$FV$4+[3]UPS!$FV$15</f>
        <v>118</v>
      </c>
      <c r="F4" s="192"/>
      <c r="G4" s="118">
        <f>[3]ATI_BAX!$FV$4</f>
        <v>0</v>
      </c>
      <c r="H4" s="161">
        <f>[3]IFL!$FV$4+[3]IFL!$FV$15</f>
        <v>18</v>
      </c>
      <c r="I4" s="118">
        <f>'[3]Suburban Air Freight'!$FV$15</f>
        <v>0</v>
      </c>
      <c r="J4" s="118">
        <f>[3]Bemidji!$FV$4</f>
        <v>258</v>
      </c>
      <c r="K4" s="118">
        <f>'[3]CSA Air'!$FV$4</f>
        <v>0</v>
      </c>
      <c r="L4" s="118">
        <f>'[3]Mountain Cargo'!$FV$4</f>
        <v>21</v>
      </c>
      <c r="M4" s="118">
        <f>'[3]Misc Cargo'!$FV$4</f>
        <v>38</v>
      </c>
      <c r="N4" s="204">
        <f>SUM(B4:M4)</f>
        <v>631</v>
      </c>
    </row>
    <row r="5" spans="1:21" x14ac:dyDescent="0.2">
      <c r="A5" s="53" t="s">
        <v>54</v>
      </c>
      <c r="B5" s="198">
        <f>[3]DHL!$FV$5</f>
        <v>20</v>
      </c>
      <c r="C5" s="198">
        <f>'[3]Atlas Air'!$FV$5</f>
        <v>32</v>
      </c>
      <c r="D5" s="198">
        <f>[3]FedEx!$FV$5</f>
        <v>126</v>
      </c>
      <c r="E5" s="198">
        <f>[3]UPS!$FV$5+[3]UPS!$FV$16</f>
        <v>118</v>
      </c>
      <c r="F5" s="192"/>
      <c r="G5" s="120">
        <f>[3]ATI_BAX!$FV$5</f>
        <v>0</v>
      </c>
      <c r="H5" s="198">
        <f>[3]IFL!$FV$5</f>
        <v>18</v>
      </c>
      <c r="I5" s="120">
        <f>'[3]Suburban Air Freight'!$FV$16</f>
        <v>0</v>
      </c>
      <c r="J5" s="120">
        <f>[3]Bemidji!$FV$5</f>
        <v>258</v>
      </c>
      <c r="K5" s="120">
        <f>'[3]CSA Air'!$FV$5</f>
        <v>0</v>
      </c>
      <c r="L5" s="120">
        <f>'[3]Mountain Cargo'!$FV$5</f>
        <v>21</v>
      </c>
      <c r="M5" s="120">
        <f>'[3]Misc Cargo'!$FV$5</f>
        <v>38</v>
      </c>
      <c r="N5" s="208">
        <f>SUM(B5:M5)</f>
        <v>631</v>
      </c>
    </row>
    <row r="6" spans="1:21" s="189" customFormat="1" x14ac:dyDescent="0.2">
      <c r="A6" s="205" t="s">
        <v>55</v>
      </c>
      <c r="B6" s="206">
        <f>SUM(B4:B5)</f>
        <v>40</v>
      </c>
      <c r="C6" s="206">
        <f>SUM(C4:C5)</f>
        <v>64</v>
      </c>
      <c r="D6" s="206">
        <f>SUM(D4:D5)</f>
        <v>252</v>
      </c>
      <c r="E6" s="206">
        <f>SUM(E4:E5)</f>
        <v>236</v>
      </c>
      <c r="F6" s="193"/>
      <c r="G6" s="188">
        <f t="shared" ref="G6:M6" si="0">SUM(G4:G5)</f>
        <v>0</v>
      </c>
      <c r="H6" s="206">
        <f>SUM(H4:H5)</f>
        <v>36</v>
      </c>
      <c r="I6" s="188">
        <f t="shared" si="0"/>
        <v>0</v>
      </c>
      <c r="J6" s="188">
        <f t="shared" si="0"/>
        <v>516</v>
      </c>
      <c r="K6" s="188">
        <f t="shared" si="0"/>
        <v>0</v>
      </c>
      <c r="L6" s="188">
        <f t="shared" si="0"/>
        <v>42</v>
      </c>
      <c r="M6" s="188">
        <f t="shared" si="0"/>
        <v>76</v>
      </c>
      <c r="N6" s="207">
        <f>SUM(B6:M6)</f>
        <v>1262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/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Cargo'!$FV$8</f>
        <v>0</v>
      </c>
      <c r="N8" s="204">
        <f>SUM(B8:M8)</f>
        <v>0</v>
      </c>
    </row>
    <row r="9" spans="1:21" ht="15" x14ac:dyDescent="0.25">
      <c r="A9" s="53" t="s">
        <v>57</v>
      </c>
      <c r="B9" s="198"/>
      <c r="C9" s="198"/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Cargo'!$FV$9</f>
        <v>0</v>
      </c>
      <c r="N9" s="208">
        <f>SUM(B9:M9)</f>
        <v>0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0</v>
      </c>
      <c r="N10" s="207">
        <f>SUM(B10:M10)</f>
        <v>0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40</v>
      </c>
      <c r="C12" s="210">
        <f>C6+C10</f>
        <v>64</v>
      </c>
      <c r="D12" s="210">
        <f>D6+D10</f>
        <v>252</v>
      </c>
      <c r="E12" s="210">
        <f>E6+E10</f>
        <v>236</v>
      </c>
      <c r="F12" s="211"/>
      <c r="G12" s="212">
        <f t="shared" ref="G12:M12" si="2">G6+G10</f>
        <v>0</v>
      </c>
      <c r="H12" s="210">
        <f>H6+H10</f>
        <v>36</v>
      </c>
      <c r="I12" s="212">
        <f t="shared" si="2"/>
        <v>0</v>
      </c>
      <c r="J12" s="212">
        <f t="shared" si="2"/>
        <v>516</v>
      </c>
      <c r="K12" s="212">
        <f t="shared" si="2"/>
        <v>0</v>
      </c>
      <c r="L12" s="212">
        <f t="shared" si="2"/>
        <v>42</v>
      </c>
      <c r="M12" s="212">
        <f t="shared" si="2"/>
        <v>76</v>
      </c>
      <c r="N12" s="213">
        <f>SUM(B12:M12)</f>
        <v>1262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[3]DHL!$FV$47</f>
        <v>713006</v>
      </c>
      <c r="C16" s="161">
        <f>'[3]Atlas Air'!$FV$47</f>
        <v>1015896</v>
      </c>
      <c r="D16" s="161">
        <f>[3]FedEx!$FV$47</f>
        <v>8710408</v>
      </c>
      <c r="E16" s="161">
        <f>[3]UPS!$FV$47</f>
        <v>6606730</v>
      </c>
      <c r="F16" s="192"/>
      <c r="G16" s="118">
        <f>[3]ATI_BAX!$FV$47</f>
        <v>0</v>
      </c>
      <c r="H16" s="161">
        <f>[3]IFL!$FV$47</f>
        <v>21292</v>
      </c>
      <c r="I16" s="118">
        <f>'[3]Suburban Air Freight'!$FV$47</f>
        <v>0</v>
      </c>
      <c r="J16" s="534" t="s">
        <v>88</v>
      </c>
      <c r="K16" s="118">
        <f>'[3]CSA Air'!$FV$47</f>
        <v>0</v>
      </c>
      <c r="L16" s="118">
        <f>'[3]Mountain Cargo'!$FV$47</f>
        <v>135260</v>
      </c>
      <c r="M16" s="118">
        <f>'[3]Misc Cargo'!$FV$47</f>
        <v>62088</v>
      </c>
      <c r="N16" s="204">
        <f>SUM(B16:I16)+SUM(K16:M16)</f>
        <v>17264680</v>
      </c>
    </row>
    <row r="17" spans="1:15" x14ac:dyDescent="0.2">
      <c r="A17" s="53" t="s">
        <v>38</v>
      </c>
      <c r="B17" s="161">
        <f>[3]DHL!$FV$48</f>
        <v>0</v>
      </c>
      <c r="C17" s="161">
        <f>'[3]Atlas Air'!$FV$48</f>
        <v>0</v>
      </c>
      <c r="D17" s="161">
        <f>[3]FedEx!$FV$48</f>
        <v>0</v>
      </c>
      <c r="E17" s="161">
        <f>[3]UPS!$FV$48</f>
        <v>1722</v>
      </c>
      <c r="F17" s="192"/>
      <c r="G17" s="118">
        <f>[3]ATI_BAX!$FV$48</f>
        <v>0</v>
      </c>
      <c r="H17" s="161">
        <f>[3]IFL!$FV$48</f>
        <v>0</v>
      </c>
      <c r="I17" s="118">
        <f>'[3]Suburban Air Freight'!$FV$48</f>
        <v>0</v>
      </c>
      <c r="J17" s="535"/>
      <c r="K17" s="118">
        <f>'[3]CSA Air'!$FV$48</f>
        <v>0</v>
      </c>
      <c r="L17" s="118">
        <f>'[3]Mountain Cargo'!$FV$48</f>
        <v>0</v>
      </c>
      <c r="M17" s="118">
        <f>'[3]Misc Cargo'!$FV$48</f>
        <v>0</v>
      </c>
      <c r="N17" s="204">
        <f>SUM(B17:I17)+SUM(K17:M17)</f>
        <v>1722</v>
      </c>
    </row>
    <row r="18" spans="1:15" ht="18" customHeight="1" x14ac:dyDescent="0.2">
      <c r="A18" s="219" t="s">
        <v>39</v>
      </c>
      <c r="B18" s="302">
        <f>SUM(B16:B17)</f>
        <v>713006</v>
      </c>
      <c r="C18" s="302">
        <f>SUM(C16:C17)</f>
        <v>1015896</v>
      </c>
      <c r="D18" s="302">
        <f>SUM(D16:D17)</f>
        <v>8710408</v>
      </c>
      <c r="E18" s="302">
        <f>SUM(E16:E17)</f>
        <v>6608452</v>
      </c>
      <c r="F18" s="197"/>
      <c r="G18" s="303">
        <f>SUM(G16:G17)</f>
        <v>0</v>
      </c>
      <c r="H18" s="302">
        <f>SUM(H16:H17)</f>
        <v>21292</v>
      </c>
      <c r="I18" s="303">
        <f>SUM(I16:I17)</f>
        <v>0</v>
      </c>
      <c r="J18" s="535"/>
      <c r="K18" s="303">
        <f>SUM(K16:K17)</f>
        <v>0</v>
      </c>
      <c r="L18" s="303">
        <f>SUM(L16:L17)</f>
        <v>135260</v>
      </c>
      <c r="M18" s="303">
        <f>SUM(M16:M17)</f>
        <v>62088</v>
      </c>
      <c r="N18" s="220">
        <f>SUM(B18:I18)+SUM(K18:M18)</f>
        <v>17266402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[3]DHL!$FV$52</f>
        <v>534781</v>
      </c>
      <c r="C21" s="161">
        <f>'[3]Atlas Air'!$FV$52</f>
        <v>1203661</v>
      </c>
      <c r="D21" s="161">
        <f>[3]FedEx!$FV$52</f>
        <v>7805358</v>
      </c>
      <c r="E21" s="161">
        <f>[3]UPS!$FV$52</f>
        <v>5713117</v>
      </c>
      <c r="F21" s="192"/>
      <c r="G21" s="118">
        <f>[3]ATI_BAX!$FV$52</f>
        <v>0</v>
      </c>
      <c r="H21" s="161">
        <f>[3]IFL!$FV$52</f>
        <v>0</v>
      </c>
      <c r="I21" s="118">
        <f>'[3]Suburban Air Freight'!$FV$52</f>
        <v>0</v>
      </c>
      <c r="J21" s="535"/>
      <c r="K21" s="118">
        <f>'[3]CSA Air'!$FV$52</f>
        <v>0</v>
      </c>
      <c r="L21" s="118">
        <f>'[3]Mountain Cargo'!$FV$52</f>
        <v>57451</v>
      </c>
      <c r="M21" s="118">
        <f>'[3]Misc Cargo'!$FV$52</f>
        <v>32300</v>
      </c>
      <c r="N21" s="204">
        <f>SUM(B21:I21)+SUM(K21:M21)</f>
        <v>15346668</v>
      </c>
    </row>
    <row r="22" spans="1:15" x14ac:dyDescent="0.2">
      <c r="A22" s="53" t="s">
        <v>60</v>
      </c>
      <c r="B22" s="161">
        <f>[3]DHL!$FV$53</f>
        <v>0</v>
      </c>
      <c r="C22" s="161">
        <f>'[3]Atlas Air'!$FV$53</f>
        <v>0</v>
      </c>
      <c r="D22" s="161">
        <f>[3]FedEx!$FV$53</f>
        <v>0</v>
      </c>
      <c r="E22" s="161">
        <f>[3]UPS!$FV$53</f>
        <v>46971</v>
      </c>
      <c r="F22" s="192"/>
      <c r="G22" s="118">
        <f>[3]ATI_BAX!$FV$53</f>
        <v>0</v>
      </c>
      <c r="H22" s="161">
        <f>[3]IFL!$FV$53</f>
        <v>0</v>
      </c>
      <c r="I22" s="118">
        <f>'[3]Suburban Air Freight'!$FV$53</f>
        <v>0</v>
      </c>
      <c r="J22" s="535"/>
      <c r="K22" s="118">
        <f>'[3]CSA Air'!$FV$53</f>
        <v>0</v>
      </c>
      <c r="L22" s="118">
        <f>'[3]Mountain Cargo'!$FV$53</f>
        <v>0</v>
      </c>
      <c r="M22" s="118">
        <f>'[3]Misc Cargo'!$FV$53</f>
        <v>0</v>
      </c>
      <c r="N22" s="204">
        <f>SUM(B22:I22)+SUM(K22:M22)</f>
        <v>46971</v>
      </c>
    </row>
    <row r="23" spans="1:15" ht="18" customHeight="1" x14ac:dyDescent="0.2">
      <c r="A23" s="219" t="s">
        <v>41</v>
      </c>
      <c r="B23" s="302">
        <f>SUM(B21:B22)</f>
        <v>534781</v>
      </c>
      <c r="C23" s="302">
        <f>SUM(C21:C22)</f>
        <v>1203661</v>
      </c>
      <c r="D23" s="302">
        <f>SUM(D21:D22)</f>
        <v>7805358</v>
      </c>
      <c r="E23" s="302">
        <f>SUM(E21:E22)</f>
        <v>5760088</v>
      </c>
      <c r="F23" s="197"/>
      <c r="G23" s="303">
        <f>SUM(G21:G22)</f>
        <v>0</v>
      </c>
      <c r="H23" s="302">
        <f>SUM(H21:H22)</f>
        <v>0</v>
      </c>
      <c r="I23" s="303">
        <f>SUM(I21:I22)</f>
        <v>0</v>
      </c>
      <c r="J23" s="535"/>
      <c r="K23" s="303">
        <f>SUM(K21:K22)</f>
        <v>0</v>
      </c>
      <c r="L23" s="303">
        <f>SUM(L21:L22)</f>
        <v>57451</v>
      </c>
      <c r="M23" s="303">
        <f>SUM(M21:M22)</f>
        <v>32300</v>
      </c>
      <c r="N23" s="220">
        <f>SUM(B23:I23)+SUM(K23:M23)</f>
        <v>15393639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[3]DHL!$FV$57</f>
        <v>0</v>
      </c>
      <c r="C26" s="161">
        <f>'[3]Atlas Air'!$FV$57</f>
        <v>0</v>
      </c>
      <c r="D26" s="161">
        <f>[3]FedEx!$FV$57</f>
        <v>0</v>
      </c>
      <c r="E26" s="161">
        <f>[3]UPS!$FV$57</f>
        <v>0</v>
      </c>
      <c r="F26" s="192"/>
      <c r="G26" s="118">
        <f>[3]ATI_BAX!$FV$57</f>
        <v>0</v>
      </c>
      <c r="H26" s="161">
        <f>[3]IFL!$FV$57</f>
        <v>0</v>
      </c>
      <c r="I26" s="118">
        <f>'[3]Suburban Air Freight'!$FV$57</f>
        <v>0</v>
      </c>
      <c r="J26" s="535"/>
      <c r="K26" s="118">
        <f>'[3]CSA Air'!$FV$57</f>
        <v>0</v>
      </c>
      <c r="L26" s="118">
        <f>'[3]Mountain Cargo'!$FV$57</f>
        <v>0</v>
      </c>
      <c r="M26" s="118">
        <f>'[3]Misc Cargo'!$FV$57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[3]DHL!$FV$58</f>
        <v>0</v>
      </c>
      <c r="C27" s="161">
        <f>'[3]Atlas Air'!$FV$58</f>
        <v>0</v>
      </c>
      <c r="D27" s="161">
        <f>[3]FedEx!$FV$58</f>
        <v>0</v>
      </c>
      <c r="E27" s="161">
        <f>[3]UPS!$FV$58</f>
        <v>0</v>
      </c>
      <c r="F27" s="192"/>
      <c r="G27" s="118">
        <f>[3]ATI_BAX!$FV$58</f>
        <v>0</v>
      </c>
      <c r="H27" s="161">
        <f>[3]IFL!$FV$58</f>
        <v>0</v>
      </c>
      <c r="I27" s="118">
        <f>'[3]Suburban Air Freight'!$FV$58</f>
        <v>0</v>
      </c>
      <c r="J27" s="535"/>
      <c r="K27" s="118">
        <f>'[3]CSA Air'!$FV$58</f>
        <v>0</v>
      </c>
      <c r="L27" s="118">
        <f>'[3]Mountain Cargo'!$FV$58</f>
        <v>0</v>
      </c>
      <c r="M27" s="118">
        <f>'[3]Misc Cargo'!$FV$58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1247787</v>
      </c>
      <c r="C31" s="161">
        <f t="shared" ref="C31" si="4">C26+C21+C16</f>
        <v>2219557</v>
      </c>
      <c r="D31" s="161">
        <f t="shared" si="3"/>
        <v>16515766</v>
      </c>
      <c r="E31" s="161">
        <f t="shared" si="3"/>
        <v>12319847</v>
      </c>
      <c r="F31" s="192"/>
      <c r="G31" s="118">
        <f t="shared" ref="G31:I33" si="5">G26+G21+G16</f>
        <v>0</v>
      </c>
      <c r="H31" s="161">
        <f t="shared" si="5"/>
        <v>21292</v>
      </c>
      <c r="I31" s="118">
        <f t="shared" si="5"/>
        <v>0</v>
      </c>
      <c r="J31" s="535"/>
      <c r="K31" s="118">
        <f t="shared" ref="K31:M33" si="6">K26+K21+K16</f>
        <v>0</v>
      </c>
      <c r="L31" s="118">
        <f t="shared" si="6"/>
        <v>192711</v>
      </c>
      <c r="M31" s="118">
        <f>M26+M21+M16</f>
        <v>94388</v>
      </c>
      <c r="N31" s="204">
        <f>SUM(B31:I31)+SUM(K31:M31)</f>
        <v>32611348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0</v>
      </c>
      <c r="E32" s="161">
        <f t="shared" si="3"/>
        <v>48693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48693</v>
      </c>
    </row>
    <row r="33" spans="1:14" ht="18" customHeight="1" thickBot="1" x14ac:dyDescent="0.25">
      <c r="A33" s="209" t="s">
        <v>46</v>
      </c>
      <c r="B33" s="210">
        <f t="shared" si="3"/>
        <v>1247787</v>
      </c>
      <c r="C33" s="210">
        <f t="shared" ref="C33" si="8">C28+C23+C18</f>
        <v>2219557</v>
      </c>
      <c r="D33" s="210">
        <f t="shared" si="3"/>
        <v>16515766</v>
      </c>
      <c r="E33" s="210">
        <f t="shared" si="3"/>
        <v>12368540</v>
      </c>
      <c r="F33" s="223"/>
      <c r="G33" s="212">
        <f t="shared" si="5"/>
        <v>0</v>
      </c>
      <c r="H33" s="210">
        <f t="shared" si="5"/>
        <v>21292</v>
      </c>
      <c r="I33" s="212">
        <f t="shared" si="5"/>
        <v>0</v>
      </c>
      <c r="J33" s="304">
        <f>J28+J23+J18</f>
        <v>0</v>
      </c>
      <c r="K33" s="212">
        <f t="shared" si="6"/>
        <v>0</v>
      </c>
      <c r="L33" s="212">
        <f t="shared" si="6"/>
        <v>192711</v>
      </c>
      <c r="M33" s="212">
        <f t="shared" si="6"/>
        <v>94388</v>
      </c>
      <c r="N33" s="213">
        <f>SUM(B33:I33)+SUM(K33:M33)</f>
        <v>32660041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September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B8" sqref="B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43344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6214601</v>
      </c>
      <c r="C5" s="118">
        <f>'Regional Major'!M25</f>
        <v>2209</v>
      </c>
      <c r="D5" s="118">
        <f>Cargo!N16</f>
        <v>17264680</v>
      </c>
      <c r="E5" s="118">
        <f>SUM(B5:D5)</f>
        <v>23481490</v>
      </c>
      <c r="F5" s="118">
        <f>E5*0.00045359237</f>
        <v>10651.024700231299</v>
      </c>
      <c r="G5" s="146">
        <f>'[1]Cargo Summary'!F5</f>
        <v>7062.5407022916897</v>
      </c>
      <c r="H5" s="98">
        <f>(F5-G5)/G5</f>
        <v>0.50810100064629704</v>
      </c>
      <c r="I5" s="146">
        <f>+F5+'[2]Cargo Summary'!I5</f>
        <v>88741.934815100482</v>
      </c>
      <c r="J5" s="146">
        <f>'[1]Cargo Summary'!I5</f>
        <v>81389.280968880499</v>
      </c>
      <c r="K5" s="85">
        <f>(I5-J5)/J5</f>
        <v>9.0339339022190129E-2</v>
      </c>
      <c r="M5" s="35"/>
    </row>
    <row r="6" spans="1:18" x14ac:dyDescent="0.2">
      <c r="A6" s="62" t="s">
        <v>16</v>
      </c>
      <c r="B6" s="169">
        <f>'Major Airline Stats'!K29</f>
        <v>1682066</v>
      </c>
      <c r="C6" s="118">
        <f>'Regional Major'!M26</f>
        <v>1293</v>
      </c>
      <c r="D6" s="118">
        <f>Cargo!N17</f>
        <v>1722</v>
      </c>
      <c r="E6" s="118">
        <f>SUM(B6:D6)</f>
        <v>1685081</v>
      </c>
      <c r="F6" s="118">
        <f>E6*0.00045359237</f>
        <v>764.33988443196995</v>
      </c>
      <c r="G6" s="146">
        <f>'[1]Cargo Summary'!F6</f>
        <v>866.89485132712002</v>
      </c>
      <c r="H6" s="37">
        <f>(F6-G6)/G6</f>
        <v>-0.11830150650698845</v>
      </c>
      <c r="I6" s="146">
        <f>+F6+'[2]Cargo Summary'!I6</f>
        <v>7628.976874915551</v>
      </c>
      <c r="J6" s="146">
        <f>'[1]Cargo Summary'!I6</f>
        <v>8292.1742790925491</v>
      </c>
      <c r="K6" s="85">
        <f>(I6-J6)/J6</f>
        <v>-7.9978710270133743E-2</v>
      </c>
      <c r="M6" s="35"/>
    </row>
    <row r="7" spans="1:18" ht="18" customHeight="1" thickBot="1" x14ac:dyDescent="0.25">
      <c r="A7" s="73" t="s">
        <v>72</v>
      </c>
      <c r="B7" s="171">
        <f>SUM(B5:B6)</f>
        <v>7896667</v>
      </c>
      <c r="C7" s="133">
        <f t="shared" ref="C7:J7" si="0">SUM(C5:C6)</f>
        <v>3502</v>
      </c>
      <c r="D7" s="133">
        <f t="shared" si="0"/>
        <v>17266402</v>
      </c>
      <c r="E7" s="133">
        <f t="shared" si="0"/>
        <v>25166571</v>
      </c>
      <c r="F7" s="133">
        <f t="shared" si="0"/>
        <v>11415.364584663268</v>
      </c>
      <c r="G7" s="133">
        <f t="shared" si="0"/>
        <v>7929.4355536188095</v>
      </c>
      <c r="H7" s="44">
        <f>(F7-G7)/G7</f>
        <v>0.43961881113385953</v>
      </c>
      <c r="I7" s="133">
        <f t="shared" si="0"/>
        <v>96370.91169001603</v>
      </c>
      <c r="J7" s="133">
        <f t="shared" si="0"/>
        <v>89681.455247973048</v>
      </c>
      <c r="K7" s="318">
        <f>(I7-J7)/J7</f>
        <v>7.4591301217697123E-2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2650433</v>
      </c>
      <c r="C10" s="118">
        <f>'Regional Major'!M30</f>
        <v>1939</v>
      </c>
      <c r="D10" s="118">
        <f>Cargo!N21</f>
        <v>15346668</v>
      </c>
      <c r="E10" s="118">
        <f>SUM(B10:D10)</f>
        <v>17999040</v>
      </c>
      <c r="F10" s="118">
        <f>E10*0.00045359237</f>
        <v>8164.2272113248</v>
      </c>
      <c r="G10" s="146">
        <f>'[1]Cargo Summary'!F10</f>
        <v>8378.1168790288193</v>
      </c>
      <c r="H10" s="37">
        <f>(F10-G10)/G10</f>
        <v>-2.5529563599119079E-2</v>
      </c>
      <c r="I10" s="146">
        <f>+F10+'[2]Cargo Summary'!I10</f>
        <v>69561.438987411137</v>
      </c>
      <c r="J10" s="146">
        <f>'[1]Cargo Summary'!I10</f>
        <v>69357.150055810533</v>
      </c>
      <c r="K10" s="85">
        <f>(I10-J10)/J10</f>
        <v>2.9454631777144262E-3</v>
      </c>
      <c r="M10" s="35"/>
    </row>
    <row r="11" spans="1:18" x14ac:dyDescent="0.2">
      <c r="A11" s="62" t="s">
        <v>16</v>
      </c>
      <c r="B11" s="169">
        <f>'Major Airline Stats'!K34</f>
        <v>2019205</v>
      </c>
      <c r="C11" s="118">
        <f>'Regional Major'!M31</f>
        <v>0</v>
      </c>
      <c r="D11" s="118">
        <f>Cargo!N22</f>
        <v>46971</v>
      </c>
      <c r="E11" s="118">
        <f>SUM(B11:D11)</f>
        <v>2066176</v>
      </c>
      <c r="F11" s="118">
        <f>E11*0.00045359237</f>
        <v>937.20166867711998</v>
      </c>
      <c r="G11" s="146">
        <f>'[1]Cargo Summary'!F11</f>
        <v>504.20239227511996</v>
      </c>
      <c r="H11" s="35">
        <f>(F11-G11)/G11</f>
        <v>0.85878068616091041</v>
      </c>
      <c r="I11" s="146">
        <f>+F11+'[2]Cargo Summary'!I11</f>
        <v>11056.89869931493</v>
      </c>
      <c r="J11" s="146">
        <f>'[1]Cargo Summary'!I11</f>
        <v>10256.298187232789</v>
      </c>
      <c r="K11" s="85">
        <f>(I11-J11)/J11</f>
        <v>7.8059402863183316E-2</v>
      </c>
      <c r="M11" s="35"/>
    </row>
    <row r="12" spans="1:18" ht="18" customHeight="1" thickBot="1" x14ac:dyDescent="0.25">
      <c r="A12" s="73" t="s">
        <v>73</v>
      </c>
      <c r="B12" s="171">
        <f>SUM(B10:B11)</f>
        <v>4669638</v>
      </c>
      <c r="C12" s="133">
        <f t="shared" ref="C12:J12" si="1">SUM(C10:C11)</f>
        <v>1939</v>
      </c>
      <c r="D12" s="133">
        <f t="shared" si="1"/>
        <v>15393639</v>
      </c>
      <c r="E12" s="133">
        <f t="shared" si="1"/>
        <v>20065216</v>
      </c>
      <c r="F12" s="133">
        <f t="shared" si="1"/>
        <v>9101.4288800019203</v>
      </c>
      <c r="G12" s="133">
        <f t="shared" si="1"/>
        <v>8882.3192713039389</v>
      </c>
      <c r="H12" s="44">
        <f>(F12-G12)/G12</f>
        <v>2.4668062699103564E-2</v>
      </c>
      <c r="I12" s="133">
        <f t="shared" si="1"/>
        <v>80618.337686726067</v>
      </c>
      <c r="J12" s="133">
        <f t="shared" si="1"/>
        <v>79613.448243043327</v>
      </c>
      <c r="K12" s="318">
        <f>(I12-J12)/J12</f>
        <v>1.2622106765367336E-2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8865034</v>
      </c>
      <c r="C20" s="118">
        <f t="shared" si="3"/>
        <v>4148</v>
      </c>
      <c r="D20" s="118">
        <f t="shared" si="3"/>
        <v>32611348</v>
      </c>
      <c r="E20" s="118">
        <f>SUM(B20:D20)</f>
        <v>41480530</v>
      </c>
      <c r="F20" s="118">
        <f>E20*0.00045359237</f>
        <v>18815.251911556101</v>
      </c>
      <c r="G20" s="146">
        <f>'[1]Cargo Summary'!F20</f>
        <v>15440.657581320509</v>
      </c>
      <c r="H20" s="37">
        <f>(F20-G20)/G20</f>
        <v>0.21855250091926404</v>
      </c>
      <c r="I20" s="146">
        <f>+F20+'[2]Cargo Summary'!I20</f>
        <v>158303.37380251166</v>
      </c>
      <c r="J20" s="146">
        <f>+J5+J10+J15</f>
        <v>150746.43102469103</v>
      </c>
      <c r="K20" s="85">
        <f>(I20-J20)/J20</f>
        <v>5.0130160471811534E-2</v>
      </c>
      <c r="M20" s="35"/>
    </row>
    <row r="21" spans="1:13" x14ac:dyDescent="0.2">
      <c r="A21" s="62" t="s">
        <v>16</v>
      </c>
      <c r="B21" s="169">
        <f t="shared" si="3"/>
        <v>3701271</v>
      </c>
      <c r="C21" s="120">
        <f t="shared" si="3"/>
        <v>1293</v>
      </c>
      <c r="D21" s="120">
        <f t="shared" si="3"/>
        <v>48693</v>
      </c>
      <c r="E21" s="118">
        <f>SUM(B21:D21)</f>
        <v>3751257</v>
      </c>
      <c r="F21" s="118">
        <f>E21*0.00045359237</f>
        <v>1701.54155310909</v>
      </c>
      <c r="G21" s="146">
        <f>'[1]Cargo Summary'!F21</f>
        <v>1371.09724360224</v>
      </c>
      <c r="H21" s="37">
        <f>(F21-G21)/G21</f>
        <v>0.24100720138469844</v>
      </c>
      <c r="I21" s="146">
        <f>+F21+'[2]Cargo Summary'!I21</f>
        <v>18685.875574230478</v>
      </c>
      <c r="J21" s="146">
        <f>+J6+J11+J16</f>
        <v>18548.472466325336</v>
      </c>
      <c r="K21" s="85">
        <f>(I21-J21)/J21</f>
        <v>7.4077856359652606E-3</v>
      </c>
      <c r="M21" s="35"/>
    </row>
    <row r="22" spans="1:13" ht="18" customHeight="1" thickBot="1" x14ac:dyDescent="0.25">
      <c r="A22" s="88" t="s">
        <v>62</v>
      </c>
      <c r="B22" s="172">
        <f>SUM(B20:B21)</f>
        <v>12566305</v>
      </c>
      <c r="C22" s="173">
        <f t="shared" ref="C22:J22" si="4">SUM(C20:C21)</f>
        <v>5441</v>
      </c>
      <c r="D22" s="173">
        <f t="shared" si="4"/>
        <v>32660041</v>
      </c>
      <c r="E22" s="173">
        <f t="shared" si="4"/>
        <v>45231787</v>
      </c>
      <c r="F22" s="173">
        <f t="shared" si="4"/>
        <v>20516.793464665192</v>
      </c>
      <c r="G22" s="173">
        <f t="shared" si="4"/>
        <v>16811.754824922748</v>
      </c>
      <c r="H22" s="324">
        <f>(F22-G22)/G22</f>
        <v>0.22038381348804079</v>
      </c>
      <c r="I22" s="173">
        <f t="shared" si="4"/>
        <v>176989.24937674214</v>
      </c>
      <c r="J22" s="173">
        <f t="shared" si="4"/>
        <v>169294.90349101636</v>
      </c>
      <c r="K22" s="325">
        <f>(I22-J22)/J22</f>
        <v>4.5449365143671205E-2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September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1"/>
  <sheetViews>
    <sheetView zoomScaleNormal="100" workbookViewId="0">
      <selection activeCell="P7" sqref="P7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7" t="s">
        <v>201</v>
      </c>
      <c r="K2" s="548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9">
        <v>43344</v>
      </c>
      <c r="B3" s="550"/>
      <c r="C3" s="551" t="s">
        <v>9</v>
      </c>
      <c r="D3" s="552"/>
      <c r="E3" s="552"/>
      <c r="F3" s="552"/>
      <c r="G3" s="552"/>
      <c r="H3" s="553"/>
      <c r="I3" s="466"/>
      <c r="J3" s="549">
        <f>+A3</f>
        <v>43344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+[3]DHL!$FV$12</f>
        <v>40</v>
      </c>
      <c r="D5" s="352">
        <f>+[3]DHL!$FG$12</f>
        <v>44</v>
      </c>
      <c r="E5" s="353">
        <f>(C5-D5)/D5</f>
        <v>-9.0909090909090912E-2</v>
      </c>
      <c r="F5" s="350">
        <f>+SUM([3]DHL!$FN$12:$FV$12)</f>
        <v>366</v>
      </c>
      <c r="G5" s="352">
        <f>+SUM([3]DHL!$EZ$12:$FG$12)</f>
        <v>346</v>
      </c>
      <c r="H5" s="351">
        <f>(F5-G5)/G5</f>
        <v>5.7803468208092484E-2</v>
      </c>
      <c r="I5" s="353">
        <f>+F5/$F$24</f>
        <v>3.3980131835484172E-2</v>
      </c>
      <c r="J5" s="349" t="s">
        <v>203</v>
      </c>
      <c r="K5" s="55"/>
      <c r="L5" s="350">
        <f>+[3]DHL!$FV$64</f>
        <v>1247787</v>
      </c>
      <c r="M5" s="352">
        <f>+[3]DHL!$FG$64</f>
        <v>1392256</v>
      </c>
      <c r="N5" s="353">
        <f>(L5-M5)/M5</f>
        <v>-0.10376611772547577</v>
      </c>
      <c r="O5" s="350">
        <f>+SUM([3]DHL!$FN$64:$FV$64)</f>
        <v>11217373</v>
      </c>
      <c r="P5" s="352">
        <f>+SUM([3]DHL!$EZ$64:$FG$64)</f>
        <v>10202466</v>
      </c>
      <c r="Q5" s="351">
        <f>(O5-P5)/P5</f>
        <v>9.9476636334784166E-2</v>
      </c>
      <c r="R5" s="353">
        <f>O5/$O$24</f>
        <v>4.1956784079229668E-2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+[3]FedEx!$FV$12</f>
        <v>252</v>
      </c>
      <c r="D7" s="352">
        <f>+[3]FedEx!$FG$12</f>
        <v>280</v>
      </c>
      <c r="E7" s="353">
        <f>(C7-D7)/D7</f>
        <v>-0.1</v>
      </c>
      <c r="F7" s="350">
        <f>+SUM([3]FedEx!$FN$12:$FV$12)</f>
        <v>2154</v>
      </c>
      <c r="G7" s="352">
        <f>+SUM([3]FedEx!$EZ$12:$FG$12)</f>
        <v>1467</v>
      </c>
      <c r="H7" s="351">
        <f t="shared" ref="H7" si="0">(F7-G7)/G7</f>
        <v>0.46830265848670755</v>
      </c>
      <c r="I7" s="353">
        <f>+F7/$F$24</f>
        <v>0.19998143162194781</v>
      </c>
      <c r="J7" s="349" t="s">
        <v>204</v>
      </c>
      <c r="K7" s="55"/>
      <c r="L7" s="350">
        <f>+[3]FedEx!$FV$64</f>
        <v>16515766</v>
      </c>
      <c r="M7" s="352">
        <f>+[3]FedEx!$FG$64</f>
        <v>18032563</v>
      </c>
      <c r="N7" s="353">
        <f>(L7-M7)/M7</f>
        <v>-8.4114332499489949E-2</v>
      </c>
      <c r="O7" s="350">
        <f>+SUM([3]FedEx!$FN$64:$FV$64)</f>
        <v>151398043</v>
      </c>
      <c r="P7" s="352">
        <f>+SUM([3]FedEx!$EZ$64:$FG$64)</f>
        <v>133579421</v>
      </c>
      <c r="Q7" s="351">
        <f t="shared" ref="Q7" si="1">(O7-P7)/P7</f>
        <v>0.13339346634838312</v>
      </c>
      <c r="R7" s="353">
        <f>O7/$O$24</f>
        <v>0.56628009072792074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+[3]UPS!$FV$12</f>
        <v>196</v>
      </c>
      <c r="D9" s="352">
        <f>+[3]UPS!$FG$12</f>
        <v>212</v>
      </c>
      <c r="E9" s="353">
        <f>(C9-D9)/D9</f>
        <v>-7.5471698113207544E-2</v>
      </c>
      <c r="F9" s="350">
        <f>+SUM([3]UPS!$FN$12:$FV$12)</f>
        <v>1848</v>
      </c>
      <c r="G9" s="352">
        <f>+SUM([3]UPS!$EZ$12:$FG$12)</f>
        <v>1524</v>
      </c>
      <c r="H9" s="351">
        <f>(F9-G9)/G9</f>
        <v>0.2125984251968504</v>
      </c>
      <c r="I9" s="353">
        <f>+F9/$F$24</f>
        <v>0.17157181320211679</v>
      </c>
      <c r="J9" s="349" t="s">
        <v>83</v>
      </c>
      <c r="K9" s="55"/>
      <c r="L9" s="350">
        <f>+[3]UPS!$FV$64</f>
        <v>12368540</v>
      </c>
      <c r="M9" s="352">
        <f>+[3]UPS!$FG$64</f>
        <v>13122272</v>
      </c>
      <c r="N9" s="353">
        <f>(L9-M9)/M9</f>
        <v>-5.7439138588195701E-2</v>
      </c>
      <c r="O9" s="350">
        <f>+SUM([3]UPS!$FN$64:$FV$64)</f>
        <v>102336882</v>
      </c>
      <c r="P9" s="352">
        <f>+SUM([3]UPS!$EZ$64:$FG$64)</f>
        <v>86140653</v>
      </c>
      <c r="Q9" s="351">
        <f>(O9-P9)/P9</f>
        <v>0.18802073627187385</v>
      </c>
      <c r="R9" s="353">
        <f>O9/$O$24</f>
        <v>0.3827746889949728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2"/>
      <c r="C11" s="350">
        <f>+[3]IFL!$FV$12</f>
        <v>36</v>
      </c>
      <c r="D11" s="352">
        <f>+[3]IFL!$FG$12</f>
        <v>38</v>
      </c>
      <c r="E11" s="353">
        <f>(C11-D11)/D11</f>
        <v>-5.2631578947368418E-2</v>
      </c>
      <c r="F11" s="350">
        <f>+SUM([3]IFL!$FN$12:$FV$12)</f>
        <v>386</v>
      </c>
      <c r="G11" s="352">
        <f>+SUM([3]IFL!$EZ$12:$FG$12)</f>
        <v>440</v>
      </c>
      <c r="H11" s="351">
        <f>(F11-G11)/G11</f>
        <v>-0.12272727272727273</v>
      </c>
      <c r="I11" s="353">
        <f>+F11/$F$24</f>
        <v>3.5836969640701884E-2</v>
      </c>
      <c r="J11" s="349" t="s">
        <v>187</v>
      </c>
      <c r="K11" s="55"/>
      <c r="L11" s="350">
        <f>+[3]IFL!$FV$64</f>
        <v>21292</v>
      </c>
      <c r="M11" s="352">
        <f>+[3]IFL!$FG$64</f>
        <v>21020</v>
      </c>
      <c r="N11" s="353">
        <f>(L11-M11)/M11</f>
        <v>1.2940057088487155E-2</v>
      </c>
      <c r="O11" s="350">
        <f>+SUM([3]IFL!$FN$64:$FV$64)</f>
        <v>194749</v>
      </c>
      <c r="P11" s="352">
        <f>+SUM([3]IFL!$EZ$64:$FG$64)</f>
        <v>503946</v>
      </c>
      <c r="Q11" s="351">
        <f>(O11-P11)/P11</f>
        <v>-0.61355184880919778</v>
      </c>
      <c r="R11" s="353">
        <f>O11/$O$24</f>
        <v>7.2842739049917469E-4</v>
      </c>
      <c r="S11" s="20"/>
    </row>
    <row r="12" spans="1:19" ht="14.1" customHeight="1" x14ac:dyDescent="0.2">
      <c r="A12" s="349"/>
      <c r="B12" s="362"/>
      <c r="C12" s="350"/>
      <c r="D12" s="355"/>
      <c r="E12" s="353"/>
      <c r="F12" s="468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1"/>
      <c r="C13" s="350">
        <f>+'[3]Suburban Air Freight'!$FV$12</f>
        <v>0</v>
      </c>
      <c r="D13" s="352">
        <f>+'[3]Suburban Air Freight'!$FG$12</f>
        <v>0</v>
      </c>
      <c r="E13" s="353" t="e">
        <f>(C13-D13)/D13</f>
        <v>#DIV/0!</v>
      </c>
      <c r="F13" s="350">
        <f>+SUM('[3]Suburban Air Freight'!$FN$12:$FV$12)</f>
        <v>0</v>
      </c>
      <c r="G13" s="352">
        <f>+SUM('[3]Suburban Air Freight'!$EZ$12:$FG$12)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Freight'!$FV$64</f>
        <v>0</v>
      </c>
      <c r="M13" s="352">
        <f>+'[3]Suburban Air Freight'!$FG$64</f>
        <v>99751</v>
      </c>
      <c r="N13" s="353">
        <f>(L13-M13)/M13</f>
        <v>-1</v>
      </c>
      <c r="O13" s="350">
        <f>+SUM('[3]Suburban Air Freight'!$FN$64:$FV$64)</f>
        <v>0</v>
      </c>
      <c r="P13" s="352">
        <f>+SUM('[3]Suburban Air Freight'!$EZ$64:$FG$64)</f>
        <v>777992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+[3]Bemidji!$FV$12</f>
        <v>516</v>
      </c>
      <c r="D15" s="352">
        <f>+[3]Bemidji!$FG$12</f>
        <v>598</v>
      </c>
      <c r="E15" s="353">
        <f>(C15-D15)/D15</f>
        <v>-0.13712374581939799</v>
      </c>
      <c r="F15" s="350">
        <f>+SUM([3]Bemidji!$FN$12:$FV$12)</f>
        <v>4980</v>
      </c>
      <c r="G15" s="352">
        <f>+SUM([3]Bemidji!$EZ$12:$FG$12)</f>
        <v>4340</v>
      </c>
      <c r="H15" s="351">
        <f t="shared" ref="H15" si="4">(F15-G15)/G15</f>
        <v>0.14746543778801843</v>
      </c>
      <c r="I15" s="353">
        <f>+F15/$F$24</f>
        <v>0.46235261349921086</v>
      </c>
      <c r="J15" s="349" t="s">
        <v>85</v>
      </c>
      <c r="K15" s="359"/>
      <c r="L15" s="544" t="s">
        <v>207</v>
      </c>
      <c r="M15" s="545"/>
      <c r="N15" s="545"/>
      <c r="O15" s="545"/>
      <c r="P15" s="545"/>
      <c r="Q15" s="545"/>
      <c r="R15" s="546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Air'!$FV$12</f>
        <v>0</v>
      </c>
      <c r="D17" s="352">
        <f>+'[3]CSA Air'!$FG$12</f>
        <v>0</v>
      </c>
      <c r="E17" s="353" t="e">
        <f>(C17-D17)/D17</f>
        <v>#DIV/0!</v>
      </c>
      <c r="F17" s="350">
        <f>+SUM('[3]CSA Air'!$FN$12:$FV$12)</f>
        <v>7</v>
      </c>
      <c r="G17" s="352">
        <f>+SUM('[3]CSA Air'!$EZ$12:$FG$12)</f>
        <v>222</v>
      </c>
      <c r="H17" s="351">
        <f t="shared" ref="H17" si="5">(F17-G17)/G17</f>
        <v>-0.96846846846846846</v>
      </c>
      <c r="I17" s="353">
        <f>+F17/$F$24</f>
        <v>6.4989323182619997E-4</v>
      </c>
      <c r="J17" s="349" t="s">
        <v>86</v>
      </c>
      <c r="K17" s="359"/>
      <c r="L17" s="350">
        <f>+'[3]CSA Air'!$FV$64</f>
        <v>0</v>
      </c>
      <c r="M17" s="352">
        <f>+'[3]CSA Air'!$FG$64</f>
        <v>0</v>
      </c>
      <c r="N17" s="353" t="e">
        <f>(L17-M17)/M17</f>
        <v>#DIV/0!</v>
      </c>
      <c r="O17" s="350">
        <f>+SUM('[3]CSA Air'!$FN$64:$FV$64)</f>
        <v>4785</v>
      </c>
      <c r="P17" s="352">
        <f>+SUM('[3]CSA Air'!$EZ$64:$FG$64)</f>
        <v>316444</v>
      </c>
      <c r="Q17" s="351">
        <f t="shared" ref="Q17" si="6">(O17-P17)/P17</f>
        <v>-0.98487884112196789</v>
      </c>
      <c r="R17" s="353">
        <f>O17/$O$24</f>
        <v>1.7897524832161144E-5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1"/>
      <c r="C19" s="350">
        <f>+'[3]Mountain Cargo'!$FV$12</f>
        <v>42</v>
      </c>
      <c r="D19" s="352">
        <f>+'[3]Mountain Cargo'!$FG$12</f>
        <v>46</v>
      </c>
      <c r="E19" s="353">
        <f>(C19-D19)/D19</f>
        <v>-8.6956521739130432E-2</v>
      </c>
      <c r="F19" s="350">
        <f>+SUM('[3]Mountain Cargo'!$FN$12:$FV$12)</f>
        <v>366</v>
      </c>
      <c r="G19" s="352">
        <f>+SUM('[3]Mountain Cargo'!$EZ$12:$FG$12)</f>
        <v>328</v>
      </c>
      <c r="H19" s="351">
        <f>(F19-G19)/G19</f>
        <v>0.11585365853658537</v>
      </c>
      <c r="I19" s="353">
        <f>+F19/$F$24</f>
        <v>3.3980131835484172E-2</v>
      </c>
      <c r="J19" s="349" t="s">
        <v>87</v>
      </c>
      <c r="K19" s="361"/>
      <c r="L19" s="350">
        <f>+'[3]Mountain Cargo'!$FV$64</f>
        <v>192711</v>
      </c>
      <c r="M19" s="352">
        <f>+'[3]Mountain Cargo'!$FG$64</f>
        <v>205046</v>
      </c>
      <c r="N19" s="353">
        <f>(L19-M19)/M19</f>
        <v>-6.0157233011129213E-2</v>
      </c>
      <c r="O19" s="350">
        <f>+SUM('[3]Mountain Cargo'!$FN$64:$FV$64)</f>
        <v>1274118</v>
      </c>
      <c r="P19" s="352">
        <f>+SUM('[3]Mountain Cargo'!$EZ$64:$FG$64)</f>
        <v>1459077</v>
      </c>
      <c r="Q19" s="351">
        <f t="shared" ref="Q19" si="7">(O19-P19)/P19</f>
        <v>-0.12676438597825887</v>
      </c>
      <c r="R19" s="353">
        <f>O19/$O$24</f>
        <v>4.7656339695096124E-3</v>
      </c>
      <c r="S19" s="414"/>
    </row>
    <row r="20" spans="1:19" ht="14.1" customHeight="1" x14ac:dyDescent="0.2">
      <c r="A20" s="53"/>
      <c r="B20" s="426"/>
      <c r="C20" s="350"/>
      <c r="D20" s="9"/>
      <c r="E20" s="86"/>
      <c r="F20" s="354"/>
      <c r="G20" s="9"/>
      <c r="H20" s="39"/>
      <c r="I20" s="86"/>
      <c r="J20" s="53"/>
      <c r="K20" s="426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2"/>
      <c r="C21" s="350">
        <f>+'[3]Misc Cargo'!$FV$12</f>
        <v>76</v>
      </c>
      <c r="D21" s="352">
        <f>+'[3]Misc Cargo'!$FG$12</f>
        <v>50</v>
      </c>
      <c r="E21" s="353">
        <f>(C21-D21)/D21</f>
        <v>0.52</v>
      </c>
      <c r="F21" s="350">
        <f>+SUM('[3]Misc Cargo'!$FN$12:$FV$12)</f>
        <v>664</v>
      </c>
      <c r="G21" s="352">
        <f>+SUM('[3]Misc Cargo'!$EZ$12:$FG$12)</f>
        <v>351</v>
      </c>
      <c r="H21" s="351">
        <f>(F21-G21)/G21</f>
        <v>0.89173789173789175</v>
      </c>
      <c r="I21" s="353">
        <f>+F21/$F$24</f>
        <v>6.1647015133228115E-2</v>
      </c>
      <c r="J21" s="349" t="s">
        <v>130</v>
      </c>
      <c r="K21" s="362"/>
      <c r="L21" s="350">
        <f>+'[3]Misc Cargo'!$FV$64</f>
        <v>94388</v>
      </c>
      <c r="M21" s="352">
        <f>+'[3]Misc Cargo'!$FG$64</f>
        <v>102744</v>
      </c>
      <c r="N21" s="353">
        <f>(L21-M21)/M21</f>
        <v>-8.1328350073970254E-2</v>
      </c>
      <c r="O21" s="350">
        <f>+SUM('[3]Misc Cargo'!$FN$64:$FV$64)</f>
        <v>929455</v>
      </c>
      <c r="P21" s="352">
        <f>+SUM('[3]Misc Cargo'!$EZ$64:$FG$64)</f>
        <v>713040</v>
      </c>
      <c r="Q21" s="351">
        <f>(O21-P21)/P21</f>
        <v>0.30351032200157074</v>
      </c>
      <c r="R21" s="353">
        <f>O21/$O$24</f>
        <v>3.4764773130358073E-3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9"/>
      <c r="K22" s="362"/>
      <c r="L22" s="364"/>
      <c r="M22" s="368"/>
      <c r="N22" s="367"/>
      <c r="O22" s="364"/>
      <c r="P22" s="368"/>
      <c r="Q22" s="365"/>
      <c r="R22" s="471"/>
      <c r="S22" s="469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205</v>
      </c>
      <c r="C24" s="478">
        <f>+SUM(C5:C21)</f>
        <v>1158</v>
      </c>
      <c r="D24" s="479">
        <f>SUM(D5:D22)</f>
        <v>1268</v>
      </c>
      <c r="E24" s="480">
        <f>(C24-D24)/D24</f>
        <v>-8.6750788643533125E-2</v>
      </c>
      <c r="F24" s="478">
        <f>+SUM(F5:F21)</f>
        <v>10771</v>
      </c>
      <c r="G24" s="478">
        <f>+SUM(G5:G21)</f>
        <v>9018</v>
      </c>
      <c r="H24" s="481">
        <f>(F24-G24)/G24</f>
        <v>0.19438899977822133</v>
      </c>
      <c r="I24" s="497"/>
      <c r="K24" s="477" t="s">
        <v>205</v>
      </c>
      <c r="L24" s="478">
        <f>+SUM(L5:L21)</f>
        <v>30440484</v>
      </c>
      <c r="M24" s="482">
        <f>SUM(M5:M22)</f>
        <v>32975652</v>
      </c>
      <c r="N24" s="483">
        <f>(L24-M24)/M24</f>
        <v>-7.6879996186277069E-2</v>
      </c>
      <c r="O24" s="478">
        <f>+SUM(O5:O21)</f>
        <v>267355405</v>
      </c>
      <c r="P24" s="478">
        <f>+SUM(P5:P21)</f>
        <v>233693039</v>
      </c>
      <c r="Q24" s="481">
        <f t="shared" ref="Q24" si="8">(O24-P24)/P24</f>
        <v>0.14404522335815059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September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2018-09-26T14:47:54Z</cp:lastPrinted>
  <dcterms:created xsi:type="dcterms:W3CDTF">2007-09-24T12:26:24Z</dcterms:created>
  <dcterms:modified xsi:type="dcterms:W3CDTF">2019-09-26T20:21:20Z</dcterms:modified>
</cp:coreProperties>
</file>