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60917D14-A74B-46D3-8183-12A647B2A5DA}" xr6:coauthVersionLast="47" xr6:coauthVersionMax="47" xr10:uidLastSave="{00000000-0000-0000-0000-000000000000}"/>
  <bookViews>
    <workbookView xWindow="-1366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Activity'!$A$1:$AJ$67</definedName>
    <definedName name="_xlnm.Print_Area" localSheetId="2">'Other Major Airline Stats'!$A$2:$K$50</definedName>
    <definedName name="_xlnm.Print_Area" localSheetId="4">'Other Regional'!$A$1:$L$48</definedName>
    <definedName name="_xlnm.Print_Area" localSheetId="3">'Regional Major'!$A$1:$M$46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B10" i="7"/>
  <c r="F36" i="16"/>
  <c r="F35" i="16"/>
  <c r="F29" i="16"/>
  <c r="F28" i="16"/>
  <c r="F23" i="16"/>
  <c r="F22" i="16"/>
  <c r="F18" i="16"/>
  <c r="F17" i="16"/>
  <c r="F10" i="16"/>
  <c r="F9" i="16"/>
  <c r="F5" i="16"/>
  <c r="F4" i="16"/>
  <c r="C21" i="1"/>
  <c r="B21" i="1"/>
  <c r="J33" i="2"/>
  <c r="J28" i="2"/>
  <c r="I28" i="2"/>
  <c r="C16" i="17" l="1"/>
  <c r="I16" i="2" l="1"/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8" i="7"/>
  <c r="M27" i="7"/>
  <c r="L27" i="7"/>
  <c r="J28" i="7"/>
  <c r="E28" i="7"/>
  <c r="C27" i="7"/>
  <c r="B27" i="7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AH61" i="9"/>
  <c r="AE61" i="9"/>
  <c r="Y61" i="9"/>
  <c r="V61" i="9"/>
  <c r="P61" i="9"/>
  <c r="M61" i="9"/>
  <c r="G61" i="9"/>
  <c r="D61" i="9"/>
  <c r="AH59" i="9"/>
  <c r="AE59" i="9"/>
  <c r="Y59" i="9"/>
  <c r="V59" i="9"/>
  <c r="P59" i="9"/>
  <c r="M59" i="9"/>
  <c r="G59" i="9"/>
  <c r="D59" i="9"/>
  <c r="AH58" i="9"/>
  <c r="AE58" i="9"/>
  <c r="Y58" i="9"/>
  <c r="V58" i="9"/>
  <c r="P58" i="9"/>
  <c r="M58" i="9"/>
  <c r="G58" i="9"/>
  <c r="D58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2" i="9"/>
  <c r="AE52" i="9"/>
  <c r="Y52" i="9"/>
  <c r="V52" i="9"/>
  <c r="P52" i="9"/>
  <c r="M52" i="9"/>
  <c r="G52" i="9"/>
  <c r="D52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61" i="9"/>
  <c r="AD61" i="9"/>
  <c r="X61" i="9"/>
  <c r="U61" i="9"/>
  <c r="O61" i="9"/>
  <c r="L61" i="9"/>
  <c r="F61" i="9"/>
  <c r="C61" i="9"/>
  <c r="AG59" i="9"/>
  <c r="AD59" i="9"/>
  <c r="X59" i="9"/>
  <c r="U59" i="9"/>
  <c r="O59" i="9"/>
  <c r="L59" i="9"/>
  <c r="F59" i="9"/>
  <c r="C59" i="9"/>
  <c r="AG58" i="9"/>
  <c r="AD58" i="9"/>
  <c r="X58" i="9"/>
  <c r="U58" i="9"/>
  <c r="O58" i="9"/>
  <c r="L58" i="9"/>
  <c r="F58" i="9"/>
  <c r="C58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2" i="9"/>
  <c r="AD52" i="9"/>
  <c r="X52" i="9"/>
  <c r="U52" i="9"/>
  <c r="O52" i="9"/>
  <c r="L52" i="9"/>
  <c r="F52" i="9"/>
  <c r="C52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O35" i="9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O11" i="17"/>
  <c r="L11" i="17"/>
  <c r="F11" i="17"/>
  <c r="C11" i="17"/>
  <c r="O10" i="17"/>
  <c r="L10" i="17"/>
  <c r="F10" i="17"/>
  <c r="C10" i="17"/>
  <c r="O7" i="17"/>
  <c r="L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G10" i="7"/>
  <c r="F10" i="7"/>
  <c r="E10" i="7"/>
  <c r="D10" i="7"/>
  <c r="C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27" i="7" l="1"/>
  <c r="J27" i="7"/>
  <c r="O27" i="7"/>
  <c r="M26" i="7"/>
  <c r="L26" i="7"/>
  <c r="C26" i="7"/>
  <c r="B26" i="7"/>
  <c r="E27" i="7"/>
  <c r="N26" i="7" l="1"/>
  <c r="D26" i="7"/>
  <c r="Z46" i="9"/>
  <c r="N46" i="9"/>
  <c r="E46" i="9"/>
  <c r="O26" i="7"/>
  <c r="J26" i="7"/>
  <c r="E26" i="7"/>
  <c r="V65" i="9"/>
  <c r="U65" i="9"/>
  <c r="P65" i="9"/>
  <c r="O65" i="9"/>
  <c r="Q46" i="9"/>
  <c r="W46" i="9"/>
  <c r="J31" i="16" l="1"/>
  <c r="M65" i="9"/>
  <c r="J17" i="2"/>
  <c r="AD65" i="9"/>
  <c r="J43" i="2"/>
  <c r="J11" i="2"/>
  <c r="J6" i="2"/>
  <c r="J35" i="2"/>
  <c r="AG65" i="9"/>
  <c r="AH65" i="9"/>
  <c r="J19" i="16"/>
  <c r="F65" i="9"/>
  <c r="G65" i="9"/>
  <c r="L65" i="9"/>
  <c r="J40" i="2"/>
  <c r="J30" i="2"/>
  <c r="J21" i="2"/>
  <c r="X65" i="9"/>
  <c r="J24" i="16"/>
  <c r="J6" i="16"/>
  <c r="Y65" i="9"/>
  <c r="J11" i="16"/>
  <c r="J38" i="16"/>
  <c r="AE65" i="9"/>
  <c r="AF46" i="9"/>
  <c r="J44" i="2"/>
  <c r="H46" i="9"/>
  <c r="AI46" i="9"/>
  <c r="W11" i="9"/>
  <c r="E11" i="9"/>
  <c r="AF11" i="9"/>
  <c r="N11" i="9"/>
  <c r="AI11" i="9"/>
  <c r="Z11" i="9"/>
  <c r="Q11" i="9"/>
  <c r="H11" i="9"/>
  <c r="J23" i="2" l="1"/>
  <c r="J45" i="2"/>
  <c r="O25" i="7"/>
  <c r="J25" i="7"/>
  <c r="E25" i="7"/>
  <c r="O24" i="7" l="1"/>
  <c r="J24" i="7"/>
  <c r="E24" i="7"/>
  <c r="O23" i="7" l="1"/>
  <c r="M22" i="7"/>
  <c r="L22" i="7"/>
  <c r="J23" i="7"/>
  <c r="E23" i="7"/>
  <c r="C22" i="7"/>
  <c r="B22" i="7"/>
  <c r="D22" i="7" l="1"/>
  <c r="N22" i="7"/>
  <c r="AI33" i="9" l="1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8" i="9"/>
  <c r="AF52" i="9"/>
  <c r="AF56" i="9"/>
  <c r="AF58" i="9"/>
  <c r="AF61" i="9"/>
  <c r="AH20" i="9"/>
  <c r="AF18" i="9"/>
  <c r="AF26" i="9"/>
  <c r="AF57" i="9"/>
  <c r="AI44" i="9"/>
  <c r="AI5" i="9"/>
  <c r="AI21" i="9"/>
  <c r="AI58" i="9"/>
  <c r="AH4" i="9"/>
  <c r="AI6" i="9"/>
  <c r="AE4" i="9"/>
  <c r="AE20" i="9"/>
  <c r="AE32" i="9"/>
  <c r="AI57" i="9"/>
  <c r="AI28" i="9"/>
  <c r="AF6" i="9"/>
  <c r="AF9" i="9"/>
  <c r="AF16" i="9"/>
  <c r="AF22" i="9"/>
  <c r="AF24" i="9"/>
  <c r="AF30" i="9"/>
  <c r="AF34" i="9"/>
  <c r="AF40" i="9"/>
  <c r="AF44" i="9"/>
  <c r="AF50" i="9"/>
  <c r="AF59" i="9"/>
  <c r="AI35" i="9"/>
  <c r="AI42" i="9"/>
  <c r="AF55" i="9"/>
  <c r="AI61" i="9"/>
  <c r="AI59" i="9"/>
  <c r="AH15" i="9"/>
  <c r="AH32" i="9"/>
  <c r="AH54" i="9"/>
  <c r="AI13" i="9"/>
  <c r="AI48" i="9"/>
  <c r="AD4" i="9"/>
  <c r="AD15" i="9"/>
  <c r="AD54" i="9"/>
  <c r="AI23" i="9"/>
  <c r="AG32" i="9"/>
  <c r="AI34" i="9"/>
  <c r="AI50" i="9"/>
  <c r="AI52" i="9"/>
  <c r="AI9" i="9"/>
  <c r="AG20" i="9"/>
  <c r="AI7" i="9"/>
  <c r="AG4" i="9"/>
  <c r="AF36" i="9"/>
  <c r="AE54" i="9"/>
  <c r="AG15" i="9"/>
  <c r="AI17" i="9"/>
  <c r="AI26" i="9"/>
  <c r="AD32" i="9"/>
  <c r="AI38" i="9"/>
  <c r="AG54" i="9"/>
  <c r="AI56" i="9"/>
  <c r="AI16" i="9"/>
  <c r="AD20" i="9"/>
  <c r="AI25" i="9"/>
  <c r="AI36" i="9"/>
  <c r="AI55" i="9"/>
  <c r="AE66" i="9" l="1"/>
  <c r="AE64" i="9" s="1"/>
  <c r="AD66" i="9"/>
  <c r="AD64" i="9" s="1"/>
  <c r="AH66" i="9"/>
  <c r="AH64" i="9" s="1"/>
  <c r="AG66" i="9"/>
  <c r="AJ54" i="9" s="1"/>
  <c r="H22" i="1"/>
  <c r="AF15" i="9"/>
  <c r="AF32" i="9"/>
  <c r="AF4" i="9"/>
  <c r="AF20" i="9"/>
  <c r="AF65" i="9"/>
  <c r="AI15" i="9"/>
  <c r="AI65" i="9"/>
  <c r="AF54" i="9"/>
  <c r="AI32" i="9"/>
  <c r="AI54" i="9"/>
  <c r="AI4" i="9"/>
  <c r="AI20" i="9"/>
  <c r="AG64" i="9" l="1"/>
  <c r="AJ46" i="9"/>
  <c r="AJ11" i="9"/>
  <c r="AJ65" i="9"/>
  <c r="AJ4" i="9"/>
  <c r="AJ15" i="9"/>
  <c r="AJ20" i="9"/>
  <c r="AJ26" i="9"/>
  <c r="AJ5" i="9"/>
  <c r="AJ6" i="9"/>
  <c r="AJ52" i="9"/>
  <c r="AJ13" i="9"/>
  <c r="AJ21" i="9"/>
  <c r="AJ22" i="9"/>
  <c r="AJ9" i="9"/>
  <c r="AJ25" i="9"/>
  <c r="AJ30" i="9"/>
  <c r="AJ50" i="9"/>
  <c r="AJ58" i="9"/>
  <c r="AJ17" i="9"/>
  <c r="AJ35" i="9"/>
  <c r="AJ28" i="9"/>
  <c r="AJ18" i="9"/>
  <c r="AJ33" i="9"/>
  <c r="AJ34" i="9"/>
  <c r="AJ24" i="9"/>
  <c r="AJ38" i="9"/>
  <c r="AJ56" i="9"/>
  <c r="AJ61" i="9"/>
  <c r="AJ40" i="9"/>
  <c r="AJ23" i="9"/>
  <c r="AJ57" i="9"/>
  <c r="AJ44" i="9"/>
  <c r="AJ48" i="9"/>
  <c r="AJ42" i="9"/>
  <c r="AJ36" i="9"/>
  <c r="AJ59" i="9"/>
  <c r="AJ7" i="9"/>
  <c r="AJ55" i="9"/>
  <c r="AJ16" i="9"/>
  <c r="AJ32" i="9"/>
  <c r="AF66" i="9"/>
  <c r="AF64" i="9"/>
  <c r="AI66" i="9"/>
  <c r="AJ66" i="9" s="1"/>
  <c r="AJ64" i="9" l="1"/>
  <c r="AI64" i="9"/>
  <c r="H6" i="7" l="1"/>
  <c r="H5" i="7"/>
  <c r="L5" i="15"/>
  <c r="W61" i="9"/>
  <c r="N61" i="9"/>
  <c r="Q61" i="9"/>
  <c r="Z61" i="9"/>
  <c r="F12" i="7"/>
  <c r="F7" i="7"/>
  <c r="E61" i="9"/>
  <c r="H61" i="9"/>
  <c r="K16" i="3" l="1"/>
  <c r="K17" i="3"/>
  <c r="K20" i="3"/>
  <c r="C65" i="9"/>
  <c r="D65" i="9"/>
  <c r="E65" i="9" l="1"/>
  <c r="G9" i="17"/>
  <c r="N59" i="9" l="1"/>
  <c r="N57" i="9"/>
  <c r="W56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M38" i="16"/>
  <c r="D38" i="16"/>
  <c r="G32" i="9" l="1"/>
  <c r="Q13" i="9"/>
  <c r="Z57" i="9"/>
  <c r="Q57" i="9"/>
  <c r="N5" i="9"/>
  <c r="N13" i="9"/>
  <c r="E16" i="9"/>
  <c r="L4" i="9"/>
  <c r="H6" i="9"/>
  <c r="Q23" i="9"/>
  <c r="Z52" i="9"/>
  <c r="Q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L38" i="16"/>
  <c r="W6" i="9"/>
  <c r="D15" i="9"/>
  <c r="N25" i="9"/>
  <c r="W38" i="9"/>
  <c r="N40" i="9"/>
  <c r="E42" i="9"/>
  <c r="W48" i="9"/>
  <c r="E57" i="9"/>
  <c r="W57" i="9"/>
  <c r="Z50" i="9"/>
  <c r="E6" i="9"/>
  <c r="X4" i="9"/>
  <c r="V4" i="9"/>
  <c r="E9" i="9"/>
  <c r="N30" i="9"/>
  <c r="Z59" i="9"/>
  <c r="Q50" i="9"/>
  <c r="P38" i="16"/>
  <c r="D4" i="9"/>
  <c r="N48" i="9"/>
  <c r="H52" i="9"/>
  <c r="N56" i="9"/>
  <c r="G38" i="16"/>
  <c r="Z16" i="9"/>
  <c r="N17" i="9"/>
  <c r="W18" i="9"/>
  <c r="P20" i="9"/>
  <c r="N34" i="9"/>
  <c r="H44" i="9"/>
  <c r="N52" i="9"/>
  <c r="E55" i="9"/>
  <c r="O38" i="16"/>
  <c r="M20" i="9"/>
  <c r="K38" i="16"/>
  <c r="Q52" i="9"/>
  <c r="V54" i="9"/>
  <c r="F38" i="16"/>
  <c r="F20" i="9"/>
  <c r="Q35" i="9"/>
  <c r="G54" i="9"/>
  <c r="Y54" i="9"/>
  <c r="G4" i="9"/>
  <c r="L54" i="9"/>
  <c r="W17" i="9"/>
  <c r="N18" i="9"/>
  <c r="W34" i="9"/>
  <c r="Q44" i="9"/>
  <c r="H48" i="9"/>
  <c r="E52" i="9"/>
  <c r="H58" i="9"/>
  <c r="E38" i="16"/>
  <c r="N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50" i="9"/>
  <c r="N55" i="9"/>
  <c r="E58" i="9"/>
  <c r="W58" i="9"/>
  <c r="W9" i="9"/>
  <c r="Z13" i="9"/>
  <c r="W16" i="9"/>
  <c r="E24" i="9"/>
  <c r="P32" i="9"/>
  <c r="Z38" i="9"/>
  <c r="N44" i="9"/>
  <c r="E48" i="9"/>
  <c r="Y4" i="9"/>
  <c r="C20" i="9"/>
  <c r="E28" i="9"/>
  <c r="W28" i="9"/>
  <c r="M32" i="9"/>
  <c r="H35" i="9"/>
  <c r="W36" i="9"/>
  <c r="N38" i="9"/>
  <c r="N50" i="9"/>
  <c r="Q55" i="9"/>
  <c r="U54" i="9"/>
  <c r="Z58" i="9"/>
  <c r="U4" i="9"/>
  <c r="P54" i="9"/>
  <c r="I38" i="16"/>
  <c r="R36" i="16"/>
  <c r="G15" i="9"/>
  <c r="Y15" i="9"/>
  <c r="H21" i="9"/>
  <c r="E23" i="9"/>
  <c r="H28" i="9"/>
  <c r="N35" i="9"/>
  <c r="Z36" i="9"/>
  <c r="W40" i="9"/>
  <c r="N42" i="9"/>
  <c r="E44" i="9"/>
  <c r="W55" i="9"/>
  <c r="N58" i="9"/>
  <c r="R35" i="16"/>
  <c r="P4" i="9"/>
  <c r="E13" i="9"/>
  <c r="U15" i="9"/>
  <c r="N16" i="9"/>
  <c r="Q17" i="9"/>
  <c r="W23" i="9"/>
  <c r="C32" i="9"/>
  <c r="Q34" i="9"/>
  <c r="W44" i="9"/>
  <c r="W52" i="9"/>
  <c r="H57" i="9"/>
  <c r="D54" i="9"/>
  <c r="W59" i="9"/>
  <c r="N21" i="9"/>
  <c r="W25" i="9"/>
  <c r="N28" i="9"/>
  <c r="D32" i="9"/>
  <c r="E34" i="9"/>
  <c r="E38" i="9"/>
  <c r="Q42" i="9"/>
  <c r="E50" i="9"/>
  <c r="W50" i="9"/>
  <c r="E56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4" i="9"/>
  <c r="M54" i="9"/>
  <c r="Z55" i="9"/>
  <c r="E59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8" i="9"/>
  <c r="O54" i="9"/>
  <c r="H55" i="9"/>
  <c r="Z56" i="9"/>
  <c r="Q59" i="9"/>
  <c r="X54" i="9"/>
  <c r="Q7" i="9"/>
  <c r="H9" i="9"/>
  <c r="F15" i="9"/>
  <c r="Q18" i="9"/>
  <c r="E21" i="9"/>
  <c r="H22" i="9"/>
  <c r="Z24" i="9"/>
  <c r="Q26" i="9"/>
  <c r="H30" i="9"/>
  <c r="Z33" i="9"/>
  <c r="H36" i="9"/>
  <c r="Z40" i="9"/>
  <c r="Q48" i="9"/>
  <c r="F54" i="9"/>
  <c r="Q56" i="9"/>
  <c r="H59" i="9"/>
  <c r="H7" i="9"/>
  <c r="H18" i="9"/>
  <c r="Q24" i="9"/>
  <c r="H26" i="9"/>
  <c r="X32" i="9"/>
  <c r="Q33" i="9"/>
  <c r="Q40" i="9"/>
  <c r="H56" i="9"/>
  <c r="Z6" i="9"/>
  <c r="Z17" i="9"/>
  <c r="Q21" i="9"/>
  <c r="H24" i="9"/>
  <c r="Q28" i="9"/>
  <c r="O32" i="9"/>
  <c r="H33" i="9"/>
  <c r="Z34" i="9"/>
  <c r="H40" i="9"/>
  <c r="Z44" i="9"/>
  <c r="Q58" i="9"/>
  <c r="O20" i="9"/>
  <c r="F32" i="9"/>
  <c r="B38" i="16"/>
  <c r="M66" i="9" l="1"/>
  <c r="M64" i="9" s="1"/>
  <c r="F66" i="9"/>
  <c r="F64" i="9" s="1"/>
  <c r="D66" i="9"/>
  <c r="D64" i="9" s="1"/>
  <c r="P66" i="9"/>
  <c r="P64" i="9" s="1"/>
  <c r="V66" i="9"/>
  <c r="V64" i="9" s="1"/>
  <c r="Y66" i="9"/>
  <c r="Y64" i="9" s="1"/>
  <c r="G66" i="9"/>
  <c r="G64" i="9" s="1"/>
  <c r="L66" i="9"/>
  <c r="L64" i="9" s="1"/>
  <c r="O66" i="9"/>
  <c r="R11" i="9" s="1"/>
  <c r="C66" i="9"/>
  <c r="C64" i="9" s="1"/>
  <c r="X66" i="9"/>
  <c r="U66" i="9"/>
  <c r="U64" i="9" s="1"/>
  <c r="W4" i="9"/>
  <c r="W15" i="9"/>
  <c r="N32" i="9"/>
  <c r="N4" i="9"/>
  <c r="Z15" i="9"/>
  <c r="E4" i="9"/>
  <c r="Z4" i="9"/>
  <c r="N20" i="9"/>
  <c r="E15" i="9"/>
  <c r="E32" i="9"/>
  <c r="E20" i="9"/>
  <c r="W54" i="9"/>
  <c r="N54" i="9"/>
  <c r="W65" i="9"/>
  <c r="R38" i="16"/>
  <c r="N65" i="9"/>
  <c r="W20" i="9"/>
  <c r="Q65" i="9"/>
  <c r="H20" i="9"/>
  <c r="Z54" i="9"/>
  <c r="Q54" i="9"/>
  <c r="Q4" i="9"/>
  <c r="H54" i="9"/>
  <c r="Z65" i="9"/>
  <c r="Q32" i="9"/>
  <c r="E54" i="9"/>
  <c r="Z20" i="9"/>
  <c r="Z32" i="9"/>
  <c r="H32" i="9"/>
  <c r="Q15" i="9"/>
  <c r="H65" i="9"/>
  <c r="Q20" i="9"/>
  <c r="H4" i="9"/>
  <c r="H15" i="9"/>
  <c r="W32" i="9"/>
  <c r="I11" i="9" l="1"/>
  <c r="I46" i="9"/>
  <c r="AA46" i="9"/>
  <c r="X64" i="9"/>
  <c r="O64" i="9"/>
  <c r="R46" i="9"/>
  <c r="AA11" i="9"/>
  <c r="AA5" i="9"/>
  <c r="E64" i="9"/>
  <c r="E66" i="9"/>
  <c r="Z66" i="9"/>
  <c r="AA66" i="9" s="1"/>
  <c r="W66" i="9"/>
  <c r="AA65" i="9"/>
  <c r="AA61" i="9"/>
  <c r="I54" i="9"/>
  <c r="I61" i="9"/>
  <c r="R4" i="9"/>
  <c r="R61" i="9"/>
  <c r="R32" i="9"/>
  <c r="R54" i="9"/>
  <c r="R15" i="9"/>
  <c r="R20" i="9"/>
  <c r="R65" i="9"/>
  <c r="AA58" i="9"/>
  <c r="AA28" i="9"/>
  <c r="AA55" i="9"/>
  <c r="AA42" i="9"/>
  <c r="AA25" i="9"/>
  <c r="AA16" i="9"/>
  <c r="AA57" i="9"/>
  <c r="AA50" i="9"/>
  <c r="AA35" i="9"/>
  <c r="AA52" i="9"/>
  <c r="AA38" i="9"/>
  <c r="AA23" i="9"/>
  <c r="AA13" i="9"/>
  <c r="AA56" i="9"/>
  <c r="AA9" i="9"/>
  <c r="AA40" i="9"/>
  <c r="AA18" i="9"/>
  <c r="AA21" i="9"/>
  <c r="AA7" i="9"/>
  <c r="AA4" i="9"/>
  <c r="AA22" i="9"/>
  <c r="AA34" i="9"/>
  <c r="AA33" i="9"/>
  <c r="AA26" i="9"/>
  <c r="AA17" i="9"/>
  <c r="AA48" i="9"/>
  <c r="AA44" i="9"/>
  <c r="AA59" i="9"/>
  <c r="AA6" i="9"/>
  <c r="AA24" i="9"/>
  <c r="AA15" i="9"/>
  <c r="AA36" i="9"/>
  <c r="AA20" i="9"/>
  <c r="I4" i="9"/>
  <c r="AA54" i="9"/>
  <c r="I48" i="9"/>
  <c r="I52" i="9"/>
  <c r="I13" i="9"/>
  <c r="I5" i="9"/>
  <c r="I23" i="9"/>
  <c r="I38" i="9"/>
  <c r="I44" i="9"/>
  <c r="I34" i="9"/>
  <c r="H66" i="9"/>
  <c r="I66" i="9" s="1"/>
  <c r="I58" i="9"/>
  <c r="I28" i="9"/>
  <c r="I21" i="9"/>
  <c r="I33" i="9"/>
  <c r="I59" i="9"/>
  <c r="I9" i="9"/>
  <c r="I55" i="9"/>
  <c r="I56" i="9"/>
  <c r="I36" i="9"/>
  <c r="I57" i="9"/>
  <c r="I50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4" i="9"/>
  <c r="AA32" i="9"/>
  <c r="I65" i="9"/>
  <c r="Q66" i="9"/>
  <c r="R66" i="9" s="1"/>
  <c r="R50" i="9"/>
  <c r="R35" i="9"/>
  <c r="R57" i="9"/>
  <c r="R51" i="9"/>
  <c r="R52" i="9"/>
  <c r="R38" i="9"/>
  <c r="R23" i="9"/>
  <c r="R44" i="9"/>
  <c r="R34" i="9"/>
  <c r="R17" i="9"/>
  <c r="R6" i="9"/>
  <c r="R33" i="9"/>
  <c r="R30" i="9"/>
  <c r="R16" i="9"/>
  <c r="R48" i="9"/>
  <c r="R42" i="9"/>
  <c r="R21" i="9"/>
  <c r="R25" i="9"/>
  <c r="R22" i="9"/>
  <c r="R13" i="9"/>
  <c r="R5" i="9"/>
  <c r="R18" i="9"/>
  <c r="R59" i="9"/>
  <c r="R24" i="9"/>
  <c r="R55" i="9"/>
  <c r="R58" i="9"/>
  <c r="R28" i="9"/>
  <c r="R36" i="9"/>
  <c r="R7" i="9"/>
  <c r="R56" i="9"/>
  <c r="R9" i="9"/>
  <c r="R40" i="9"/>
  <c r="R26" i="9"/>
  <c r="N66" i="9"/>
  <c r="N64" i="9" l="1"/>
  <c r="I64" i="9"/>
  <c r="H64" i="9"/>
  <c r="R64" i="9"/>
  <c r="Q64" i="9"/>
  <c r="AA64" i="9"/>
  <c r="Z64" i="9"/>
  <c r="AA30" i="9"/>
  <c r="H16" i="17" l="1"/>
  <c r="N16" i="17"/>
  <c r="E16" i="17"/>
  <c r="Q16" i="17"/>
  <c r="R10" i="16" l="1"/>
  <c r="R9" i="16"/>
  <c r="R4" i="16"/>
  <c r="R5" i="16"/>
  <c r="H23" i="8"/>
  <c r="H6" i="8"/>
  <c r="H12" i="8" s="1"/>
  <c r="H10" i="8"/>
  <c r="C28" i="7" l="1"/>
  <c r="B28" i="7"/>
  <c r="H18" i="8"/>
  <c r="H31" i="8"/>
  <c r="H32" i="8"/>
  <c r="H28" i="8"/>
  <c r="D28" i="7" l="1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F27" i="15"/>
  <c r="E32" i="8"/>
  <c r="F40" i="15"/>
  <c r="F37" i="15"/>
  <c r="N13" i="17"/>
  <c r="F41" i="15"/>
  <c r="F21" i="15"/>
  <c r="E31" i="8"/>
  <c r="E28" i="8"/>
  <c r="E10" i="8"/>
  <c r="E6" i="8"/>
  <c r="E12" i="8" s="1"/>
  <c r="E33" i="8" l="1"/>
  <c r="F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5" i="17"/>
  <c r="E18" i="17"/>
  <c r="E24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N6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Q7" i="17"/>
  <c r="E11" i="17"/>
  <c r="Q12" i="17"/>
  <c r="Q18" i="17"/>
  <c r="E22" i="17"/>
  <c r="Q23" i="17"/>
  <c r="H30" i="17"/>
  <c r="L9" i="17"/>
  <c r="H18" i="17"/>
  <c r="L20" i="17"/>
  <c r="H23" i="17"/>
  <c r="Q6" i="17"/>
  <c r="E10" i="17"/>
  <c r="Q11" i="17"/>
  <c r="Q17" i="17"/>
  <c r="Q22" i="17"/>
  <c r="O26" i="17"/>
  <c r="Q27" i="17"/>
  <c r="H6" i="17"/>
  <c r="H11" i="17"/>
  <c r="H1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L11" i="16"/>
  <c r="L24" i="16"/>
  <c r="D12" i="15"/>
  <c r="G37" i="4"/>
  <c r="I24" i="16"/>
  <c r="D20" i="15"/>
  <c r="L6" i="16"/>
  <c r="L19" i="16"/>
  <c r="L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K51" i="2" s="1"/>
  <c r="O33" i="7"/>
  <c r="J33" i="7"/>
  <c r="E33" i="7"/>
  <c r="L47" i="2"/>
  <c r="L45" i="15"/>
  <c r="L44" i="15"/>
  <c r="R21" i="16"/>
  <c r="R8" i="16"/>
  <c r="L42" i="2"/>
  <c r="L37" i="2"/>
  <c r="L36" i="2"/>
  <c r="L32" i="2"/>
  <c r="L8" i="2"/>
  <c r="M34" i="4"/>
  <c r="M33" i="4"/>
  <c r="M14" i="4"/>
  <c r="I18" i="3" l="1"/>
  <c r="I23" i="3" s="1"/>
  <c r="C17" i="4"/>
  <c r="K37" i="4"/>
  <c r="I44" i="3"/>
  <c r="K48" i="3"/>
  <c r="K50" i="2" s="1"/>
  <c r="L50" i="2" s="1"/>
  <c r="D31" i="16"/>
  <c r="H31" i="16"/>
  <c r="Q11" i="16"/>
  <c r="K41" i="4"/>
  <c r="C24" i="16"/>
  <c r="K20" i="4"/>
  <c r="B46" i="4"/>
  <c r="B47" i="4" s="1"/>
  <c r="D44" i="2"/>
  <c r="O19" i="16"/>
  <c r="D6" i="16"/>
  <c r="C7" i="7"/>
  <c r="H18" i="3"/>
  <c r="J20" i="15"/>
  <c r="J37" i="15"/>
  <c r="E40" i="2"/>
  <c r="B40" i="2"/>
  <c r="I40" i="15"/>
  <c r="Q19" i="16"/>
  <c r="B27" i="15"/>
  <c r="B31" i="16"/>
  <c r="E31" i="16"/>
  <c r="O31" i="16"/>
  <c r="K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K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K28" i="2" s="1"/>
  <c r="L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K24" i="16"/>
  <c r="K7" i="4"/>
  <c r="C7" i="4"/>
  <c r="K10" i="3"/>
  <c r="K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L48" i="2"/>
  <c r="C49" i="2"/>
  <c r="L49" i="2" s="1"/>
  <c r="C7" i="1"/>
  <c r="K11" i="3"/>
  <c r="K10" i="2" s="1"/>
  <c r="L10" i="2" s="1"/>
  <c r="H11" i="7"/>
  <c r="C18" i="1" s="1"/>
  <c r="L26" i="15"/>
  <c r="L26" i="4" s="1"/>
  <c r="M26" i="4" s="1"/>
  <c r="C6" i="5" s="1"/>
  <c r="O24" i="16"/>
  <c r="D37" i="4"/>
  <c r="B40" i="15"/>
  <c r="K19" i="2"/>
  <c r="L19" i="2" s="1"/>
  <c r="H43" i="3"/>
  <c r="B27" i="4"/>
  <c r="L19" i="4"/>
  <c r="M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I7" i="15"/>
  <c r="E7" i="4"/>
  <c r="K15" i="2"/>
  <c r="L15" i="2" s="1"/>
  <c r="J40" i="15"/>
  <c r="C44" i="2"/>
  <c r="G24" i="16"/>
  <c r="K4" i="2"/>
  <c r="L4" i="2" s="1"/>
  <c r="C7" i="15"/>
  <c r="L5" i="4"/>
  <c r="M5" i="4" s="1"/>
  <c r="L16" i="4"/>
  <c r="M16" i="4" s="1"/>
  <c r="H20" i="15"/>
  <c r="H21" i="15" s="1"/>
  <c r="J30" i="3"/>
  <c r="J43" i="3"/>
  <c r="K34" i="3"/>
  <c r="K34" i="2" s="1"/>
  <c r="L34" i="2" s="1"/>
  <c r="K29" i="3"/>
  <c r="K29" i="2" s="1"/>
  <c r="G12" i="3"/>
  <c r="H35" i="3"/>
  <c r="L31" i="15"/>
  <c r="L31" i="4" s="1"/>
  <c r="C30" i="2"/>
  <c r="J40" i="3"/>
  <c r="J44" i="3"/>
  <c r="K31" i="16"/>
  <c r="R29" i="16"/>
  <c r="R18" i="16"/>
  <c r="G19" i="16"/>
  <c r="D24" i="16"/>
  <c r="H40" i="4"/>
  <c r="H37" i="4"/>
  <c r="K38" i="3"/>
  <c r="K38" i="2" s="1"/>
  <c r="G40" i="3"/>
  <c r="I37" i="15"/>
  <c r="L18" i="4"/>
  <c r="M18" i="4" s="1"/>
  <c r="B11" i="16"/>
  <c r="L51" i="2"/>
  <c r="K20" i="2"/>
  <c r="L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K6" i="16"/>
  <c r="H11" i="16"/>
  <c r="D11" i="16"/>
  <c r="D6" i="2"/>
  <c r="L6" i="4"/>
  <c r="M6" i="4" s="1"/>
  <c r="G7" i="7"/>
  <c r="E11" i="2"/>
  <c r="B11" i="2"/>
  <c r="C20" i="4"/>
  <c r="B37" i="15"/>
  <c r="H27" i="4"/>
  <c r="Q6" i="16"/>
  <c r="K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K16" i="2"/>
  <c r="L16" i="2" s="1"/>
  <c r="C41" i="4"/>
  <c r="C40" i="15"/>
  <c r="L25" i="15"/>
  <c r="L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K33" i="2" s="1"/>
  <c r="L11" i="4"/>
  <c r="M11" i="4" s="1"/>
  <c r="L15" i="4"/>
  <c r="M15" i="4" s="1"/>
  <c r="O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G21" i="1" l="1"/>
  <c r="H11" i="1"/>
  <c r="K18" i="3"/>
  <c r="B33" i="1"/>
  <c r="D33" i="1" s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K17" i="2"/>
  <c r="L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K11" i="2"/>
  <c r="L11" i="2" s="1"/>
  <c r="L9" i="2"/>
  <c r="K35" i="3"/>
  <c r="K40" i="3"/>
  <c r="K44" i="2"/>
  <c r="L44" i="2" s="1"/>
  <c r="L32" i="15"/>
  <c r="M25" i="4"/>
  <c r="C5" i="5" s="1"/>
  <c r="K30" i="3"/>
  <c r="R6" i="16"/>
  <c r="H12" i="7"/>
  <c r="R11" i="16"/>
  <c r="J22" i="5"/>
  <c r="L29" i="2"/>
  <c r="K21" i="2"/>
  <c r="L21" i="2" s="1"/>
  <c r="H42" i="4"/>
  <c r="R24" i="16"/>
  <c r="L32" i="4"/>
  <c r="M32" i="4" s="1"/>
  <c r="C37" i="1"/>
  <c r="J42" i="15"/>
  <c r="E23" i="2"/>
  <c r="L27" i="15"/>
  <c r="B16" i="1"/>
  <c r="C17" i="1"/>
  <c r="L41" i="4"/>
  <c r="M41" i="4" s="1"/>
  <c r="R19" i="16"/>
  <c r="D19" i="1"/>
  <c r="L20" i="4"/>
  <c r="M20" i="4" s="1"/>
  <c r="H7" i="7"/>
  <c r="R31" i="16"/>
  <c r="L38" i="2"/>
  <c r="B15" i="5" s="1"/>
  <c r="B17" i="5" s="1"/>
  <c r="K40" i="2"/>
  <c r="L40" i="2" s="1"/>
  <c r="M31" i="4"/>
  <c r="C28" i="1" s="1"/>
  <c r="K30" i="2"/>
  <c r="L30" i="2" s="1"/>
  <c r="E36" i="1"/>
  <c r="C45" i="2"/>
  <c r="K35" i="2"/>
  <c r="L35" i="2" s="1"/>
  <c r="K43" i="2"/>
  <c r="L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18" i="1" l="1"/>
  <c r="G7" i="1"/>
  <c r="G19" i="1"/>
  <c r="C20" i="5"/>
  <c r="F18" i="1"/>
  <c r="F7" i="1"/>
  <c r="D16" i="1"/>
  <c r="C22" i="1"/>
  <c r="L21" i="15"/>
  <c r="F22" i="7"/>
  <c r="F32" i="7"/>
  <c r="F30" i="7"/>
  <c r="F29" i="7"/>
  <c r="F28" i="7"/>
  <c r="F27" i="7"/>
  <c r="F26" i="7"/>
  <c r="B6" i="5"/>
  <c r="B7" i="5" s="1"/>
  <c r="B28" i="1"/>
  <c r="B10" i="5"/>
  <c r="B12" i="5" s="1"/>
  <c r="C27" i="1"/>
  <c r="B27" i="1"/>
  <c r="L6" i="2"/>
  <c r="D5" i="1" s="1"/>
  <c r="B8" i="1"/>
  <c r="D6" i="1"/>
  <c r="C8" i="1"/>
  <c r="C11" i="1" s="1"/>
  <c r="M28" i="7" s="1"/>
  <c r="B10" i="1"/>
  <c r="F19" i="1"/>
  <c r="K45" i="2"/>
  <c r="L45" i="2" s="1"/>
  <c r="K45" i="3"/>
  <c r="K23" i="2"/>
  <c r="L23" i="2" s="1"/>
  <c r="L42" i="4"/>
  <c r="M42" i="4" s="1"/>
  <c r="L42" i="15"/>
  <c r="B17" i="1"/>
  <c r="D17" i="1" s="1"/>
  <c r="G17" i="1" s="1"/>
  <c r="L43" i="2"/>
  <c r="C11" i="5"/>
  <c r="M37" i="4"/>
  <c r="H16" i="5"/>
  <c r="L21" i="4"/>
  <c r="M21" i="4" s="1"/>
  <c r="C17" i="5"/>
  <c r="E15" i="5"/>
  <c r="D12" i="5"/>
  <c r="D20" i="5"/>
  <c r="D21" i="5"/>
  <c r="D7" i="5"/>
  <c r="C7" i="5"/>
  <c r="E5" i="5"/>
  <c r="F5" i="5" s="1"/>
  <c r="I5" i="5" s="1"/>
  <c r="H28" i="7" l="1"/>
  <c r="G5" i="1"/>
  <c r="G16" i="1"/>
  <c r="G6" i="1"/>
  <c r="H27" i="7"/>
  <c r="H26" i="7"/>
  <c r="B11" i="1"/>
  <c r="D27" i="1"/>
  <c r="G27" i="1" s="1"/>
  <c r="D22" i="1"/>
  <c r="B22" i="1"/>
  <c r="C33" i="1"/>
  <c r="B32" i="1"/>
  <c r="D32" i="1" s="1"/>
  <c r="B20" i="5"/>
  <c r="E20" i="5" s="1"/>
  <c r="D10" i="1"/>
  <c r="E6" i="5"/>
  <c r="F6" i="5" s="1"/>
  <c r="I6" i="5" s="1"/>
  <c r="E10" i="5"/>
  <c r="F10" i="5" s="1"/>
  <c r="I10" i="5" s="1"/>
  <c r="B21" i="5"/>
  <c r="F5" i="1"/>
  <c r="D8" i="1"/>
  <c r="F8" i="1" s="1"/>
  <c r="F6" i="1"/>
  <c r="G22" i="7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F17" i="1"/>
  <c r="G10" i="1" l="1"/>
  <c r="G27" i="7"/>
  <c r="I27" i="7" s="1"/>
  <c r="L28" i="7"/>
  <c r="N27" i="7"/>
  <c r="P27" i="7" s="1"/>
  <c r="G26" i="7"/>
  <c r="D11" i="1"/>
  <c r="F11" i="1" s="1"/>
  <c r="F22" i="1"/>
  <c r="H22" i="7"/>
  <c r="I22" i="7" s="1"/>
  <c r="P29" i="7"/>
  <c r="P31" i="7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F12" i="5"/>
  <c r="H12" i="5" s="1"/>
  <c r="H10" i="5"/>
  <c r="G28" i="7" l="1"/>
  <c r="N28" i="7"/>
  <c r="P28" i="7" s="1"/>
  <c r="I26" i="7"/>
  <c r="P32" i="7"/>
  <c r="K31" i="7"/>
  <c r="K30" i="7"/>
  <c r="K29" i="7"/>
  <c r="K27" i="7"/>
  <c r="P26" i="7"/>
  <c r="K22" i="7"/>
  <c r="P30" i="7"/>
  <c r="P22" i="7"/>
  <c r="H21" i="5"/>
  <c r="E22" i="5"/>
  <c r="F22" i="5"/>
  <c r="H22" i="5" s="1"/>
  <c r="H20" i="5"/>
  <c r="I28" i="7" l="1"/>
  <c r="K26" i="7"/>
  <c r="K32" i="7"/>
  <c r="K28" i="7" l="1"/>
  <c r="B23" i="7"/>
  <c r="C23" i="7"/>
  <c r="D23" i="7" l="1"/>
  <c r="F23" i="7" l="1"/>
  <c r="M23" i="7" l="1"/>
  <c r="L23" i="7"/>
  <c r="N23" i="7" l="1"/>
  <c r="G23" i="7"/>
  <c r="H23" i="7"/>
  <c r="I23" i="7" l="1"/>
  <c r="P23" i="7"/>
  <c r="K23" i="7" l="1"/>
  <c r="C21" i="7" l="1"/>
  <c r="B21" i="7"/>
  <c r="D21" i="7" l="1"/>
  <c r="F21" i="7" l="1"/>
  <c r="L21" i="7" l="1"/>
  <c r="G21" i="7" s="1"/>
  <c r="M21" i="7" l="1"/>
  <c r="H21" i="7" s="1"/>
  <c r="I21" i="7" s="1"/>
  <c r="N21" i="7" l="1"/>
  <c r="P21" i="7" l="1"/>
  <c r="K21" i="7"/>
  <c r="B24" i="7" l="1"/>
  <c r="C24" i="7" l="1"/>
  <c r="D24" i="7" l="1"/>
  <c r="F24" i="7" l="1"/>
  <c r="L24" i="7" l="1"/>
  <c r="D34" i="1" l="1"/>
  <c r="E33" i="1" s="1"/>
  <c r="G24" i="7"/>
  <c r="M24" i="7"/>
  <c r="E32" i="1" l="1"/>
  <c r="H24" i="7"/>
  <c r="N24" i="7"/>
  <c r="I24" i="7" l="1"/>
  <c r="P24" i="7"/>
  <c r="K24" i="7" l="1"/>
  <c r="I21" i="1"/>
  <c r="I20" i="1" l="1"/>
  <c r="I7" i="1"/>
  <c r="I18" i="1"/>
  <c r="I19" i="1"/>
  <c r="I6" i="1" l="1"/>
  <c r="K5" i="5" l="1"/>
  <c r="I17" i="1"/>
  <c r="I5" i="1"/>
  <c r="G8" i="1"/>
  <c r="G22" i="1"/>
  <c r="I22" i="1" s="1"/>
  <c r="I16" i="1"/>
  <c r="I10" i="1"/>
  <c r="G11" i="1" l="1"/>
  <c r="I11" i="1" s="1"/>
  <c r="I8" i="1"/>
  <c r="I17" i="5"/>
  <c r="K17" i="5" s="1"/>
  <c r="K15" i="5"/>
  <c r="K11" i="5"/>
  <c r="I28" i="1"/>
  <c r="K10" i="5"/>
  <c r="I27" i="1"/>
  <c r="G29" i="1" l="1"/>
  <c r="I29" i="1" s="1"/>
  <c r="K21" i="5"/>
  <c r="I12" i="5"/>
  <c r="K12" i="5" s="1"/>
  <c r="K6" i="5"/>
  <c r="I7" i="5"/>
  <c r="K7" i="5" s="1"/>
  <c r="K20" i="5"/>
  <c r="I22" i="5" l="1"/>
  <c r="K22" i="5" s="1"/>
  <c r="E28" i="17" l="1"/>
  <c r="C26" i="17"/>
  <c r="E26" i="17" s="1"/>
  <c r="F26" i="17"/>
  <c r="H26" i="17" s="1"/>
  <c r="H28" i="17"/>
  <c r="E13" i="17"/>
  <c r="H13" i="17"/>
  <c r="F12" i="17" l="1"/>
  <c r="C12" i="17"/>
  <c r="C7" i="17"/>
  <c r="F7" i="17"/>
  <c r="E12" i="17" l="1"/>
  <c r="C9" i="17"/>
  <c r="E9" i="17" s="1"/>
  <c r="H12" i="17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C25" i="7" l="1"/>
  <c r="C33" i="7" s="1"/>
  <c r="B25" i="7" l="1"/>
  <c r="D25" i="7" l="1"/>
  <c r="B33" i="7"/>
  <c r="F25" i="7" l="1"/>
  <c r="D33" i="7"/>
  <c r="F33" i="7" s="1"/>
  <c r="M25" i="7" l="1"/>
  <c r="H25" i="7" l="1"/>
  <c r="H33" i="7" s="1"/>
  <c r="M33" i="7"/>
  <c r="L25" i="7"/>
  <c r="N25" i="7" l="1"/>
  <c r="G25" i="7"/>
  <c r="L33" i="7"/>
  <c r="I25" i="7" l="1"/>
  <c r="G33" i="7"/>
  <c r="P25" i="7"/>
  <c r="N33" i="7"/>
  <c r="P33" i="7" s="1"/>
  <c r="K25" i="7" l="1"/>
  <c r="I33" i="7"/>
  <c r="K33" i="7" s="1"/>
</calcChain>
</file>

<file path=xl/sharedStrings.xml><?xml version="1.0" encoding="utf-8"?>
<sst xmlns="http://schemas.openxmlformats.org/spreadsheetml/2006/main" count="739" uniqueCount="253">
  <si>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</si>
  <si>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</si>
  <si>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</si>
  <si>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</si>
  <si>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</si>
  <si>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</si>
  <si>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</si>
  <si>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</si>
  <si>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</si>
  <si>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</si>
  <si>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</si>
  <si>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</si>
  <si>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</si>
  <si>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</si>
  <si>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</si>
  <si>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</si>
  <si>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</si>
  <si>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</si>
  <si>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</si>
  <si>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</si>
  <si>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</si>
  <si>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</si>
  <si>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</si>
  <si>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</si>
  <si>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</si>
  <si>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</si>
  <si>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</si>
  <si>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</si>
  <si>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</si>
  <si>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</si>
  <si>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</si>
  <si>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</si>
  <si>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</si>
  <si>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</si>
  <si>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</si>
  <si>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</si>
  <si>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</si>
  <si>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</si>
  <si>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</si>
  <si>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</si>
  <si>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</si>
  <si>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</si>
  <si>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</si>
  <si>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</si>
  <si>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</si>
  <si>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</si>
  <si>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</si>
  <si>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</si>
  <si>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</si>
  <si>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</si>
  <si>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</si>
  <si>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</si>
  <si>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</si>
  <si>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</si>
  <si>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</si>
  <si>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</si>
  <si>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</si>
  <si>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</si>
  <si>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</si>
  <si>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</si>
  <si>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</si>
  <si>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</si>
  <si>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</si>
  <si>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</si>
  <si>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</si>
  <si>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</si>
  <si>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</si>
  <si>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</si>
  <si>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</si>
  <si>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</si>
  <si>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</si>
  <si>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</si>
  <si>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</si>
  <si>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</si>
  <si>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</si>
  <si>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</si>
  <si>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</si>
  <si>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</si>
  <si>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</si>
  <si>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</si>
  <si>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</si>
  <si>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</si>
  <si>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</si>
  <si>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</si>
  <si>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</si>
  <si>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</si>
  <si>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</si>
  <si>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</si>
  <si>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</si>
  <si>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</si>
  <si>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</si>
  <si>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</si>
  <si>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</si>
  <si>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</si>
  <si>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</si>
  <si>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</si>
  <si>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</si>
  <si>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</si>
  <si>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</si>
  <si>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</si>
  <si>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</si>
  <si>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</si>
  <si>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</si>
  <si>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</si>
  <si>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</si>
  <si>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</si>
  <si>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</si>
  <si>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</si>
  <si>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</si>
  <si>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</si>
  <si>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</si>
  <si>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</si>
  <si>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</si>
  <si>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</si>
  <si>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</si>
  <si>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</si>
  <si>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</si>
  <si>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</si>
  <si>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</si>
  <si>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</si>
  <si>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</si>
  <si>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</si>
  <si>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</si>
  <si>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</si>
  <si>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</si>
  <si>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</si>
  <si>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</si>
  <si>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</si>
  <si>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</si>
  <si>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</si>
  <si>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</si>
  <si>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</si>
  <si>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</si>
  <si>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</si>
  <si>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</si>
  <si>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</si>
  <si>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</si>
  <si>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</si>
  <si>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</si>
  <si>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</si>
  <si>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</si>
  <si>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</si>
  <si>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</si>
  <si>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</si>
  <si>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</si>
  <si>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</si>
  <si>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</si>
  <si>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</si>
  <si>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</si>
  <si>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</si>
  <si>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</si>
  <si>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</si>
  <si>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</si>
  <si>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</si>
  <si>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</si>
  <si>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</si>
  <si>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</si>
  <si>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</si>
  <si>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</si>
  <si>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</si>
  <si>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</si>
  <si>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</si>
  <si>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</si>
  <si>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</si>
  <si>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</si>
  <si>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</si>
  <si>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</si>
  <si>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</si>
  <si>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</si>
  <si>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</si>
  <si>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</si>
  <si>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</si>
  <si>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</si>
  <si>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</si>
  <si>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</si>
  <si>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</si>
  <si>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</si>
  <si>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</si>
  <si>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</si>
  <si>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</si>
  <si>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</si>
  <si>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</si>
  <si>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</si>
  <si>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</si>
  <si>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</si>
  <si>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</si>
  <si>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</si>
  <si>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</si>
  <si>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</si>
  <si>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</si>
  <si>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</si>
  <si>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</si>
  <si>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</si>
  <si>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</si>
  <si>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</si>
  <si>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</si>
  <si>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</si>
  <si>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</si>
  <si>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</si>
  <si>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</si>
  <si>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</si>
  <si>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</si>
  <si>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</si>
  <si>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</si>
  <si>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</si>
  <si>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</si>
  <si>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</si>
  <si>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</si>
  <si>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</si>
  <si>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</si>
  <si>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</si>
  <si>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</si>
  <si>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</si>
  <si>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</si>
  <si>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</si>
  <si>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</si>
  <si>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</si>
  <si>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</si>
  <si>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</si>
  <si>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</si>
  <si>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</si>
  <si>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</si>
  <si>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</si>
  <si>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</si>
  <si>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</si>
  <si>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</si>
  <si>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</si>
  <si>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</si>
  <si>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</si>
  <si>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</si>
  <si>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</si>
  <si>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</si>
  <si>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</si>
  <si>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</si>
  <si>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</si>
  <si>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</si>
  <si>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</si>
  <si>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</si>
  <si>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</si>
  <si>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</si>
  <si>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</si>
  <si>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</si>
  <si>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</si>
  <si>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</si>
  <si>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</si>
  <si>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</si>
  <si>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</si>
  <si>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</si>
  <si>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</si>
  <si>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</si>
  <si>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Lufthansa</t>
  </si>
  <si>
    <t>August 2023</t>
  </si>
  <si>
    <t>ATI - 21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</si>
</sst>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/data/Finance%20Stats/Monthly%20Operations%20report/2023/MSP%20August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MSP%20May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MSP%20June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/data/Finance%20Stats/Monthly%20Operations%20report/2023/MSP%20June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/data/Finance%20Stats/Monthly%20Operations%20report/2023/MSP%20July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MSP%20July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2892978</v>
          </cell>
          <cell r="G5">
            <v>19982735</v>
          </cell>
        </row>
        <row r="6">
          <cell r="D6">
            <v>364258</v>
          </cell>
          <cell r="G6">
            <v>2725429</v>
          </cell>
        </row>
        <row r="7">
          <cell r="D7">
            <v>352</v>
          </cell>
          <cell r="G7">
            <v>3390</v>
          </cell>
        </row>
        <row r="10">
          <cell r="D10">
            <v>85803</v>
          </cell>
          <cell r="G10">
            <v>643346</v>
          </cell>
        </row>
        <row r="16">
          <cell r="D16">
            <v>20530</v>
          </cell>
          <cell r="G16">
            <v>143481</v>
          </cell>
        </row>
        <row r="17">
          <cell r="D17">
            <v>6561</v>
          </cell>
          <cell r="G17">
            <v>49846</v>
          </cell>
        </row>
        <row r="18">
          <cell r="D18">
            <v>10</v>
          </cell>
          <cell r="G18">
            <v>58</v>
          </cell>
        </row>
        <row r="19">
          <cell r="D19">
            <v>1180</v>
          </cell>
          <cell r="G19">
            <v>9248</v>
          </cell>
        </row>
        <row r="20">
          <cell r="D20">
            <v>1681</v>
          </cell>
          <cell r="G20">
            <v>11738</v>
          </cell>
        </row>
        <row r="21">
          <cell r="D21">
            <v>71</v>
          </cell>
          <cell r="G21">
            <v>426</v>
          </cell>
        </row>
        <row r="27">
          <cell r="D27">
            <v>16310.570772355321</v>
          </cell>
          <cell r="G27">
            <v>125378.09666862803</v>
          </cell>
        </row>
        <row r="28">
          <cell r="D28">
            <v>417.78850986641999</v>
          </cell>
          <cell r="G28">
            <v>7696.2636742660907</v>
          </cell>
        </row>
        <row r="32">
          <cell r="B32">
            <v>1065770</v>
          </cell>
          <cell r="D32">
            <v>7710064</v>
          </cell>
        </row>
        <row r="33">
          <cell r="B33">
            <v>550710</v>
          </cell>
          <cell r="D33">
            <v>3587136</v>
          </cell>
        </row>
      </sheetData>
      <sheetData sheetId="1"/>
      <sheetData sheetId="2"/>
      <sheetData sheetId="3"/>
      <sheetData sheetId="4"/>
      <sheetData sheetId="5">
        <row r="28">
          <cell r="D28">
            <v>261890</v>
          </cell>
          <cell r="I28">
            <v>3081501</v>
          </cell>
          <cell r="N28">
            <v>3343391</v>
          </cell>
        </row>
      </sheetData>
      <sheetData sheetId="6"/>
      <sheetData sheetId="7">
        <row r="5">
          <cell r="F5">
            <v>9468.4471134088981</v>
          </cell>
          <cell r="I5">
            <v>68911.512289843988</v>
          </cell>
        </row>
        <row r="6">
          <cell r="F6">
            <v>205.44468495935999</v>
          </cell>
          <cell r="I6">
            <v>3981.1321506987802</v>
          </cell>
        </row>
        <row r="10">
          <cell r="F10">
            <v>6842.1236589464215</v>
          </cell>
          <cell r="I10">
            <v>56466.584378784042</v>
          </cell>
        </row>
        <row r="11">
          <cell r="F11">
            <v>212.34382490706</v>
          </cell>
          <cell r="I11">
            <v>3715.1315235673096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16310.570772355319</v>
          </cell>
          <cell r="I20">
            <v>125378.09666862803</v>
          </cell>
        </row>
        <row r="21">
          <cell r="F21">
            <v>417.78850986641999</v>
          </cell>
          <cell r="I21">
            <v>7696.2636742660907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149790</v>
          </cell>
          <cell r="C24">
            <v>125929</v>
          </cell>
          <cell r="L24">
            <v>1552772</v>
          </cell>
          <cell r="M24">
            <v>1451017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122093</v>
          </cell>
          <cell r="C25">
            <v>135876</v>
          </cell>
          <cell r="L25">
            <v>1613928</v>
          </cell>
          <cell r="M25">
            <v>1587611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152808</v>
          </cell>
          <cell r="C26">
            <v>159989</v>
          </cell>
          <cell r="L26">
            <v>1775587</v>
          </cell>
          <cell r="M26">
            <v>1761688</v>
          </cell>
        </row>
      </sheetData>
      <sheetData sheetId="6"/>
      <sheetData sheetId="7">
        <row r="20">
          <cell r="I20">
            <v>92546.081527959221</v>
          </cell>
        </row>
        <row r="21">
          <cell r="I21">
            <v>2035.5470163128098</v>
          </cell>
        </row>
      </sheetData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250278</v>
          </cell>
          <cell r="I26">
            <v>3007302</v>
          </cell>
          <cell r="N26">
            <v>3257580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265615</v>
          </cell>
          <cell r="I27">
            <v>3154132</v>
          </cell>
          <cell r="N27">
            <v>3419747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18532959</v>
          </cell>
        </row>
        <row r="6">
          <cell r="G6">
            <v>2611346</v>
          </cell>
        </row>
        <row r="7">
          <cell r="G7">
            <v>1599</v>
          </cell>
        </row>
        <row r="10">
          <cell r="G10">
            <v>582435</v>
          </cell>
        </row>
        <row r="16">
          <cell r="G16">
            <v>133164</v>
          </cell>
        </row>
        <row r="17">
          <cell r="G17">
            <v>45510</v>
          </cell>
        </row>
        <row r="18">
          <cell r="G18">
            <v>18</v>
          </cell>
        </row>
        <row r="19">
          <cell r="G19">
            <v>7677</v>
          </cell>
        </row>
        <row r="20">
          <cell r="G20">
            <v>10188</v>
          </cell>
        </row>
        <row r="21">
          <cell r="G21">
            <v>572</v>
          </cell>
        </row>
        <row r="27">
          <cell r="G27">
            <v>108038.79496177015</v>
          </cell>
        </row>
        <row r="28">
          <cell r="G28">
            <v>2612.0728976149499</v>
          </cell>
        </row>
        <row r="32">
          <cell r="D32">
            <v>7353100</v>
          </cell>
        </row>
        <row r="33">
          <cell r="D33">
            <v>3186563</v>
          </cell>
        </row>
      </sheetData>
      <sheetData sheetId="1"/>
      <sheetData sheetId="2"/>
      <sheetData sheetId="3"/>
      <sheetData sheetId="4"/>
      <sheetData sheetId="5">
        <row r="27">
          <cell r="B27">
            <v>169888</v>
          </cell>
          <cell r="C27">
            <v>154468</v>
          </cell>
          <cell r="L27">
            <v>1804538</v>
          </cell>
          <cell r="M27">
            <v>1805597</v>
          </cell>
        </row>
      </sheetData>
      <sheetData sheetId="6"/>
      <sheetData sheetId="7">
        <row r="5">
          <cell r="I5">
            <v>61037.762003528231</v>
          </cell>
        </row>
        <row r="6">
          <cell r="I6">
            <v>1484.9575467272698</v>
          </cell>
        </row>
        <row r="10">
          <cell r="I10">
            <v>47001.0329582419</v>
          </cell>
        </row>
        <row r="11">
          <cell r="I11">
            <v>1127.1153508876798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5">
          <cell r="IX15">
            <v>17</v>
          </cell>
          <cell r="IY15">
            <v>30</v>
          </cell>
          <cell r="IZ15">
            <v>29</v>
          </cell>
          <cell r="JA15">
            <v>27</v>
          </cell>
        </row>
        <row r="16">
          <cell r="IX16">
            <v>17</v>
          </cell>
          <cell r="IY16">
            <v>30</v>
          </cell>
          <cell r="IZ16">
            <v>29</v>
          </cell>
          <cell r="JA16">
            <v>27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</row>
        <row r="32">
          <cell r="IX32">
            <v>3631</v>
          </cell>
          <cell r="IY32">
            <v>7984</v>
          </cell>
          <cell r="IZ32">
            <v>8767</v>
          </cell>
          <cell r="JA32">
            <v>7728</v>
          </cell>
        </row>
        <row r="33">
          <cell r="IX33">
            <v>4305</v>
          </cell>
          <cell r="IY33">
            <v>8106</v>
          </cell>
          <cell r="IZ33">
            <v>5946</v>
          </cell>
          <cell r="JA33">
            <v>5881</v>
          </cell>
        </row>
        <row r="37">
          <cell r="IX37">
            <v>19</v>
          </cell>
          <cell r="IY37">
            <v>28</v>
          </cell>
          <cell r="IZ37">
            <v>30</v>
          </cell>
          <cell r="JA37">
            <v>22</v>
          </cell>
        </row>
        <row r="38">
          <cell r="IX38">
            <v>0</v>
          </cell>
          <cell r="IY38">
            <v>0</v>
          </cell>
          <cell r="IZ38">
            <v>9</v>
          </cell>
          <cell r="JA38">
            <v>9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</row>
        <row r="47">
          <cell r="JA47">
            <v>324022</v>
          </cell>
        </row>
        <row r="52">
          <cell r="JA52">
            <v>18905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</row>
      </sheetData>
      <sheetData sheetId="5">
        <row r="4">
          <cell r="JA4">
            <v>8</v>
          </cell>
        </row>
        <row r="5">
          <cell r="JA5">
            <v>8</v>
          </cell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</row>
        <row r="22">
          <cell r="JA22">
            <v>1290</v>
          </cell>
        </row>
        <row r="23">
          <cell r="JA23">
            <v>1213</v>
          </cell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K43">
            <v>7479</v>
          </cell>
          <cell r="IL43">
            <v>8124</v>
          </cell>
          <cell r="IM43">
            <v>4809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6">
        <row r="15">
          <cell r="IW15">
            <v>1</v>
          </cell>
          <cell r="IX15">
            <v>18</v>
          </cell>
          <cell r="IY15">
            <v>17</v>
          </cell>
          <cell r="IZ15">
            <v>18</v>
          </cell>
          <cell r="JA15">
            <v>17</v>
          </cell>
        </row>
        <row r="16">
          <cell r="IW16">
            <v>1</v>
          </cell>
          <cell r="IX16">
            <v>18</v>
          </cell>
          <cell r="IY16">
            <v>17</v>
          </cell>
          <cell r="IZ16">
            <v>18</v>
          </cell>
          <cell r="JA16">
            <v>17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</row>
        <row r="32">
          <cell r="IW32">
            <v>104</v>
          </cell>
          <cell r="IX32">
            <v>3189</v>
          </cell>
          <cell r="IY32">
            <v>3904</v>
          </cell>
          <cell r="IZ32">
            <v>3064</v>
          </cell>
          <cell r="JA32">
            <v>3068</v>
          </cell>
        </row>
        <row r="33">
          <cell r="IW33">
            <v>156</v>
          </cell>
          <cell r="IX33">
            <v>4062</v>
          </cell>
          <cell r="IY33">
            <v>3869</v>
          </cell>
          <cell r="IZ33">
            <v>2552</v>
          </cell>
          <cell r="JA33">
            <v>2721</v>
          </cell>
        </row>
        <row r="37">
          <cell r="IW37">
            <v>1</v>
          </cell>
          <cell r="IX37">
            <v>28</v>
          </cell>
          <cell r="IY37">
            <v>20</v>
          </cell>
          <cell r="IZ37">
            <v>17</v>
          </cell>
          <cell r="JA37">
            <v>28</v>
          </cell>
        </row>
        <row r="38">
          <cell r="IW38">
            <v>2</v>
          </cell>
          <cell r="IX38">
            <v>33</v>
          </cell>
          <cell r="IY38">
            <v>18</v>
          </cell>
          <cell r="IZ38">
            <v>12</v>
          </cell>
          <cell r="JA38">
            <v>32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</row>
      </sheetData>
      <sheetData sheetId="7">
        <row r="4">
          <cell r="JA4">
            <v>165</v>
          </cell>
        </row>
        <row r="5">
          <cell r="JA5">
            <v>164</v>
          </cell>
        </row>
        <row r="8">
          <cell r="JA8">
            <v>0</v>
          </cell>
        </row>
        <row r="9">
          <cell r="JA9">
            <v>0</v>
          </cell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</row>
        <row r="22">
          <cell r="JA22">
            <v>22893</v>
          </cell>
        </row>
        <row r="23">
          <cell r="JA23">
            <v>21881</v>
          </cell>
        </row>
        <row r="27">
          <cell r="JA27">
            <v>804</v>
          </cell>
        </row>
        <row r="28">
          <cell r="JA28">
            <v>802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K43">
            <v>32321</v>
          </cell>
          <cell r="IL43">
            <v>37177</v>
          </cell>
          <cell r="IM43">
            <v>37308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</row>
        <row r="47">
          <cell r="JA47">
            <v>36530</v>
          </cell>
        </row>
        <row r="48">
          <cell r="JA48">
            <v>280</v>
          </cell>
        </row>
        <row r="52">
          <cell r="JA52">
            <v>13991</v>
          </cell>
        </row>
        <row r="53">
          <cell r="JA53">
            <v>0</v>
          </cell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</row>
      </sheetData>
      <sheetData sheetId="8"/>
      <sheetData sheetId="9">
        <row r="4">
          <cell r="JA4">
            <v>465</v>
          </cell>
        </row>
        <row r="5">
          <cell r="JA5">
            <v>464</v>
          </cell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</row>
        <row r="22">
          <cell r="JA22">
            <v>65910</v>
          </cell>
        </row>
        <row r="23">
          <cell r="JA23">
            <v>63116</v>
          </cell>
        </row>
        <row r="27">
          <cell r="JA27">
            <v>2007</v>
          </cell>
        </row>
        <row r="28">
          <cell r="JA28">
            <v>2387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K43">
            <v>109323</v>
          </cell>
          <cell r="IL43">
            <v>103612</v>
          </cell>
          <cell r="IM43">
            <v>120043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</row>
        <row r="47">
          <cell r="JA47">
            <v>35922</v>
          </cell>
        </row>
        <row r="48">
          <cell r="JA48">
            <v>912</v>
          </cell>
        </row>
        <row r="52">
          <cell r="JA52">
            <v>4014</v>
          </cell>
        </row>
        <row r="53">
          <cell r="JA53">
            <v>323</v>
          </cell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</row>
      </sheetData>
      <sheetData sheetId="10"/>
      <sheetData sheetId="11"/>
      <sheetData sheetId="12">
        <row r="15">
          <cell r="IX15">
            <v>7</v>
          </cell>
          <cell r="IY15">
            <v>13</v>
          </cell>
          <cell r="IZ15">
            <v>13</v>
          </cell>
          <cell r="JA15">
            <v>13</v>
          </cell>
        </row>
        <row r="16">
          <cell r="IX16">
            <v>7</v>
          </cell>
          <cell r="IY16">
            <v>13</v>
          </cell>
          <cell r="IZ16">
            <v>13</v>
          </cell>
          <cell r="JA16">
            <v>13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</row>
        <row r="32">
          <cell r="IX32">
            <v>1434</v>
          </cell>
          <cell r="IY32">
            <v>2726</v>
          </cell>
          <cell r="IZ32">
            <v>3679</v>
          </cell>
          <cell r="JA32">
            <v>3183</v>
          </cell>
        </row>
        <row r="33">
          <cell r="IX33">
            <v>1625</v>
          </cell>
          <cell r="IY33">
            <v>2800</v>
          </cell>
          <cell r="IZ33">
            <v>2065</v>
          </cell>
          <cell r="JA33">
            <v>2587</v>
          </cell>
        </row>
        <row r="37">
          <cell r="IX37">
            <v>7</v>
          </cell>
          <cell r="IY37">
            <v>13</v>
          </cell>
          <cell r="IZ37">
            <v>30</v>
          </cell>
          <cell r="JA37">
            <v>12</v>
          </cell>
        </row>
        <row r="38">
          <cell r="IX38">
            <v>5</v>
          </cell>
          <cell r="IY38">
            <v>22</v>
          </cell>
          <cell r="IZ38">
            <v>7</v>
          </cell>
          <cell r="JA38">
            <v>19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K43">
            <v>5020</v>
          </cell>
          <cell r="IL43">
            <v>6086</v>
          </cell>
          <cell r="IM43">
            <v>5387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</row>
        <row r="47">
          <cell r="JA47">
            <v>103389</v>
          </cell>
        </row>
        <row r="52">
          <cell r="JA52">
            <v>3148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</row>
      </sheetData>
      <sheetData sheetId="13">
        <row r="4">
          <cell r="JA4">
            <v>6913</v>
          </cell>
        </row>
        <row r="5">
          <cell r="JA5">
            <v>6897</v>
          </cell>
        </row>
        <row r="8">
          <cell r="JA8">
            <v>5</v>
          </cell>
        </row>
        <row r="9">
          <cell r="JA9">
            <v>22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  <cell r="IY15">
            <v>482</v>
          </cell>
          <cell r="IZ15">
            <v>503</v>
          </cell>
          <cell r="JA15">
            <v>526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  <cell r="IY16">
            <v>486</v>
          </cell>
          <cell r="IZ16">
            <v>504</v>
          </cell>
          <cell r="JA16">
            <v>522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</row>
        <row r="22">
          <cell r="JA22">
            <v>967908</v>
          </cell>
        </row>
        <row r="23">
          <cell r="JA23">
            <v>963316</v>
          </cell>
        </row>
        <row r="27">
          <cell r="JA27">
            <v>25249</v>
          </cell>
        </row>
        <row r="28">
          <cell r="JA28">
            <v>24849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  <cell r="IY32">
            <v>91301</v>
          </cell>
          <cell r="IZ32">
            <v>98723</v>
          </cell>
          <cell r="JA32">
            <v>103148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  <cell r="IY33">
            <v>94682</v>
          </cell>
          <cell r="IZ33">
            <v>91244</v>
          </cell>
          <cell r="JA33">
            <v>96197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  <cell r="IY37">
            <v>2127</v>
          </cell>
          <cell r="IZ37">
            <v>2260</v>
          </cell>
          <cell r="JA37">
            <v>2133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  <cell r="IY38">
            <v>2233</v>
          </cell>
          <cell r="IZ38">
            <v>2167</v>
          </cell>
          <cell r="JA38">
            <v>2161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K43">
            <v>1971942</v>
          </cell>
          <cell r="IL43">
            <v>2088961</v>
          </cell>
          <cell r="IM43">
            <v>2037679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</row>
        <row r="47">
          <cell r="JA47">
            <v>3431843</v>
          </cell>
        </row>
        <row r="48">
          <cell r="JA48">
            <v>70359</v>
          </cell>
        </row>
        <row r="52">
          <cell r="JA52">
            <v>2338071</v>
          </cell>
        </row>
        <row r="53">
          <cell r="JA53">
            <v>67222</v>
          </cell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</row>
        <row r="70">
          <cell r="JA70">
            <v>551256</v>
          </cell>
        </row>
        <row r="71">
          <cell r="JA71">
            <v>412060</v>
          </cell>
        </row>
        <row r="73">
          <cell r="JA73">
            <v>55049</v>
          </cell>
        </row>
        <row r="74">
          <cell r="JA74">
            <v>41148</v>
          </cell>
        </row>
      </sheetData>
      <sheetData sheetId="14">
        <row r="4">
          <cell r="JA4">
            <v>82</v>
          </cell>
        </row>
        <row r="5">
          <cell r="JA5">
            <v>82</v>
          </cell>
        </row>
        <row r="8">
          <cell r="JA8">
            <v>0</v>
          </cell>
        </row>
        <row r="9">
          <cell r="JA9">
            <v>0</v>
          </cell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</row>
        <row r="22">
          <cell r="JA22">
            <v>1048</v>
          </cell>
        </row>
        <row r="23">
          <cell r="JA23">
            <v>1083</v>
          </cell>
        </row>
        <row r="27">
          <cell r="JA27">
            <v>47</v>
          </cell>
        </row>
        <row r="28">
          <cell r="JA28">
            <v>41</v>
          </cell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K43">
            <v>1860</v>
          </cell>
          <cell r="IL43">
            <v>1887</v>
          </cell>
          <cell r="IM43">
            <v>1929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15">
        <row r="4">
          <cell r="JA4">
            <v>150</v>
          </cell>
        </row>
        <row r="5">
          <cell r="JA5">
            <v>150</v>
          </cell>
        </row>
        <row r="15">
          <cell r="IT15">
            <v>31</v>
          </cell>
          <cell r="IU15">
            <v>29</v>
          </cell>
          <cell r="IV15">
            <v>6</v>
          </cell>
        </row>
        <row r="16">
          <cell r="IT16">
            <v>31</v>
          </cell>
          <cell r="IU16">
            <v>29</v>
          </cell>
          <cell r="IV16">
            <v>6</v>
          </cell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</row>
        <row r="22">
          <cell r="JA22">
            <v>23923</v>
          </cell>
        </row>
        <row r="23">
          <cell r="JA23">
            <v>23247</v>
          </cell>
        </row>
        <row r="27">
          <cell r="JA27">
            <v>209</v>
          </cell>
        </row>
        <row r="28">
          <cell r="JA28">
            <v>161</v>
          </cell>
        </row>
        <row r="32">
          <cell r="IT32">
            <v>4420</v>
          </cell>
          <cell r="IU32">
            <v>4650</v>
          </cell>
          <cell r="IV32">
            <v>1187</v>
          </cell>
          <cell r="IZ32">
            <v>0</v>
          </cell>
        </row>
        <row r="33">
          <cell r="IT33">
            <v>3981</v>
          </cell>
          <cell r="IU33">
            <v>5072</v>
          </cell>
          <cell r="IV33">
            <v>1230</v>
          </cell>
          <cell r="IZ33">
            <v>0</v>
          </cell>
        </row>
        <row r="37">
          <cell r="IT37">
            <v>4</v>
          </cell>
          <cell r="IU37">
            <v>5</v>
          </cell>
          <cell r="IV37">
            <v>1</v>
          </cell>
        </row>
        <row r="38">
          <cell r="IT38">
            <v>4</v>
          </cell>
          <cell r="IU38">
            <v>2</v>
          </cell>
          <cell r="IV38">
            <v>0</v>
          </cell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K43">
            <v>19871</v>
          </cell>
          <cell r="IL43">
            <v>21817</v>
          </cell>
          <cell r="IM43">
            <v>21815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16">
        <row r="15">
          <cell r="IT15">
            <v>5</v>
          </cell>
          <cell r="IV15">
            <v>4</v>
          </cell>
          <cell r="IW15">
            <v>16</v>
          </cell>
          <cell r="IX15">
            <v>29</v>
          </cell>
          <cell r="IY15">
            <v>30</v>
          </cell>
          <cell r="IZ15">
            <v>31</v>
          </cell>
          <cell r="JA15">
            <v>31</v>
          </cell>
        </row>
        <row r="16">
          <cell r="IT16">
            <v>5</v>
          </cell>
          <cell r="IV16">
            <v>4</v>
          </cell>
          <cell r="IW16">
            <v>16</v>
          </cell>
          <cell r="IX16">
            <v>29</v>
          </cell>
          <cell r="IY16">
            <v>30</v>
          </cell>
          <cell r="IZ16">
            <v>31</v>
          </cell>
          <cell r="JA16">
            <v>31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</row>
        <row r="32">
          <cell r="IT32">
            <v>718</v>
          </cell>
          <cell r="IV32">
            <v>393</v>
          </cell>
          <cell r="IW32">
            <v>2156</v>
          </cell>
          <cell r="IX32">
            <v>4032</v>
          </cell>
          <cell r="IY32">
            <v>4888</v>
          </cell>
          <cell r="IZ32">
            <v>5899</v>
          </cell>
          <cell r="JA32">
            <v>6052</v>
          </cell>
        </row>
        <row r="33">
          <cell r="IT33">
            <v>430</v>
          </cell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  <cell r="IZ33">
            <v>5458</v>
          </cell>
          <cell r="JA33">
            <v>5862</v>
          </cell>
        </row>
        <row r="37">
          <cell r="IT37">
            <v>14</v>
          </cell>
          <cell r="IV37">
            <v>26</v>
          </cell>
          <cell r="IW37">
            <v>25</v>
          </cell>
          <cell r="IX37">
            <v>26</v>
          </cell>
          <cell r="IY37">
            <v>41</v>
          </cell>
          <cell r="IZ37">
            <v>24</v>
          </cell>
          <cell r="JA37">
            <v>57</v>
          </cell>
        </row>
        <row r="38">
          <cell r="IT38">
            <v>12</v>
          </cell>
          <cell r="IV38">
            <v>10</v>
          </cell>
          <cell r="IW38">
            <v>20</v>
          </cell>
          <cell r="IX38">
            <v>42</v>
          </cell>
          <cell r="IY38">
            <v>42</v>
          </cell>
          <cell r="IZ38">
            <v>41</v>
          </cell>
          <cell r="JA38">
            <v>50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K43">
            <v>12261</v>
          </cell>
          <cell r="IL43">
            <v>12438</v>
          </cell>
          <cell r="IM43">
            <v>11746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</row>
        <row r="47">
          <cell r="JA47">
            <v>238</v>
          </cell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</row>
      </sheetData>
      <sheetData sheetId="17">
        <row r="4">
          <cell r="JA4">
            <v>30</v>
          </cell>
        </row>
        <row r="5">
          <cell r="JA5">
            <v>30</v>
          </cell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</row>
        <row r="22">
          <cell r="JA22">
            <v>3920</v>
          </cell>
        </row>
        <row r="23">
          <cell r="JA23">
            <v>3777</v>
          </cell>
        </row>
        <row r="27">
          <cell r="JA27">
            <v>74</v>
          </cell>
        </row>
        <row r="28">
          <cell r="JA28">
            <v>56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K43">
            <v>11224</v>
          </cell>
          <cell r="IL43">
            <v>7693</v>
          </cell>
          <cell r="IM43">
            <v>7507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18"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  <cell r="IY15">
            <v>13</v>
          </cell>
          <cell r="IZ15">
            <v>13</v>
          </cell>
          <cell r="JA15">
            <v>13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  <cell r="IY16">
            <v>13</v>
          </cell>
          <cell r="IZ16">
            <v>13</v>
          </cell>
          <cell r="JA16">
            <v>13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  <cell r="IY32">
            <v>3686</v>
          </cell>
          <cell r="IZ32">
            <v>4105</v>
          </cell>
          <cell r="JA32">
            <v>3793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  <cell r="IY33">
            <v>3566</v>
          </cell>
          <cell r="IZ33">
            <v>3601</v>
          </cell>
          <cell r="JA33">
            <v>3570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  <cell r="IY37">
            <v>7</v>
          </cell>
          <cell r="IZ37">
            <v>9</v>
          </cell>
          <cell r="JA37">
            <v>14</v>
          </cell>
        </row>
        <row r="38">
          <cell r="IU38">
            <v>0</v>
          </cell>
          <cell r="IV38">
            <v>0</v>
          </cell>
          <cell r="IX38">
            <v>2</v>
          </cell>
          <cell r="IY38">
            <v>9</v>
          </cell>
          <cell r="IZ38">
            <v>9</v>
          </cell>
          <cell r="JA38">
            <v>0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K43">
            <v>9214</v>
          </cell>
          <cell r="IL43">
            <v>8016</v>
          </cell>
          <cell r="IM43">
            <v>7121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</row>
        <row r="47">
          <cell r="JA47">
            <v>268472</v>
          </cell>
        </row>
        <row r="52">
          <cell r="JA52">
            <v>37809</v>
          </cell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</row>
      </sheetData>
      <sheetData sheetId="19"/>
      <sheetData sheetId="20"/>
      <sheetData sheetId="21"/>
      <sheetData sheetId="22">
        <row r="15">
          <cell r="IY15">
            <v>19</v>
          </cell>
          <cell r="IZ15">
            <v>22</v>
          </cell>
          <cell r="JA15">
            <v>21</v>
          </cell>
        </row>
        <row r="16">
          <cell r="IY16">
            <v>19</v>
          </cell>
          <cell r="IZ16">
            <v>22</v>
          </cell>
          <cell r="JA16">
            <v>21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</row>
        <row r="32">
          <cell r="IY32">
            <v>4006</v>
          </cell>
          <cell r="IZ32">
            <v>6252</v>
          </cell>
          <cell r="JA32">
            <v>5934</v>
          </cell>
        </row>
        <row r="33">
          <cell r="IY33">
            <v>4535</v>
          </cell>
          <cell r="IZ33">
            <v>5345</v>
          </cell>
          <cell r="JA33">
            <v>4719</v>
          </cell>
        </row>
        <row r="37">
          <cell r="IY37">
            <v>49</v>
          </cell>
          <cell r="IZ37">
            <v>77</v>
          </cell>
          <cell r="JA37">
            <v>93</v>
          </cell>
        </row>
        <row r="38">
          <cell r="IY38">
            <v>52</v>
          </cell>
          <cell r="IZ38">
            <v>58</v>
          </cell>
          <cell r="JA38">
            <v>113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</row>
        <row r="47">
          <cell r="JA47">
            <v>358643</v>
          </cell>
        </row>
        <row r="52">
          <cell r="JA52">
            <v>25710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</row>
      </sheetData>
      <sheetData sheetId="23">
        <row r="4">
          <cell r="JA4">
            <v>617</v>
          </cell>
        </row>
        <row r="5">
          <cell r="JA5">
            <v>615</v>
          </cell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</row>
        <row r="22">
          <cell r="JA22">
            <v>80027</v>
          </cell>
        </row>
        <row r="23">
          <cell r="JA23">
            <v>79988</v>
          </cell>
        </row>
        <row r="27">
          <cell r="JA27">
            <v>2079</v>
          </cell>
        </row>
        <row r="28">
          <cell r="JA28">
            <v>2184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K43">
            <v>160739</v>
          </cell>
          <cell r="IL43">
            <v>168276</v>
          </cell>
          <cell r="IM43">
            <v>169457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</row>
        <row r="47">
          <cell r="JA47">
            <v>199359</v>
          </cell>
        </row>
        <row r="52">
          <cell r="JA52">
            <v>38378</v>
          </cell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</row>
        <row r="70">
          <cell r="JA70">
            <v>79728</v>
          </cell>
        </row>
        <row r="71">
          <cell r="JA71">
            <v>260</v>
          </cell>
        </row>
      </sheetData>
      <sheetData sheetId="24">
        <row r="4">
          <cell r="JA4">
            <v>99</v>
          </cell>
        </row>
        <row r="5">
          <cell r="JA5">
            <v>99</v>
          </cell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</row>
        <row r="22">
          <cell r="JA22">
            <v>15104</v>
          </cell>
        </row>
        <row r="23">
          <cell r="JA23">
            <v>14869</v>
          </cell>
        </row>
        <row r="27">
          <cell r="JA27">
            <v>140</v>
          </cell>
        </row>
        <row r="28">
          <cell r="JA28">
            <v>158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K43">
            <v>33698</v>
          </cell>
          <cell r="IL43">
            <v>32105</v>
          </cell>
          <cell r="IM43">
            <v>33380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25">
        <row r="4">
          <cell r="JA4">
            <v>1194</v>
          </cell>
        </row>
        <row r="5">
          <cell r="JA5">
            <v>1197</v>
          </cell>
        </row>
        <row r="8">
          <cell r="JA8">
            <v>39</v>
          </cell>
        </row>
        <row r="9">
          <cell r="JA9">
            <v>57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  <cell r="IY15">
            <v>41</v>
          </cell>
          <cell r="IZ15">
            <v>48</v>
          </cell>
          <cell r="JA15">
            <v>51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  <cell r="IY16">
            <v>27</v>
          </cell>
          <cell r="IZ16">
            <v>53</v>
          </cell>
          <cell r="JA16">
            <v>48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</row>
        <row r="22">
          <cell r="JA22">
            <v>184064</v>
          </cell>
        </row>
        <row r="23">
          <cell r="JA23">
            <v>182352</v>
          </cell>
        </row>
        <row r="27">
          <cell r="JA27">
            <v>3143</v>
          </cell>
        </row>
        <row r="28">
          <cell r="JA28">
            <v>3381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  <cell r="IY32">
            <v>4654</v>
          </cell>
          <cell r="IZ32">
            <v>5730</v>
          </cell>
          <cell r="JA32">
            <v>5213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  <cell r="IZ33">
            <v>6229</v>
          </cell>
          <cell r="JA33">
            <v>5487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  <cell r="IY37">
            <v>114</v>
          </cell>
          <cell r="IZ37">
            <v>97</v>
          </cell>
          <cell r="JA37">
            <v>81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  <cell r="IZ38">
            <v>107</v>
          </cell>
          <cell r="JA38">
            <v>107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K43">
            <v>353020</v>
          </cell>
          <cell r="IL43">
            <v>401646</v>
          </cell>
          <cell r="IM43">
            <v>353546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  <row r="70">
          <cell r="JA70">
            <v>182352</v>
          </cell>
        </row>
        <row r="73">
          <cell r="JA73">
            <v>5487</v>
          </cell>
        </row>
      </sheetData>
      <sheetData sheetId="26"/>
      <sheetData sheetId="27"/>
      <sheetData sheetId="28">
        <row r="4">
          <cell r="JA4">
            <v>512</v>
          </cell>
        </row>
        <row r="5">
          <cell r="JA5">
            <v>511</v>
          </cell>
        </row>
        <row r="8">
          <cell r="JA8">
            <v>7</v>
          </cell>
        </row>
        <row r="9">
          <cell r="JA9">
            <v>7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</row>
        <row r="22">
          <cell r="JA22">
            <v>70769</v>
          </cell>
        </row>
        <row r="23">
          <cell r="JA23">
            <v>67414</v>
          </cell>
        </row>
        <row r="27">
          <cell r="JA27">
            <v>2387</v>
          </cell>
        </row>
        <row r="28">
          <cell r="JA28">
            <v>2615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K43">
            <v>125580</v>
          </cell>
          <cell r="IL43">
            <v>140752</v>
          </cell>
          <cell r="IM43">
            <v>148583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</row>
        <row r="47">
          <cell r="JA47">
            <v>73682</v>
          </cell>
        </row>
        <row r="48">
          <cell r="JA48">
            <v>0</v>
          </cell>
        </row>
        <row r="52">
          <cell r="JA52">
            <v>57960</v>
          </cell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</row>
      </sheetData>
      <sheetData sheetId="29"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  <cell r="IY15">
            <v>104</v>
          </cell>
          <cell r="IZ15">
            <v>113</v>
          </cell>
          <cell r="JA15">
            <v>111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  <cell r="IY16">
            <v>104</v>
          </cell>
          <cell r="IZ16">
            <v>113</v>
          </cell>
          <cell r="JA16">
            <v>111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  <cell r="IY32">
            <v>9230</v>
          </cell>
          <cell r="IZ32">
            <v>11845</v>
          </cell>
          <cell r="JA32">
            <v>11832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  <cell r="IZ33">
            <v>11403</v>
          </cell>
          <cell r="JA33">
            <v>12070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  <cell r="IY37">
            <v>1</v>
          </cell>
          <cell r="IZ37">
            <v>1</v>
          </cell>
          <cell r="JA37">
            <v>1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  <cell r="IZ38">
            <v>0</v>
          </cell>
          <cell r="JA38">
            <v>1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6283</v>
          </cell>
          <cell r="IL43">
            <v>8938</v>
          </cell>
          <cell r="IM43">
            <v>9295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31">
        <row r="4">
          <cell r="JA4">
            <v>116</v>
          </cell>
        </row>
        <row r="5">
          <cell r="JA5">
            <v>115</v>
          </cell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</row>
        <row r="22">
          <cell r="JA22">
            <v>6683</v>
          </cell>
        </row>
        <row r="23">
          <cell r="JA23">
            <v>7205</v>
          </cell>
        </row>
        <row r="27">
          <cell r="JA27">
            <v>401</v>
          </cell>
        </row>
        <row r="28">
          <cell r="JA28">
            <v>242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K43">
            <v>4675</v>
          </cell>
          <cell r="IL43">
            <v>11026</v>
          </cell>
          <cell r="IM43">
            <v>6410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</row>
        <row r="47">
          <cell r="JA47">
            <v>685</v>
          </cell>
        </row>
        <row r="52">
          <cell r="JA52">
            <v>575</v>
          </cell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</row>
      </sheetData>
      <sheetData sheetId="32"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K43">
            <v>8215</v>
          </cell>
          <cell r="IL43">
            <v>7509</v>
          </cell>
          <cell r="IM43">
            <v>8239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44">
        <row r="4">
          <cell r="JA4">
            <v>11</v>
          </cell>
        </row>
        <row r="5">
          <cell r="JA5">
            <v>11</v>
          </cell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</row>
        <row r="22">
          <cell r="JA22">
            <v>718</v>
          </cell>
        </row>
        <row r="23">
          <cell r="JA23">
            <v>703</v>
          </cell>
        </row>
        <row r="27">
          <cell r="JA27">
            <v>24</v>
          </cell>
        </row>
        <row r="28">
          <cell r="JA28">
            <v>25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K43">
            <v>0</v>
          </cell>
          <cell r="IL43">
            <v>159</v>
          </cell>
          <cell r="IM43">
            <v>0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45"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  <cell r="IY15">
            <v>145</v>
          </cell>
          <cell r="IZ15">
            <v>148</v>
          </cell>
          <cell r="JA15">
            <v>142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  <cell r="IY16">
            <v>146</v>
          </cell>
          <cell r="IZ16">
            <v>149</v>
          </cell>
          <cell r="JA16">
            <v>142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  <cell r="IY32">
            <v>8439</v>
          </cell>
          <cell r="IZ32">
            <v>9539</v>
          </cell>
          <cell r="JA32">
            <v>8837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  <cell r="IZ33">
            <v>8585</v>
          </cell>
          <cell r="JA33">
            <v>8010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  <cell r="IY37">
            <v>108</v>
          </cell>
          <cell r="IZ37">
            <v>126</v>
          </cell>
          <cell r="JA37">
            <v>185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  <cell r="IZ38">
            <v>123</v>
          </cell>
          <cell r="JA38">
            <v>163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K43">
            <v>17219</v>
          </cell>
          <cell r="IL43">
            <v>14697</v>
          </cell>
          <cell r="IM43">
            <v>15278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</row>
        <row r="47">
          <cell r="JA47">
            <v>160.4</v>
          </cell>
        </row>
        <row r="52">
          <cell r="JA52">
            <v>472.4</v>
          </cell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</row>
      </sheetData>
      <sheetData sheetId="46">
        <row r="4">
          <cell r="JA4">
            <v>110</v>
          </cell>
        </row>
        <row r="5">
          <cell r="JA5">
            <v>110</v>
          </cell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</row>
        <row r="22">
          <cell r="JA22">
            <v>7376</v>
          </cell>
        </row>
        <row r="23">
          <cell r="JA23">
            <v>7225</v>
          </cell>
        </row>
        <row r="27">
          <cell r="JA27">
            <v>251</v>
          </cell>
        </row>
        <row r="28">
          <cell r="JA28">
            <v>251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K43">
            <v>12521</v>
          </cell>
          <cell r="IL43">
            <v>10228</v>
          </cell>
          <cell r="IM43">
            <v>11004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47"/>
      <sheetData sheetId="48"/>
      <sheetData sheetId="49">
        <row r="4">
          <cell r="JA4">
            <v>618</v>
          </cell>
        </row>
        <row r="5">
          <cell r="JA5">
            <v>619</v>
          </cell>
        </row>
        <row r="8">
          <cell r="JA8">
            <v>0</v>
          </cell>
        </row>
        <row r="9">
          <cell r="JA9">
            <v>1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  <cell r="IY15">
            <v>85</v>
          </cell>
          <cell r="IZ15">
            <v>80</v>
          </cell>
          <cell r="JA15">
            <v>26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  <cell r="IY16">
            <v>85</v>
          </cell>
          <cell r="IZ16">
            <v>81</v>
          </cell>
          <cell r="JA16">
            <v>25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</row>
        <row r="22">
          <cell r="JA22">
            <v>40085</v>
          </cell>
        </row>
        <row r="23">
          <cell r="JA23">
            <v>40506</v>
          </cell>
        </row>
        <row r="27">
          <cell r="JA27">
            <v>955</v>
          </cell>
        </row>
        <row r="28">
          <cell r="JA28">
            <v>958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  <cell r="IY32">
            <v>5473</v>
          </cell>
          <cell r="IZ32">
            <v>5591</v>
          </cell>
          <cell r="JA32">
            <v>1814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  <cell r="IY33">
            <v>5871</v>
          </cell>
          <cell r="IZ33">
            <v>5338</v>
          </cell>
          <cell r="JA33">
            <v>1742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  <cell r="IY37">
            <v>118</v>
          </cell>
          <cell r="IZ37">
            <v>132</v>
          </cell>
          <cell r="JA37">
            <v>14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  <cell r="IY38">
            <v>156</v>
          </cell>
          <cell r="IZ38">
            <v>146</v>
          </cell>
          <cell r="JA38">
            <v>34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K43">
            <v>96224</v>
          </cell>
          <cell r="IL43">
            <v>107151</v>
          </cell>
          <cell r="IM43">
            <v>102348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  <row r="70">
          <cell r="JA70">
            <v>12442</v>
          </cell>
        </row>
        <row r="71">
          <cell r="JA71">
            <v>28064</v>
          </cell>
        </row>
        <row r="73">
          <cell r="JA73">
            <v>535</v>
          </cell>
        </row>
        <row r="74">
          <cell r="JA74">
            <v>1207</v>
          </cell>
        </row>
      </sheetData>
      <sheetData sheetId="50">
        <row r="4">
          <cell r="JA4">
            <v>57</v>
          </cell>
        </row>
        <row r="5">
          <cell r="JA5">
            <v>58</v>
          </cell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</row>
        <row r="22">
          <cell r="JA22">
            <v>3577</v>
          </cell>
        </row>
        <row r="23">
          <cell r="JA23">
            <v>3345</v>
          </cell>
        </row>
        <row r="27">
          <cell r="JA27">
            <v>63</v>
          </cell>
        </row>
        <row r="28">
          <cell r="JA28">
            <v>73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K43">
            <v>3827</v>
          </cell>
          <cell r="IL43">
            <v>3923</v>
          </cell>
          <cell r="IM43">
            <v>4397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</row>
        <row r="47">
          <cell r="JA47">
            <v>5</v>
          </cell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</row>
      </sheetData>
      <sheetData sheetId="51">
        <row r="4">
          <cell r="JA4">
            <v>48</v>
          </cell>
        </row>
        <row r="5">
          <cell r="JA5">
            <v>47</v>
          </cell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</row>
        <row r="22">
          <cell r="JA22">
            <v>3377</v>
          </cell>
        </row>
        <row r="23">
          <cell r="JA23">
            <v>3420</v>
          </cell>
        </row>
        <row r="27">
          <cell r="JA27">
            <v>71</v>
          </cell>
        </row>
        <row r="28">
          <cell r="JA28">
            <v>68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K43">
            <v>6836</v>
          </cell>
          <cell r="IL43">
            <v>9440</v>
          </cell>
          <cell r="IM43">
            <v>8029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</row>
        <row r="47">
          <cell r="JA47">
            <v>2746</v>
          </cell>
        </row>
        <row r="52">
          <cell r="JA52">
            <v>100</v>
          </cell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</row>
      </sheetData>
      <sheetData sheetId="52">
        <row r="4">
          <cell r="JA4">
            <v>15</v>
          </cell>
        </row>
        <row r="5">
          <cell r="JA5">
            <v>15</v>
          </cell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</row>
        <row r="22">
          <cell r="JA22">
            <v>1007</v>
          </cell>
        </row>
        <row r="23">
          <cell r="JA23">
            <v>992</v>
          </cell>
        </row>
        <row r="27">
          <cell r="JA27">
            <v>24</v>
          </cell>
        </row>
        <row r="28">
          <cell r="JA28">
            <v>21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K43">
            <v>277</v>
          </cell>
          <cell r="IL43">
            <v>136</v>
          </cell>
          <cell r="IM43">
            <v>140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53"/>
      <sheetData sheetId="54">
        <row r="4">
          <cell r="JA4">
            <v>1964</v>
          </cell>
        </row>
        <row r="5">
          <cell r="JA5">
            <v>1963</v>
          </cell>
        </row>
        <row r="8">
          <cell r="JA8">
            <v>0</v>
          </cell>
        </row>
        <row r="9">
          <cell r="JA9">
            <v>2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  <cell r="IY15">
            <v>61</v>
          </cell>
          <cell r="IZ15">
            <v>54</v>
          </cell>
          <cell r="JA15">
            <v>113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  <cell r="IY16">
            <v>59</v>
          </cell>
          <cell r="IZ16">
            <v>54</v>
          </cell>
          <cell r="JA16">
            <v>114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</row>
        <row r="22">
          <cell r="JA22">
            <v>111948</v>
          </cell>
        </row>
        <row r="23">
          <cell r="JA23">
            <v>110537</v>
          </cell>
        </row>
        <row r="27">
          <cell r="JA27">
            <v>2260</v>
          </cell>
        </row>
        <row r="28">
          <cell r="JA28">
            <v>3434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  <cell r="IY32">
            <v>3854</v>
          </cell>
          <cell r="IZ32">
            <v>3645</v>
          </cell>
          <cell r="JA32">
            <v>7873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  <cell r="IY33">
            <v>3997</v>
          </cell>
          <cell r="IZ33">
            <v>3534</v>
          </cell>
          <cell r="JA33">
            <v>7877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  <cell r="IY37">
            <v>37</v>
          </cell>
          <cell r="IZ37">
            <v>49</v>
          </cell>
          <cell r="JA37">
            <v>123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  <cell r="IY38">
            <v>37</v>
          </cell>
          <cell r="IZ38">
            <v>47</v>
          </cell>
          <cell r="JA38">
            <v>124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K43">
            <v>247260</v>
          </cell>
          <cell r="IL43">
            <v>206882</v>
          </cell>
          <cell r="IM43">
            <v>217589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  <row r="70">
          <cell r="JA70">
            <v>32936</v>
          </cell>
        </row>
        <row r="71">
          <cell r="JA71">
            <v>77601</v>
          </cell>
        </row>
        <row r="73">
          <cell r="JA73">
            <v>2347</v>
          </cell>
        </row>
        <row r="74">
          <cell r="JA74">
            <v>5530</v>
          </cell>
        </row>
      </sheetData>
      <sheetData sheetId="55"/>
      <sheetData sheetId="56">
        <row r="4">
          <cell r="JA4">
            <v>1</v>
          </cell>
        </row>
        <row r="5">
          <cell r="JA5">
            <v>1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</row>
        <row r="22">
          <cell r="JA22">
            <v>0</v>
          </cell>
        </row>
        <row r="23">
          <cell r="JA23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</row>
      </sheetData>
      <sheetData sheetId="57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32">
          <cell r="IV32">
            <v>0</v>
          </cell>
        </row>
        <row r="33">
          <cell r="IV33">
            <v>201</v>
          </cell>
        </row>
      </sheetData>
      <sheetData sheetId="67">
        <row r="15">
          <cell r="IU15">
            <v>2</v>
          </cell>
          <cell r="IV15">
            <v>1</v>
          </cell>
          <cell r="IZ15">
            <v>3</v>
          </cell>
        </row>
        <row r="16">
          <cell r="IZ16">
            <v>1</v>
          </cell>
        </row>
        <row r="32">
          <cell r="IU32">
            <v>240</v>
          </cell>
          <cell r="IZ32">
            <v>197</v>
          </cell>
        </row>
        <row r="33">
          <cell r="IZ33">
            <v>442</v>
          </cell>
        </row>
      </sheetData>
      <sheetData sheetId="68">
        <row r="4">
          <cell r="JA4">
            <v>1</v>
          </cell>
        </row>
        <row r="5">
          <cell r="JA5">
            <v>1</v>
          </cell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</row>
        <row r="47">
          <cell r="JA47">
            <v>86623</v>
          </cell>
        </row>
        <row r="52">
          <cell r="JA52">
            <v>44019</v>
          </cell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</row>
      </sheetData>
      <sheetData sheetId="69">
        <row r="4">
          <cell r="JA4">
            <v>80</v>
          </cell>
        </row>
        <row r="5">
          <cell r="JA5">
            <v>80</v>
          </cell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</row>
        <row r="47">
          <cell r="JA47">
            <v>1828794</v>
          </cell>
        </row>
        <row r="52">
          <cell r="JA52">
            <v>1731271</v>
          </cell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</row>
      </sheetData>
      <sheetData sheetId="70"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</row>
      </sheetData>
      <sheetData sheetId="71">
        <row r="4">
          <cell r="JA4">
            <v>22</v>
          </cell>
        </row>
        <row r="5">
          <cell r="JA5">
            <v>22</v>
          </cell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</row>
        <row r="47">
          <cell r="JA47">
            <v>838654</v>
          </cell>
        </row>
        <row r="52">
          <cell r="JA52">
            <v>595533</v>
          </cell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73"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74">
        <row r="4">
          <cell r="JA4">
            <v>40</v>
          </cell>
        </row>
        <row r="5">
          <cell r="JA5">
            <v>40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</row>
        <row r="47">
          <cell r="JA47">
            <v>45248</v>
          </cell>
        </row>
        <row r="52">
          <cell r="JA52">
            <v>41143</v>
          </cell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</row>
      </sheetData>
      <sheetData sheetId="75">
        <row r="12">
          <cell r="JA12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76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77"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78"/>
      <sheetData sheetId="79"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81"/>
      <sheetData sheetId="82">
        <row r="4">
          <cell r="JA4">
            <v>90</v>
          </cell>
        </row>
        <row r="5">
          <cell r="JA5">
            <v>90</v>
          </cell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</row>
        <row r="47">
          <cell r="JA47">
            <v>7086459</v>
          </cell>
        </row>
        <row r="52">
          <cell r="JA52">
            <v>6335804</v>
          </cell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</row>
      </sheetData>
      <sheetData sheetId="83">
        <row r="4">
          <cell r="JA4">
            <v>23</v>
          </cell>
        </row>
        <row r="5">
          <cell r="JA5">
            <v>23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</row>
        <row r="48">
          <cell r="JA48">
            <v>53499</v>
          </cell>
        </row>
        <row r="53">
          <cell r="JA53">
            <v>121128</v>
          </cell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</row>
      </sheetData>
      <sheetData sheetId="84">
        <row r="4">
          <cell r="JA4">
            <v>17</v>
          </cell>
        </row>
        <row r="5">
          <cell r="JA5">
            <v>17</v>
          </cell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</row>
        <row r="47">
          <cell r="JA47">
            <v>43351</v>
          </cell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</row>
      </sheetData>
      <sheetData sheetId="85">
        <row r="4">
          <cell r="JA4">
            <v>110</v>
          </cell>
        </row>
        <row r="5">
          <cell r="JA5">
            <v>92</v>
          </cell>
        </row>
        <row r="16">
          <cell r="JA16">
            <v>18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</row>
        <row r="47">
          <cell r="JA47">
            <v>5428341</v>
          </cell>
        </row>
        <row r="48">
          <cell r="JA48">
            <v>999693</v>
          </cell>
        </row>
        <row r="52">
          <cell r="JA52">
            <v>4026042</v>
          </cell>
        </row>
        <row r="53">
          <cell r="JA53">
            <v>714152</v>
          </cell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</row>
      </sheetData>
      <sheetData sheetId="86"/>
      <sheetData sheetId="87"/>
      <sheetData sheetId="88"/>
      <sheetData sheetId="89">
        <row r="4">
          <cell r="JA4">
            <v>168</v>
          </cell>
        </row>
        <row r="5">
          <cell r="JA5">
            <v>168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91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</row>
      </sheetData>
      <sheetData sheetId="92">
        <row r="4">
          <cell r="JA4">
            <v>49</v>
          </cell>
        </row>
        <row r="5">
          <cell r="JA5">
            <v>48</v>
          </cell>
        </row>
      </sheetData>
      <sheetData sheetId="93">
        <row r="4">
          <cell r="JA4">
            <v>834</v>
          </cell>
        </row>
        <row r="5">
          <cell r="JA5">
            <v>834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K20" sqref="K20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10.14062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83" bestFit="1" customWidth="1"/>
  </cols>
  <sheetData>
    <row r="1" spans="1:18" hidden="1" x14ac:dyDescent="0.2"/>
    <row r="2" spans="1:18" ht="12.75" customHeight="1" x14ac:dyDescent="0.2">
      <c r="A2" s="388">
        <v>45505</v>
      </c>
      <c r="B2" s="10"/>
      <c r="C2" s="10"/>
      <c r="D2" s="458" t="s">
        <v>236</v>
      </c>
      <c r="E2" s="458" t="s">
        <v>217</v>
      </c>
      <c r="F2" s="5"/>
      <c r="G2" s="5"/>
      <c r="H2" s="5"/>
      <c r="I2" s="5"/>
      <c r="J2" s="5"/>
    </row>
    <row r="3" spans="1:18" ht="13.5" thickBot="1" x14ac:dyDescent="0.25">
      <c r="A3" s="277"/>
      <c r="B3" s="5" t="s">
        <v>0</v>
      </c>
      <c r="C3" s="5" t="s">
        <v>1</v>
      </c>
      <c r="D3" s="459"/>
      <c r="E3" s="460"/>
      <c r="F3" s="5" t="s">
        <v>2</v>
      </c>
      <c r="G3" s="5" t="s">
        <v>237</v>
      </c>
      <c r="H3" s="5" t="s">
        <v>218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Stats'!L4</f>
        <v>1586807</v>
      </c>
      <c r="C5" s="10">
        <f>'Major Airline Stats'!L5</f>
        <v>1561350</v>
      </c>
      <c r="D5" s="2">
        <f>'Major Airline Stats'!L6</f>
        <v>3148157</v>
      </c>
      <c r="E5" s="2">
        <f>'[1]Monthly Summary'!D5</f>
        <v>2892978</v>
      </c>
      <c r="F5" s="3">
        <f>(D5-E5)/E5</f>
        <v>8.8206339626502511E-2</v>
      </c>
      <c r="G5" s="2">
        <f>'[2]Monthly Summary'!G5+D5</f>
        <v>21681116</v>
      </c>
      <c r="H5" s="2">
        <f>'[1]Monthly Summary'!G5</f>
        <v>19982735</v>
      </c>
      <c r="I5" s="63">
        <f>(G5-H5)/H5</f>
        <v>8.4992419706311467E-2</v>
      </c>
      <c r="J5" s="2"/>
    </row>
    <row r="6" spans="1:18" x14ac:dyDescent="0.2">
      <c r="A6" s="48" t="s">
        <v>5</v>
      </c>
      <c r="B6" s="209">
        <f>'Regional Major'!M5</f>
        <v>193295</v>
      </c>
      <c r="C6" s="209">
        <f>'Regional Major'!M6</f>
        <v>191562</v>
      </c>
      <c r="D6" s="2">
        <f>B6+C6</f>
        <v>384857</v>
      </c>
      <c r="E6" s="2">
        <f>'[1]Monthly Summary'!D6</f>
        <v>364258</v>
      </c>
      <c r="F6" s="3">
        <f>(D6-E6)/E6</f>
        <v>5.6550576788979241E-2</v>
      </c>
      <c r="G6" s="2">
        <f>'[2]Monthly Summary'!G6+D6</f>
        <v>2996203</v>
      </c>
      <c r="H6" s="2">
        <f>'[1]Monthly Summary'!G6</f>
        <v>2725429</v>
      </c>
      <c r="I6" s="63">
        <f>(G6-H6)/H6</f>
        <v>9.9350964563743913E-2</v>
      </c>
      <c r="K6" s="2"/>
    </row>
    <row r="7" spans="1:18" x14ac:dyDescent="0.2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352</v>
      </c>
      <c r="F7" s="3">
        <f>(D7-E7)/E7</f>
        <v>-1</v>
      </c>
      <c r="G7" s="2">
        <f>'[2]Monthly Summary'!G7+D7</f>
        <v>1599</v>
      </c>
      <c r="H7" s="2">
        <f>'[1]Monthly Summary'!G7</f>
        <v>3390</v>
      </c>
      <c r="I7" s="63">
        <f>(G7-H7)/H7</f>
        <v>-0.52831858407079646</v>
      </c>
      <c r="K7" s="2"/>
    </row>
    <row r="8" spans="1:18" x14ac:dyDescent="0.2">
      <c r="A8" s="50" t="s">
        <v>7</v>
      </c>
      <c r="B8" s="113">
        <f>SUM(B5:B7)</f>
        <v>1780102</v>
      </c>
      <c r="C8" s="113">
        <f>SUM(C5:C7)</f>
        <v>1752912</v>
      </c>
      <c r="D8" s="113">
        <f>SUM(D5:D7)</f>
        <v>3533014</v>
      </c>
      <c r="E8" s="113">
        <f>SUM(E5:E7)</f>
        <v>3257588</v>
      </c>
      <c r="F8" s="69">
        <f>(D8-E8)/E8</f>
        <v>8.4549058997024792E-2</v>
      </c>
      <c r="G8" s="113">
        <f>SUM(G5:G7)</f>
        <v>24678918</v>
      </c>
      <c r="H8" s="113">
        <f>SUM(H5:H7)</f>
        <v>22711554</v>
      </c>
      <c r="I8" s="68">
        <f>(G8-H8)/H8</f>
        <v>8.6623927187016794E-2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7"/>
    </row>
    <row r="10" spans="1:18" x14ac:dyDescent="0.2">
      <c r="A10" s="48" t="s">
        <v>8</v>
      </c>
      <c r="B10" s="436">
        <f>'Major Airline Stats'!L9+'Regional Major'!M10</f>
        <v>42951</v>
      </c>
      <c r="C10" s="437">
        <f>'Major Airline Stats'!L10+'Regional Major'!M11</f>
        <v>44519</v>
      </c>
      <c r="D10" s="438">
        <f>SUM(B10:C10)</f>
        <v>87470</v>
      </c>
      <c r="E10" s="394">
        <f>'[1]Monthly Summary'!D10</f>
        <v>85803</v>
      </c>
      <c r="F10" s="439">
        <f>(D10-E10)/E10</f>
        <v>1.9428225120333788E-2</v>
      </c>
      <c r="G10" s="394">
        <f>'[2]Monthly Summary'!G10+D10</f>
        <v>669905</v>
      </c>
      <c r="H10" s="394">
        <f>'[1]Monthly Summary'!G10</f>
        <v>643346</v>
      </c>
      <c r="I10" s="440">
        <f>(G10-H10)/H10</f>
        <v>4.1282606870952802E-2</v>
      </c>
      <c r="J10" s="163"/>
    </row>
    <row r="11" spans="1:18" ht="15.75" thickBot="1" x14ac:dyDescent="0.3">
      <c r="A11" s="49" t="s">
        <v>13</v>
      </c>
      <c r="B11" s="189">
        <f>B10+B8</f>
        <v>1823053</v>
      </c>
      <c r="C11" s="189">
        <f>C10+C8</f>
        <v>1797431</v>
      </c>
      <c r="D11" s="189">
        <f>D10+D8</f>
        <v>3620484</v>
      </c>
      <c r="E11" s="189">
        <f>E10+E8</f>
        <v>3343391</v>
      </c>
      <c r="F11" s="70">
        <f>(D11-E11)/E11</f>
        <v>8.2877832715347974E-2</v>
      </c>
      <c r="G11" s="189">
        <f>G8+G10</f>
        <v>25348823</v>
      </c>
      <c r="H11" s="189">
        <f>H8+H10</f>
        <v>23354900</v>
      </c>
      <c r="I11" s="72">
        <f>(G11-H11)/H11</f>
        <v>8.5374932027112077E-2</v>
      </c>
      <c r="N11" s="427"/>
      <c r="Q11" s="427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  <c r="Q12" s="427"/>
    </row>
    <row r="13" spans="1:18" ht="16.5" customHeight="1" x14ac:dyDescent="0.2">
      <c r="B13" s="10"/>
      <c r="C13" s="10"/>
      <c r="D13" s="458" t="s">
        <v>236</v>
      </c>
      <c r="E13" s="458" t="s">
        <v>217</v>
      </c>
      <c r="F13" s="5"/>
      <c r="G13" s="5"/>
      <c r="H13" s="5"/>
      <c r="I13" s="5"/>
      <c r="Q13" s="427"/>
    </row>
    <row r="14" spans="1:18" ht="13.5" thickBot="1" x14ac:dyDescent="0.25">
      <c r="A14" s="9"/>
      <c r="B14" s="5" t="s">
        <v>248</v>
      </c>
      <c r="C14" s="5" t="s">
        <v>249</v>
      </c>
      <c r="D14" s="459"/>
      <c r="E14" s="460"/>
      <c r="F14" s="5" t="s">
        <v>2</v>
      </c>
      <c r="G14" s="5" t="s">
        <v>237</v>
      </c>
      <c r="H14" s="5" t="s">
        <v>218</v>
      </c>
      <c r="I14" s="5" t="s">
        <v>2</v>
      </c>
      <c r="N14" s="332"/>
      <c r="Q14" s="427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  <c r="Q15" s="427"/>
      <c r="R15" s="222"/>
    </row>
    <row r="16" spans="1:18" x14ac:dyDescent="0.2">
      <c r="A16" s="48" t="s">
        <v>4</v>
      </c>
      <c r="B16" s="218">
        <f>'Major Airline Stats'!L15+'Major Airline Stats'!L19</f>
        <v>11096</v>
      </c>
      <c r="C16" s="218">
        <f>'Major Airline Stats'!L16+'Major Airline Stats'!L20</f>
        <v>11106</v>
      </c>
      <c r="D16" s="30">
        <f>SUM(B16:C16)</f>
        <v>22202</v>
      </c>
      <c r="E16" s="2">
        <f>'[1]Monthly Summary'!D16</f>
        <v>20530</v>
      </c>
      <c r="F16" s="71">
        <f t="shared" ref="F16:F22" si="0">(D16-E16)/E16</f>
        <v>8.1441792498782264E-2</v>
      </c>
      <c r="G16" s="2">
        <f>'[2]Monthly Summary'!G16+D16</f>
        <v>155366</v>
      </c>
      <c r="H16" s="2">
        <f>'[1]Monthly Summary'!G16</f>
        <v>143481</v>
      </c>
      <c r="I16" s="185">
        <f t="shared" ref="I16:I22" si="1">(G16-H16)/H16</f>
        <v>8.2833267122476142E-2</v>
      </c>
      <c r="N16" s="332"/>
      <c r="Q16" s="427"/>
    </row>
    <row r="17" spans="1:17" x14ac:dyDescent="0.2">
      <c r="A17" s="48" t="s">
        <v>5</v>
      </c>
      <c r="B17" s="30">
        <f>'Regional Major'!M15+'Regional Major'!M18</f>
        <v>3221</v>
      </c>
      <c r="C17" s="30">
        <f>'Regional Major'!M16+'Regional Major'!M19</f>
        <v>3223</v>
      </c>
      <c r="D17" s="30">
        <f>SUM(B17:C17)</f>
        <v>6444</v>
      </c>
      <c r="E17" s="2">
        <f>'[1]Monthly Summary'!D17</f>
        <v>6561</v>
      </c>
      <c r="F17" s="71">
        <f t="shared" si="0"/>
        <v>-1.7832647462277092E-2</v>
      </c>
      <c r="G17" s="2">
        <f>'[2]Monthly Summary'!G17+D17</f>
        <v>51954</v>
      </c>
      <c r="H17" s="2">
        <f>'[1]Monthly Summary'!G17</f>
        <v>49846</v>
      </c>
      <c r="I17" s="185">
        <f t="shared" si="1"/>
        <v>4.229025398226538E-2</v>
      </c>
      <c r="L17" s="2"/>
      <c r="M17" s="2"/>
      <c r="N17" s="332"/>
      <c r="Q17" s="427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10</v>
      </c>
      <c r="F18" s="71">
        <f t="shared" si="0"/>
        <v>-1</v>
      </c>
      <c r="G18" s="2">
        <f>'[2]Monthly Summary'!G18+D18</f>
        <v>18</v>
      </c>
      <c r="H18" s="2">
        <f>'[1]Monthly Summary'!G18</f>
        <v>58</v>
      </c>
      <c r="I18" s="185">
        <f t="shared" si="1"/>
        <v>-0.68965517241379315</v>
      </c>
      <c r="N18" s="332"/>
      <c r="Q18" s="427"/>
    </row>
    <row r="19" spans="1:17" x14ac:dyDescent="0.2">
      <c r="A19" s="48" t="s">
        <v>11</v>
      </c>
      <c r="B19" s="30">
        <f>Cargo!S4+Cargo!S8</f>
        <v>551</v>
      </c>
      <c r="C19" s="30">
        <f>Cargo!S5+Cargo!S9</f>
        <v>551</v>
      </c>
      <c r="D19" s="30">
        <f t="shared" si="2"/>
        <v>1102</v>
      </c>
      <c r="E19" s="2">
        <f>'[1]Monthly Summary'!D19</f>
        <v>1180</v>
      </c>
      <c r="F19" s="71">
        <f t="shared" si="0"/>
        <v>-6.6101694915254236E-2</v>
      </c>
      <c r="G19" s="2">
        <f>'[2]Monthly Summary'!G19+D19</f>
        <v>8779</v>
      </c>
      <c r="H19" s="2">
        <f>'[1]Monthly Summary'!G19</f>
        <v>9248</v>
      </c>
      <c r="I19" s="185">
        <f t="shared" si="1"/>
        <v>-5.0713667820069204E-2</v>
      </c>
      <c r="M19" s="427"/>
      <c r="N19" s="332"/>
      <c r="Q19" s="427"/>
    </row>
    <row r="20" spans="1:17" x14ac:dyDescent="0.2">
      <c r="A20" s="48" t="s">
        <v>146</v>
      </c>
      <c r="B20" s="30">
        <f>'[3]General Avation'!$JA$4</f>
        <v>834</v>
      </c>
      <c r="C20" s="30">
        <f>'[3]General Avation'!$JA$5</f>
        <v>834</v>
      </c>
      <c r="D20" s="30">
        <f t="shared" si="2"/>
        <v>1668</v>
      </c>
      <c r="E20" s="2">
        <f>'[1]Monthly Summary'!D20</f>
        <v>1681</v>
      </c>
      <c r="F20" s="71">
        <f t="shared" si="0"/>
        <v>-7.7334919690660317E-3</v>
      </c>
      <c r="G20" s="2">
        <f>'[2]Monthly Summary'!G20+D20</f>
        <v>11856</v>
      </c>
      <c r="H20" s="2">
        <f>'[1]Monthly Summary'!G20</f>
        <v>11738</v>
      </c>
      <c r="I20" s="185">
        <f t="shared" si="1"/>
        <v>1.0052819901175668E-2</v>
      </c>
      <c r="M20" s="2"/>
      <c r="N20" s="332"/>
      <c r="Q20" s="427"/>
    </row>
    <row r="21" spans="1:17" ht="12.75" customHeight="1" x14ac:dyDescent="0.2">
      <c r="A21" s="48" t="s">
        <v>12</v>
      </c>
      <c r="B21" s="441">
        <f>'[3]Military '!$JA$4</f>
        <v>49</v>
      </c>
      <c r="C21" s="442">
        <f>'[3]Military '!$JA$5</f>
        <v>48</v>
      </c>
      <c r="D21" s="442">
        <f t="shared" si="2"/>
        <v>97</v>
      </c>
      <c r="E21" s="394">
        <f>'[1]Monthly Summary'!D21</f>
        <v>71</v>
      </c>
      <c r="F21" s="443">
        <f t="shared" si="0"/>
        <v>0.36619718309859156</v>
      </c>
      <c r="G21" s="394">
        <f>'[2]Monthly Summary'!G21+D21</f>
        <v>669</v>
      </c>
      <c r="H21" s="394">
        <f>'[1]Monthly Summary'!G21</f>
        <v>426</v>
      </c>
      <c r="I21" s="444">
        <f t="shared" si="1"/>
        <v>0.57042253521126762</v>
      </c>
      <c r="K21" s="89"/>
      <c r="N21" s="332"/>
      <c r="Q21" s="427"/>
    </row>
    <row r="22" spans="1:17" ht="15.75" thickBot="1" x14ac:dyDescent="0.3">
      <c r="A22" s="49" t="s">
        <v>28</v>
      </c>
      <c r="B22" s="190">
        <f>SUM(B16:B21)</f>
        <v>15751</v>
      </c>
      <c r="C22" s="190">
        <f>SUM(C16:C21)</f>
        <v>15762</v>
      </c>
      <c r="D22" s="190">
        <f>SUM(D16:D21)</f>
        <v>31513</v>
      </c>
      <c r="E22" s="190">
        <f>SUM(E16:E21)</f>
        <v>30033</v>
      </c>
      <c r="F22" s="187">
        <f t="shared" si="0"/>
        <v>4.9279126294409482E-2</v>
      </c>
      <c r="G22" s="190">
        <f>SUM(G16:G21)</f>
        <v>228642</v>
      </c>
      <c r="H22" s="190">
        <f>SUM(H16:H21)</f>
        <v>214797</v>
      </c>
      <c r="I22" s="188">
        <f t="shared" si="1"/>
        <v>6.4456207488931411E-2</v>
      </c>
      <c r="N22" s="325"/>
      <c r="Q22" s="427"/>
    </row>
    <row r="23" spans="1:17" x14ac:dyDescent="0.2">
      <c r="B23" s="89"/>
      <c r="C23" s="89"/>
      <c r="L23" s="2"/>
      <c r="N23" s="332"/>
      <c r="Q23" s="427"/>
    </row>
    <row r="24" spans="1:17" ht="12.75" customHeight="1" x14ac:dyDescent="0.2">
      <c r="B24" s="10"/>
      <c r="C24" s="10"/>
      <c r="D24" s="458" t="s">
        <v>236</v>
      </c>
      <c r="E24" s="458" t="s">
        <v>217</v>
      </c>
      <c r="F24" s="5"/>
      <c r="G24" s="5"/>
      <c r="H24" s="5"/>
      <c r="I24" s="5"/>
      <c r="N24" s="332"/>
      <c r="Q24" s="427"/>
    </row>
    <row r="25" spans="1:17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237</v>
      </c>
      <c r="H25" s="5" t="s">
        <v>218</v>
      </c>
      <c r="I25" s="5" t="s">
        <v>2</v>
      </c>
      <c r="N25" s="332"/>
      <c r="Q25" s="427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Major'!M25)*0.00045359237</f>
        <v>9159.466205180368</v>
      </c>
      <c r="C27" s="12">
        <f>(Cargo!S21+'Major Airline Stats'!L33+'Regional Major'!M30)*0.00045359237</f>
        <v>6945.8351956665983</v>
      </c>
      <c r="D27" s="12">
        <f>SUM(B27:C27)</f>
        <v>16105.301400846965</v>
      </c>
      <c r="E27" s="2">
        <f>'[1]Monthly Summary'!D27</f>
        <v>16310.570772355321</v>
      </c>
      <c r="F27" s="73">
        <f>(D27-E27)/E27</f>
        <v>-1.2585051398462697E-2</v>
      </c>
      <c r="G27" s="2">
        <f>'[2]Monthly Summary'!G27+D27</f>
        <v>124144.09636261711</v>
      </c>
      <c r="H27" s="2">
        <f>'[1]Monthly Summary'!G27</f>
        <v>125378.09666862803</v>
      </c>
      <c r="I27" s="74">
        <f>(G27-H27)/H27</f>
        <v>-9.8422319272588373E-3</v>
      </c>
      <c r="N27" s="89"/>
    </row>
    <row r="28" spans="1:17" x14ac:dyDescent="0.2">
      <c r="A28" s="43" t="s">
        <v>16</v>
      </c>
      <c r="B28" s="447">
        <f>(Cargo!S17+'Major Airline Stats'!L29+'Regional Major'!M26)*0.00045359237</f>
        <v>510.17484301090997</v>
      </c>
      <c r="C28" s="448">
        <f>(Cargo!S22+'Major Airline Stats'!L34+'Regional Major'!M31)*0.00045359237</f>
        <v>409.51453144524999</v>
      </c>
      <c r="D28" s="448">
        <f>SUM(B28:C28)</f>
        <v>919.68937445615995</v>
      </c>
      <c r="E28" s="394">
        <f>'[1]Monthly Summary'!D28</f>
        <v>417.78850986641999</v>
      </c>
      <c r="F28" s="449">
        <f>(D28-E28)/E28</f>
        <v>1.2013275921595195</v>
      </c>
      <c r="G28" s="394">
        <f>'[2]Monthly Summary'!G28+D28</f>
        <v>3531.7622720711097</v>
      </c>
      <c r="H28" s="394">
        <f>'[1]Monthly Summary'!G28</f>
        <v>7696.2636742660907</v>
      </c>
      <c r="I28" s="450">
        <f>(G28-H28)/H28</f>
        <v>-0.54110690309633969</v>
      </c>
    </row>
    <row r="29" spans="1:17" ht="15.75" thickBot="1" x14ac:dyDescent="0.3">
      <c r="A29" s="44" t="s">
        <v>62</v>
      </c>
      <c r="B29" s="445">
        <f>SUM(B27:B28)</f>
        <v>9669.6410481912772</v>
      </c>
      <c r="C29" s="445">
        <f>SUM(C27:C28)</f>
        <v>7355.3497271118486</v>
      </c>
      <c r="D29" s="445">
        <f>SUM(D27:D28)</f>
        <v>17024.990775303126</v>
      </c>
      <c r="E29" s="445">
        <f>SUM(E27:E28)</f>
        <v>16728.35928222174</v>
      </c>
      <c r="F29" s="70">
        <f>(D29-E29)/E29</f>
        <v>1.773225264217242E-2</v>
      </c>
      <c r="G29" s="445">
        <f>SUM(G27:G28)</f>
        <v>127675.85863468822</v>
      </c>
      <c r="H29" s="445">
        <f>SUM(H27:H28)</f>
        <v>133074.36034289413</v>
      </c>
      <c r="I29" s="446">
        <f>(G29-H29)/H29</f>
        <v>-4.0567557073319972E-2</v>
      </c>
    </row>
    <row r="30" spans="1:17" ht="4.5" customHeight="1" thickBot="1" x14ac:dyDescent="0.3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7" ht="13.5" thickBot="1" x14ac:dyDescent="0.25">
      <c r="B31" s="457" t="s">
        <v>142</v>
      </c>
      <c r="C31" s="456"/>
      <c r="D31" s="457" t="s">
        <v>149</v>
      </c>
      <c r="E31" s="456"/>
      <c r="F31" s="300"/>
      <c r="G31" s="301"/>
    </row>
    <row r="32" spans="1:17" x14ac:dyDescent="0.2">
      <c r="A32" s="282" t="s">
        <v>143</v>
      </c>
      <c r="B32" s="283">
        <f>C8-B33</f>
        <v>1187042</v>
      </c>
      <c r="C32" s="284">
        <f>B32/C8</f>
        <v>0.677182881970116</v>
      </c>
      <c r="D32" s="285">
        <f>+'[2]Monthly Summary'!D32+B32</f>
        <v>8540142</v>
      </c>
      <c r="E32" s="286">
        <f>+D32/D34</f>
        <v>0.6947398734601985</v>
      </c>
      <c r="G32" s="2"/>
      <c r="H32" s="392"/>
      <c r="I32" s="299"/>
    </row>
    <row r="33" spans="1:14" ht="13.5" thickBot="1" x14ac:dyDescent="0.25">
      <c r="A33" s="287" t="s">
        <v>144</v>
      </c>
      <c r="B33" s="288">
        <f>'Major Airline Stats'!L51+'Regional Major'!M45</f>
        <v>565870</v>
      </c>
      <c r="C33" s="289">
        <f>+B33/C8</f>
        <v>0.322817118029884</v>
      </c>
      <c r="D33" s="290">
        <f>+'[2]Monthly Summary'!D33+B33</f>
        <v>3752433</v>
      </c>
      <c r="E33" s="291">
        <f>+D33/D34</f>
        <v>0.30526012653980145</v>
      </c>
      <c r="G33" s="222"/>
      <c r="H33" s="427"/>
      <c r="I33" s="299"/>
    </row>
    <row r="34" spans="1:14" ht="13.5" thickBot="1" x14ac:dyDescent="0.25">
      <c r="B34" s="222"/>
      <c r="D34" s="292">
        <f>SUM(D32:D33)</f>
        <v>12292575</v>
      </c>
      <c r="H34" s="392"/>
    </row>
    <row r="35" spans="1:14" ht="13.5" thickBot="1" x14ac:dyDescent="0.25">
      <c r="B35" s="455" t="s">
        <v>251</v>
      </c>
      <c r="C35" s="456"/>
      <c r="D35" s="457" t="s">
        <v>238</v>
      </c>
      <c r="E35" s="456"/>
    </row>
    <row r="36" spans="1:14" x14ac:dyDescent="0.2">
      <c r="A36" s="282" t="s">
        <v>143</v>
      </c>
      <c r="B36" s="283">
        <f>'[1]Monthly Summary'!$B$32</f>
        <v>1065770</v>
      </c>
      <c r="C36" s="284">
        <f>+B36/B38</f>
        <v>0.65931530238543012</v>
      </c>
      <c r="D36" s="285">
        <f>+'[1]Monthly Summary'!D32</f>
        <v>7710064</v>
      </c>
      <c r="E36" s="286">
        <f>+D36/D38</f>
        <v>0.68247565768509011</v>
      </c>
    </row>
    <row r="37" spans="1:14" ht="13.5" thickBot="1" x14ac:dyDescent="0.25">
      <c r="A37" s="287" t="s">
        <v>144</v>
      </c>
      <c r="B37" s="288">
        <f>'[1]Monthly Summary'!$B$33</f>
        <v>550710</v>
      </c>
      <c r="C37" s="291">
        <f>+B37/B38</f>
        <v>0.34068469761456993</v>
      </c>
      <c r="D37" s="290">
        <f>+'[1]Monthly Summary'!D33</f>
        <v>3587136</v>
      </c>
      <c r="E37" s="291">
        <f>+D37/D38</f>
        <v>0.31752434231490989</v>
      </c>
      <c r="G37" s="222"/>
      <c r="M37" s="1"/>
    </row>
    <row r="38" spans="1:14" x14ac:dyDescent="0.2">
      <c r="B38" s="304">
        <f>+SUM(B36:B37)</f>
        <v>1616480</v>
      </c>
      <c r="D38" s="292">
        <f>SUM(D36:D37)</f>
        <v>11297200</v>
      </c>
      <c r="K38" s="297"/>
    </row>
    <row r="39" spans="1:14" x14ac:dyDescent="0.2">
      <c r="A39" s="296" t="s">
        <v>145</v>
      </c>
    </row>
    <row r="40" spans="1:14" x14ac:dyDescent="0.2">
      <c r="A40" s="164" t="s">
        <v>147</v>
      </c>
      <c r="I40" s="2"/>
    </row>
    <row r="41" spans="1:14" x14ac:dyDescent="0.2">
      <c r="N41" s="297"/>
    </row>
    <row r="42" spans="1:14" x14ac:dyDescent="0.2">
      <c r="G42" s="2"/>
      <c r="N42" s="297"/>
    </row>
    <row r="43" spans="1:14" x14ac:dyDescent="0.2">
      <c r="B43" s="222"/>
      <c r="J43" s="2"/>
      <c r="N43" s="297"/>
    </row>
    <row r="44" spans="1:14" x14ac:dyDescent="0.2">
      <c r="B44" s="222"/>
      <c r="D44" s="89"/>
      <c r="N44" s="297"/>
    </row>
    <row r="45" spans="1:14" x14ac:dyDescent="0.2">
      <c r="J45" s="2"/>
      <c r="N45" s="297"/>
    </row>
    <row r="46" spans="1:14" x14ac:dyDescent="0.2">
      <c r="B46" s="2"/>
      <c r="F46" s="222"/>
    </row>
    <row r="47" spans="1:14" x14ac:dyDescent="0.2">
      <c r="N47" s="297"/>
    </row>
    <row r="51" spans="12:12" x14ac:dyDescent="0.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2024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G40" sqref="G4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8">
        <v>45505</v>
      </c>
      <c r="B1" s="317" t="s">
        <v>18</v>
      </c>
      <c r="C1" s="317" t="s">
        <v>186</v>
      </c>
      <c r="D1" s="356" t="s">
        <v>155</v>
      </c>
      <c r="E1" s="317" t="s">
        <v>161</v>
      </c>
      <c r="F1" s="317" t="s">
        <v>231</v>
      </c>
      <c r="G1" s="317" t="s">
        <v>49</v>
      </c>
      <c r="H1" s="317" t="s">
        <v>113</v>
      </c>
      <c r="I1" s="317" t="s">
        <v>185</v>
      </c>
      <c r="J1" s="317" t="s">
        <v>250</v>
      </c>
      <c r="K1" s="317" t="s">
        <v>235</v>
      </c>
      <c r="L1" s="317" t="s">
        <v>187</v>
      </c>
      <c r="M1" s="317" t="s">
        <v>159</v>
      </c>
      <c r="N1" s="317" t="s">
        <v>194</v>
      </c>
      <c r="O1" s="317" t="s">
        <v>154</v>
      </c>
      <c r="P1" s="317" t="s">
        <v>47</v>
      </c>
      <c r="Q1" s="317" t="s">
        <v>137</v>
      </c>
      <c r="R1" s="317" t="s">
        <v>21</v>
      </c>
    </row>
    <row r="2" spans="1:20" ht="15" x14ac:dyDescent="0.25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[3]Delta!$JA$32</f>
        <v>103148</v>
      </c>
      <c r="C4" s="11">
        <f>'[3]Atlantic Southeast'!$JA$32</f>
        <v>0</v>
      </c>
      <c r="D4" s="11">
        <f>[3]Pinnacle!$JA$32</f>
        <v>1814</v>
      </c>
      <c r="E4" s="11">
        <f>'[3]Sky West'!$JA$32</f>
        <v>7873</v>
      </c>
      <c r="F4" s="11">
        <f>[3]WestJet!$JA$32</f>
        <v>11832</v>
      </c>
      <c r="G4" s="11">
        <f>'[3]Sun Country'!$JA$32</f>
        <v>5213</v>
      </c>
      <c r="H4" s="11">
        <f>[3]Icelandair!$JA$32</f>
        <v>6052</v>
      </c>
      <c r="I4" s="11">
        <f>[3]KLM!$JA$32</f>
        <v>3793</v>
      </c>
      <c r="J4" s="11">
        <f>[3]Lufthansa!$JA$32</f>
        <v>5934</v>
      </c>
      <c r="K4" s="11">
        <f>[3]Jazz_AC!$JA$32</f>
        <v>8837</v>
      </c>
      <c r="L4" s="11">
        <f>'[3]Sky Regional'!$JA$32</f>
        <v>0</v>
      </c>
      <c r="M4" s="11">
        <f>[3]Condor!$JA$32</f>
        <v>3183</v>
      </c>
      <c r="N4" s="11">
        <f>'[3]Aer Lingus'!$JA$32</f>
        <v>3068</v>
      </c>
      <c r="O4" s="11">
        <f>'[3]Air France'!$JA$32</f>
        <v>7728</v>
      </c>
      <c r="P4" s="11">
        <f>[3]Frontier!$JA$32</f>
        <v>0</v>
      </c>
      <c r="Q4" s="11">
        <f>'[3]Charter Misc'!$JA$32+[3]Ryan!$JA$32+[3]Omni!$JA$32</f>
        <v>0</v>
      </c>
      <c r="R4" s="197">
        <f>SUM(B4:Q4)</f>
        <v>168475</v>
      </c>
    </row>
    <row r="5" spans="1:20" x14ac:dyDescent="0.2">
      <c r="A5" s="43" t="s">
        <v>31</v>
      </c>
      <c r="B5" s="7">
        <f>[3]Delta!$JA$33</f>
        <v>96197</v>
      </c>
      <c r="C5" s="7">
        <f>'[3]Atlantic Southeast'!$JA$33</f>
        <v>0</v>
      </c>
      <c r="D5" s="7">
        <f>[3]Pinnacle!$JA$33</f>
        <v>1742</v>
      </c>
      <c r="E5" s="7">
        <f>'[3]Sky West'!$JA$33</f>
        <v>7877</v>
      </c>
      <c r="F5" s="7">
        <f>[3]WestJet!$JA$33</f>
        <v>12070</v>
      </c>
      <c r="G5" s="7">
        <f>'[3]Sun Country'!$JA$33</f>
        <v>5487</v>
      </c>
      <c r="H5" s="7">
        <f>[3]Icelandair!$JA$33</f>
        <v>5862</v>
      </c>
      <c r="I5" s="7">
        <f>[3]KLM!$JA$33</f>
        <v>3570</v>
      </c>
      <c r="J5" s="7">
        <f>[3]Lufthansa!$JA$33</f>
        <v>4719</v>
      </c>
      <c r="K5" s="7">
        <f>[3]Jazz_AC!$JA$33</f>
        <v>8010</v>
      </c>
      <c r="L5" s="7">
        <f>'[3]Sky Regional'!$JA$33</f>
        <v>0</v>
      </c>
      <c r="M5" s="7">
        <f>[3]Condor!$JA$33</f>
        <v>2587</v>
      </c>
      <c r="N5" s="7">
        <f>'[3]Aer Lingus'!$JA$33</f>
        <v>2721</v>
      </c>
      <c r="O5" s="7">
        <f>'[3]Air France'!$JA$33</f>
        <v>5881</v>
      </c>
      <c r="P5" s="7">
        <f>[3]Frontier!$JA$33</f>
        <v>0</v>
      </c>
      <c r="Q5" s="7">
        <f>'[3]Charter Misc'!$JA$33++[3]Ryan!$JA$33+[3]Omni!$JA$33</f>
        <v>0</v>
      </c>
      <c r="R5" s="198">
        <f>SUM(B5:Q5)</f>
        <v>156723</v>
      </c>
    </row>
    <row r="6" spans="1:20" ht="15" x14ac:dyDescent="0.25">
      <c r="A6" s="41" t="s">
        <v>7</v>
      </c>
      <c r="B6" s="23">
        <f t="shared" ref="B6:Q6" si="0">SUM(B4:B5)</f>
        <v>199345</v>
      </c>
      <c r="C6" s="23">
        <f t="shared" si="0"/>
        <v>0</v>
      </c>
      <c r="D6" s="23">
        <f t="shared" si="0"/>
        <v>3556</v>
      </c>
      <c r="E6" s="23">
        <f t="shared" si="0"/>
        <v>15750</v>
      </c>
      <c r="F6" s="23">
        <f t="shared" ref="F6" si="1">SUM(F4:F5)</f>
        <v>23902</v>
      </c>
      <c r="G6" s="23">
        <f t="shared" si="0"/>
        <v>10700</v>
      </c>
      <c r="H6" s="23">
        <f t="shared" si="0"/>
        <v>11914</v>
      </c>
      <c r="I6" s="23">
        <f t="shared" ref="I6:J6" si="2">SUM(I4:I5)</f>
        <v>7363</v>
      </c>
      <c r="J6" s="23">
        <f t="shared" si="2"/>
        <v>10653</v>
      </c>
      <c r="K6" s="23">
        <f t="shared" si="0"/>
        <v>16847</v>
      </c>
      <c r="L6" s="23">
        <f t="shared" ref="L6" si="3">SUM(L4:L5)</f>
        <v>0</v>
      </c>
      <c r="M6" s="23">
        <f t="shared" ref="M6:N6" si="4">SUM(M4:M5)</f>
        <v>5770</v>
      </c>
      <c r="N6" s="23">
        <f t="shared" si="4"/>
        <v>5789</v>
      </c>
      <c r="O6" s="23">
        <f t="shared" si="0"/>
        <v>13609</v>
      </c>
      <c r="P6" s="23">
        <f t="shared" si="0"/>
        <v>0</v>
      </c>
      <c r="Q6" s="23">
        <f t="shared" si="0"/>
        <v>0</v>
      </c>
      <c r="R6" s="199">
        <f>SUM(B6:Q6)</f>
        <v>325198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7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7">
        <f>SUM(B8:Q8)</f>
        <v>0</v>
      </c>
    </row>
    <row r="9" spans="1:20" x14ac:dyDescent="0.2">
      <c r="A9" s="43" t="s">
        <v>30</v>
      </c>
      <c r="B9" s="11">
        <f>[3]Delta!$JA$37</f>
        <v>2133</v>
      </c>
      <c r="C9" s="11">
        <f>'[3]Atlantic Southeast'!$JA$37</f>
        <v>0</v>
      </c>
      <c r="D9" s="11">
        <f>[3]Pinnacle!$JA$37</f>
        <v>14</v>
      </c>
      <c r="E9" s="11">
        <f>'[3]Sky West'!$JA$37</f>
        <v>123</v>
      </c>
      <c r="F9" s="11">
        <f>[3]WestJet!$JA$37</f>
        <v>1</v>
      </c>
      <c r="G9" s="11">
        <f>'[3]Sun Country'!$JA$37</f>
        <v>81</v>
      </c>
      <c r="H9" s="11">
        <f>[3]Icelandair!$JA$37</f>
        <v>57</v>
      </c>
      <c r="I9" s="11">
        <f>[3]KLM!$JA$37</f>
        <v>14</v>
      </c>
      <c r="J9" s="11">
        <f>[3]Lufthansa!$JA$37</f>
        <v>93</v>
      </c>
      <c r="K9" s="11">
        <f>[3]Jazz_AC!$JA$37</f>
        <v>185</v>
      </c>
      <c r="L9" s="11">
        <f>'[3]Sky Regional'!$JA$37</f>
        <v>0</v>
      </c>
      <c r="M9" s="11">
        <f>[3]Condor!$JA$37</f>
        <v>12</v>
      </c>
      <c r="N9" s="11">
        <f>'[3]Aer Lingus'!$JA$37</f>
        <v>28</v>
      </c>
      <c r="O9" s="11">
        <f>'[3]Air France'!$JA$37</f>
        <v>22</v>
      </c>
      <c r="P9" s="11">
        <f>[3]Frontier!$JA$37</f>
        <v>0</v>
      </c>
      <c r="Q9" s="11">
        <f>'[3]Charter Misc'!$JA$37+[3]Ryan!$JA$37+[3]Omni!$JA$37</f>
        <v>0</v>
      </c>
      <c r="R9" s="197">
        <f>SUM(B9:Q9)</f>
        <v>2763</v>
      </c>
    </row>
    <row r="10" spans="1:20" x14ac:dyDescent="0.2">
      <c r="A10" s="43" t="s">
        <v>33</v>
      </c>
      <c r="B10" s="7">
        <f>[3]Delta!$JA$38</f>
        <v>2161</v>
      </c>
      <c r="C10" s="7">
        <f>'[3]Atlantic Southeast'!$JA$38</f>
        <v>0</v>
      </c>
      <c r="D10" s="7">
        <f>[3]Pinnacle!$JA$38</f>
        <v>34</v>
      </c>
      <c r="E10" s="7">
        <f>'[3]Sky West'!$JA$38</f>
        <v>124</v>
      </c>
      <c r="F10" s="7">
        <f>[3]WestJet!$JA$38</f>
        <v>1</v>
      </c>
      <c r="G10" s="7">
        <f>'[3]Sun Country'!$JA$38</f>
        <v>107</v>
      </c>
      <c r="H10" s="7">
        <f>[3]Icelandair!$JA$38</f>
        <v>50</v>
      </c>
      <c r="I10" s="7">
        <f>[3]KLM!$JA$38</f>
        <v>0</v>
      </c>
      <c r="J10" s="7">
        <f>[3]Lufthansa!$JA$38</f>
        <v>113</v>
      </c>
      <c r="K10" s="7">
        <f>[3]Jazz_AC!$JA$38</f>
        <v>163</v>
      </c>
      <c r="L10" s="7">
        <f>'[3]Sky Regional'!$JA$38</f>
        <v>0</v>
      </c>
      <c r="M10" s="7">
        <f>[3]Condor!$JA$38</f>
        <v>19</v>
      </c>
      <c r="N10" s="7">
        <f>'[3]Aer Lingus'!$JA$38</f>
        <v>32</v>
      </c>
      <c r="O10" s="7">
        <f>'[3]Air France'!$JA$38</f>
        <v>9</v>
      </c>
      <c r="P10" s="7">
        <f>[3]Frontier!$JA$38</f>
        <v>0</v>
      </c>
      <c r="Q10" s="7">
        <f>'[3]Charter Misc'!$JA$38+[3]Ryan!$JA$38+[3]Omni!$JA$38</f>
        <v>0</v>
      </c>
      <c r="R10" s="198">
        <f>SUM(B10:Q10)</f>
        <v>2813</v>
      </c>
    </row>
    <row r="11" spans="1:20" ht="15.75" thickBot="1" x14ac:dyDescent="0.3">
      <c r="A11" s="44" t="s">
        <v>34</v>
      </c>
      <c r="B11" s="200">
        <f t="shared" ref="B11:G11" si="5">SUM(B9:B10)</f>
        <v>4294</v>
      </c>
      <c r="C11" s="200">
        <f t="shared" si="5"/>
        <v>0</v>
      </c>
      <c r="D11" s="200">
        <f t="shared" si="5"/>
        <v>48</v>
      </c>
      <c r="E11" s="200">
        <f t="shared" si="5"/>
        <v>247</v>
      </c>
      <c r="F11" s="200">
        <f t="shared" ref="F11" si="6">SUM(F9:F10)</f>
        <v>2</v>
      </c>
      <c r="G11" s="200">
        <f t="shared" si="5"/>
        <v>188</v>
      </c>
      <c r="H11" s="200">
        <f t="shared" ref="H11:Q11" si="7">SUM(H9:H10)</f>
        <v>107</v>
      </c>
      <c r="I11" s="200">
        <f t="shared" ref="I11:J11" si="8">SUM(I9:I10)</f>
        <v>14</v>
      </c>
      <c r="J11" s="200">
        <f t="shared" si="8"/>
        <v>206</v>
      </c>
      <c r="K11" s="200">
        <f t="shared" si="7"/>
        <v>348</v>
      </c>
      <c r="L11" s="200">
        <f t="shared" ref="L11" si="9">SUM(L9:L10)</f>
        <v>0</v>
      </c>
      <c r="M11" s="200">
        <f t="shared" si="7"/>
        <v>31</v>
      </c>
      <c r="N11" s="200">
        <f t="shared" ref="N11" si="10">SUM(N9:N10)</f>
        <v>60</v>
      </c>
      <c r="O11" s="200">
        <f t="shared" si="7"/>
        <v>31</v>
      </c>
      <c r="P11" s="200">
        <f t="shared" si="7"/>
        <v>0</v>
      </c>
      <c r="Q11" s="200">
        <f t="shared" si="7"/>
        <v>0</v>
      </c>
      <c r="R11" s="201">
        <f>SUM(B11:Q11)</f>
        <v>5576</v>
      </c>
      <c r="T11" s="222"/>
    </row>
    <row r="12" spans="1:20" ht="15" x14ac:dyDescent="0.25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3"/>
    </row>
    <row r="13" spans="1:20" ht="39" thickBot="1" x14ac:dyDescent="0.25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231</v>
      </c>
      <c r="G13" s="317" t="s">
        <v>49</v>
      </c>
      <c r="H13" s="317" t="s">
        <v>113</v>
      </c>
      <c r="I13" s="317" t="s">
        <v>185</v>
      </c>
      <c r="J13" s="317" t="s">
        <v>250</v>
      </c>
      <c r="K13" s="317" t="s">
        <v>235</v>
      </c>
      <c r="L13" s="317" t="s">
        <v>187</v>
      </c>
      <c r="M13" s="317" t="s">
        <v>159</v>
      </c>
      <c r="N13" s="317" t="s">
        <v>194</v>
      </c>
      <c r="O13" s="317" t="s">
        <v>154</v>
      </c>
      <c r="P13" s="317" t="s">
        <v>47</v>
      </c>
      <c r="Q13" s="317" t="s">
        <v>137</v>
      </c>
      <c r="R13" s="317" t="s">
        <v>21</v>
      </c>
    </row>
    <row r="14" spans="1:20" ht="15" x14ac:dyDescent="0.25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SUM([3]Delta!$IT$32:$JA$32)</f>
        <v>793841</v>
      </c>
      <c r="C17" s="11">
        <f>SUM('[3]Atlantic Southeast'!$IT$32:$JA$32)</f>
        <v>0</v>
      </c>
      <c r="D17" s="11">
        <f>SUM([3]Pinnacle!$IT$32:$JA$32)</f>
        <v>24741</v>
      </c>
      <c r="E17" s="11">
        <f>SUM('[3]Sky West'!$IT$32:$JA$32)</f>
        <v>50693</v>
      </c>
      <c r="F17" s="11">
        <f>SUM([3]WestJet!$IT$32:$JA$32)</f>
        <v>56551</v>
      </c>
      <c r="G17" s="11">
        <f>SUM('[3]Sun Country'!$IT$32:$JA$32)</f>
        <v>158044</v>
      </c>
      <c r="H17" s="11">
        <f>SUM([3]Icelandair!$IT$32:$JA$32)</f>
        <v>24138</v>
      </c>
      <c r="I17" s="11">
        <f>SUM([3]KLM!$IT$32:$JA$32)</f>
        <v>27648</v>
      </c>
      <c r="J17" s="11">
        <f>SUM([3]Lufthansa!$IT$32:$JA$32)</f>
        <v>16192</v>
      </c>
      <c r="K17" s="11">
        <f>SUM([3]Jazz_AC!$IT$32:$JA$32)</f>
        <v>50652</v>
      </c>
      <c r="L17" s="11">
        <f>SUM('[3]Sky Regional'!$IT$32:$JA$32)</f>
        <v>0</v>
      </c>
      <c r="M17" s="11">
        <f>SUM([3]Condor!$IT$32:$JA$32)</f>
        <v>11022</v>
      </c>
      <c r="N17" s="11">
        <f>SUM('[3]Aer Lingus'!$IT$32:$JA$32)</f>
        <v>13329</v>
      </c>
      <c r="O17" s="11">
        <f>SUM('[3]Air France'!$IT$32:$JA$32)</f>
        <v>28110</v>
      </c>
      <c r="P17" s="11">
        <f>SUM([3]Frontier!$IT$32:$JA$32)</f>
        <v>10257</v>
      </c>
      <c r="Q17" s="11">
        <f>SUM('[3]Charter Misc'!$IT$32:$JA$32)+SUM([3]Ryan!$IT$32:$JA$32)+SUM([3]Omni!$IT$32:$JA$32)</f>
        <v>437</v>
      </c>
      <c r="R17" s="197">
        <f>SUM(B17:Q17)</f>
        <v>1265655</v>
      </c>
    </row>
    <row r="18" spans="1:21" x14ac:dyDescent="0.2">
      <c r="A18" s="43" t="s">
        <v>31</v>
      </c>
      <c r="B18" s="7">
        <f>SUM([3]Delta!$IT$33:$JA$33)</f>
        <v>776806</v>
      </c>
      <c r="C18" s="7">
        <f>SUM('[3]Atlantic Southeast'!$IT$33:$JA$33)</f>
        <v>0</v>
      </c>
      <c r="D18" s="7">
        <f>SUM([3]Pinnacle!$IT$33:$JA$33)</f>
        <v>25593</v>
      </c>
      <c r="E18" s="7">
        <f>SUM('[3]Sky West'!$IT$33:$JA$33)</f>
        <v>52311</v>
      </c>
      <c r="F18" s="7">
        <f>SUM([3]WestJet!$IT$33:$JA$33)</f>
        <v>60778</v>
      </c>
      <c r="G18" s="7">
        <f>SUM('[3]Sun Country'!$IT$33:$JA$33)</f>
        <v>152984</v>
      </c>
      <c r="H18" s="7">
        <f>SUM([3]Icelandair!$IT$33:$JA$33)</f>
        <v>23648</v>
      </c>
      <c r="I18" s="7">
        <f>SUM([3]KLM!$IT$33:$JA$33)</f>
        <v>24751</v>
      </c>
      <c r="J18" s="7">
        <f>SUM([3]Lufthansa!$IT$33:$JA$33)</f>
        <v>14599</v>
      </c>
      <c r="K18" s="7">
        <f>SUM([3]Jazz_AC!$IT$33:$JA$33)</f>
        <v>48044</v>
      </c>
      <c r="L18" s="7">
        <f>SUM('[3]Sky Regional'!$IT$33:$JA$33)</f>
        <v>0</v>
      </c>
      <c r="M18" s="7">
        <f>SUM([3]Condor!$IT$33:$JA$33)</f>
        <v>9077</v>
      </c>
      <c r="N18" s="7">
        <f>SUM('[3]Aer Lingus'!$IT$33:$JA$33)</f>
        <v>13360</v>
      </c>
      <c r="O18" s="7">
        <f>SUM('[3]Air France'!$IT$33:$JA$33)</f>
        <v>24238</v>
      </c>
      <c r="P18" s="7">
        <f>SUM([3]Frontier!$IT$33:$JA$33)</f>
        <v>10283</v>
      </c>
      <c r="Q18" s="7">
        <f>SUM('[3]Charter Misc'!$IT$33:$JA$33)++SUM([3]Ryan!$IT$33:$JA$33)+SUM([3]Omni!$IT$33:$JA$33)</f>
        <v>643</v>
      </c>
      <c r="R18" s="198">
        <f>SUM(B18:Q18)</f>
        <v>1237115</v>
      </c>
    </row>
    <row r="19" spans="1:21" ht="15" x14ac:dyDescent="0.25">
      <c r="A19" s="41" t="s">
        <v>7</v>
      </c>
      <c r="B19" s="23">
        <f t="shared" ref="B19:Q19" si="11">SUM(B17:B18)</f>
        <v>1570647</v>
      </c>
      <c r="C19" s="23">
        <f t="shared" si="11"/>
        <v>0</v>
      </c>
      <c r="D19" s="23">
        <f t="shared" si="11"/>
        <v>50334</v>
      </c>
      <c r="E19" s="23">
        <f t="shared" si="11"/>
        <v>103004</v>
      </c>
      <c r="F19" s="23">
        <f t="shared" ref="F19" si="12">SUM(F17:F18)</f>
        <v>117329</v>
      </c>
      <c r="G19" s="23">
        <f t="shared" si="11"/>
        <v>311028</v>
      </c>
      <c r="H19" s="23">
        <f t="shared" si="11"/>
        <v>47786</v>
      </c>
      <c r="I19" s="23">
        <f t="shared" ref="I19:J19" si="13">SUM(I17:I18)</f>
        <v>52399</v>
      </c>
      <c r="J19" s="23">
        <f t="shared" si="13"/>
        <v>30791</v>
      </c>
      <c r="K19" s="23">
        <f t="shared" si="11"/>
        <v>98696</v>
      </c>
      <c r="L19" s="23">
        <f t="shared" ref="L19" si="14">SUM(L17:L18)</f>
        <v>0</v>
      </c>
      <c r="M19" s="23">
        <f t="shared" ref="M19:N19" si="15">SUM(M17:M18)</f>
        <v>20099</v>
      </c>
      <c r="N19" s="23">
        <f t="shared" si="15"/>
        <v>26689</v>
      </c>
      <c r="O19" s="23">
        <f t="shared" si="11"/>
        <v>52348</v>
      </c>
      <c r="P19" s="23">
        <f t="shared" si="11"/>
        <v>20540</v>
      </c>
      <c r="Q19" s="23">
        <f t="shared" si="11"/>
        <v>1080</v>
      </c>
      <c r="R19" s="199">
        <f>SUM(B19:Q19)</f>
        <v>2502770</v>
      </c>
      <c r="U19" s="222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7"/>
      <c r="U20" s="89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7">
        <f>SUM(B21:Q21)</f>
        <v>0</v>
      </c>
    </row>
    <row r="22" spans="1:21" x14ac:dyDescent="0.2">
      <c r="A22" s="43" t="s">
        <v>30</v>
      </c>
      <c r="B22" s="11">
        <f>SUM([3]Delta!$IT$37:$JA$37)</f>
        <v>20379</v>
      </c>
      <c r="C22" s="11">
        <f>SUM('[3]Atlantic Southeast'!$IT$37:$JA$37)</f>
        <v>0</v>
      </c>
      <c r="D22" s="11">
        <f>SUM([3]Pinnacle!$IT$37:$JA$37)</f>
        <v>499</v>
      </c>
      <c r="E22" s="11">
        <f>SUM('[3]Sky West'!$IT$37:$JA$37)</f>
        <v>747</v>
      </c>
      <c r="F22" s="11">
        <f>SUM([3]WestJet!$IT$37:$JA$37)</f>
        <v>8</v>
      </c>
      <c r="G22" s="11">
        <f>SUM('[3]Sun Country'!$IT$37:$JA$37)</f>
        <v>2335</v>
      </c>
      <c r="H22" s="11">
        <f>SUM([3]Icelandair!$IT$37:$JA$37)</f>
        <v>213</v>
      </c>
      <c r="I22" s="11">
        <f>SUM([3]KLM!$IT$37:$JA$37)</f>
        <v>79</v>
      </c>
      <c r="J22" s="11">
        <f>SUM([3]Lufthansa!$IT$37:$JA$37)</f>
        <v>219</v>
      </c>
      <c r="K22" s="11">
        <f>SUM([3]Jazz_AC!$IT$37:$JA$37)</f>
        <v>784</v>
      </c>
      <c r="L22" s="11">
        <f>SUM('[3]Sky Regional'!$IT$37:$JA$37)</f>
        <v>0</v>
      </c>
      <c r="M22" s="11">
        <f>SUM([3]Condor!$IT$37:$JA$37)</f>
        <v>62</v>
      </c>
      <c r="N22" s="11">
        <f>SUM('[3]Aer Lingus'!$IT$37:$JA$37)</f>
        <v>94</v>
      </c>
      <c r="O22" s="11">
        <f>SUM('[3]Air France'!$IT$37:$JA$37)</f>
        <v>99</v>
      </c>
      <c r="P22" s="11">
        <f>SUM([3]Frontier!$IT$37:$JA$37)</f>
        <v>10</v>
      </c>
      <c r="Q22" s="11">
        <f>SUM('[3]Charter Misc'!$IT$37:$JA$37)++SUM([3]Ryan!$IT$37:$JA$37)+SUM([3]Omni!$IT$37:$JA$37)</f>
        <v>0</v>
      </c>
      <c r="R22" s="197">
        <f>SUM(B22:Q22)</f>
        <v>25528</v>
      </c>
    </row>
    <row r="23" spans="1:21" x14ac:dyDescent="0.2">
      <c r="A23" s="43" t="s">
        <v>33</v>
      </c>
      <c r="B23" s="7">
        <f>SUM([3]Delta!$IT$38:$JA$38)</f>
        <v>20676</v>
      </c>
      <c r="C23" s="7">
        <f>SUM('[3]Atlantic Southeast'!$IT$38:$JA$38)</f>
        <v>0</v>
      </c>
      <c r="D23" s="7">
        <f>SUM([3]Pinnacle!$IT$38:$JA$38)</f>
        <v>599</v>
      </c>
      <c r="E23" s="7">
        <f>SUM('[3]Sky West'!$IT$38:$JA$38)</f>
        <v>719</v>
      </c>
      <c r="F23" s="7">
        <f>SUM([3]WestJet!$IT$38:$JA$38)</f>
        <v>5</v>
      </c>
      <c r="G23" s="7">
        <f>SUM('[3]Sun Country'!$IT$38:$JA$38)</f>
        <v>2403</v>
      </c>
      <c r="H23" s="7">
        <f>SUM([3]Icelandair!$IT$38:$JA$38)</f>
        <v>217</v>
      </c>
      <c r="I23" s="7">
        <f>SUM([3]KLM!$IT$38:$JA$38)</f>
        <v>20</v>
      </c>
      <c r="J23" s="7">
        <f>SUM([3]Lufthansa!$IT$38:$JA$38)</f>
        <v>223</v>
      </c>
      <c r="K23" s="7">
        <f>SUM([3]Jazz_AC!$IT$38:$JA$38)</f>
        <v>744</v>
      </c>
      <c r="L23" s="7">
        <f>SUM('[3]Sky Regional'!$IT$38:$JA$38)</f>
        <v>0</v>
      </c>
      <c r="M23" s="7">
        <f>SUM([3]Condor!$IT$38:$JA$38)</f>
        <v>53</v>
      </c>
      <c r="N23" s="7">
        <f>SUM('[3]Aer Lingus'!$IT$38:$JA$38)</f>
        <v>97</v>
      </c>
      <c r="O23" s="7">
        <f>SUM('[3]Air France'!$IT$38:$JA$38)</f>
        <v>18</v>
      </c>
      <c r="P23" s="7">
        <f>SUM([3]Frontier!$IT$38:$JA$38)</f>
        <v>6</v>
      </c>
      <c r="Q23" s="7">
        <f>SUM('[3]Charter Misc'!$IT$38:$JA$38)++SUM([3]Ryan!$IT$38:$JA$38)+SUM([3]Omni!$IT$38:$JA$38)</f>
        <v>0</v>
      </c>
      <c r="R23" s="198">
        <f>SUM(B23:Q23)</f>
        <v>25780</v>
      </c>
    </row>
    <row r="24" spans="1:21" ht="15.75" thickBot="1" x14ac:dyDescent="0.3">
      <c r="A24" s="44" t="s">
        <v>34</v>
      </c>
      <c r="B24" s="200">
        <f t="shared" ref="B24:Q24" si="16">SUM(B22:B23)</f>
        <v>41055</v>
      </c>
      <c r="C24" s="200">
        <f t="shared" si="16"/>
        <v>0</v>
      </c>
      <c r="D24" s="200">
        <f t="shared" si="16"/>
        <v>1098</v>
      </c>
      <c r="E24" s="200">
        <f t="shared" si="16"/>
        <v>1466</v>
      </c>
      <c r="F24" s="200">
        <f t="shared" ref="F24" si="17">SUM(F22:F23)</f>
        <v>13</v>
      </c>
      <c r="G24" s="200">
        <f t="shared" si="16"/>
        <v>4738</v>
      </c>
      <c r="H24" s="200">
        <f t="shared" si="16"/>
        <v>430</v>
      </c>
      <c r="I24" s="200">
        <f t="shared" ref="I24:J24" si="18">SUM(I22:I23)</f>
        <v>99</v>
      </c>
      <c r="J24" s="200">
        <f t="shared" si="18"/>
        <v>442</v>
      </c>
      <c r="K24" s="200">
        <f t="shared" si="16"/>
        <v>1528</v>
      </c>
      <c r="L24" s="200">
        <f t="shared" ref="L24" si="19">SUM(L22:L23)</f>
        <v>0</v>
      </c>
      <c r="M24" s="200">
        <f t="shared" ref="M24:N24" si="20">SUM(M22:M23)</f>
        <v>115</v>
      </c>
      <c r="N24" s="200">
        <f t="shared" si="20"/>
        <v>191</v>
      </c>
      <c r="O24" s="200">
        <f t="shared" si="16"/>
        <v>117</v>
      </c>
      <c r="P24" s="200">
        <f t="shared" si="16"/>
        <v>16</v>
      </c>
      <c r="Q24" s="200">
        <f t="shared" si="16"/>
        <v>0</v>
      </c>
      <c r="R24" s="201">
        <f>SUM(B24:Q24)</f>
        <v>51308</v>
      </c>
    </row>
    <row r="26" spans="1:21" ht="39" thickBot="1" x14ac:dyDescent="0.25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231</v>
      </c>
      <c r="G26" s="317" t="s">
        <v>49</v>
      </c>
      <c r="H26" s="317" t="s">
        <v>113</v>
      </c>
      <c r="I26" s="317" t="s">
        <v>185</v>
      </c>
      <c r="J26" s="317" t="s">
        <v>250</v>
      </c>
      <c r="K26" s="317" t="s">
        <v>235</v>
      </c>
      <c r="L26" s="317" t="s">
        <v>187</v>
      </c>
      <c r="M26" s="317" t="s">
        <v>159</v>
      </c>
      <c r="N26" s="317" t="s">
        <v>194</v>
      </c>
      <c r="O26" s="317" t="s">
        <v>154</v>
      </c>
      <c r="P26" s="317" t="s">
        <v>47</v>
      </c>
      <c r="Q26" s="317" t="s">
        <v>137</v>
      </c>
      <c r="R26" s="317" t="s">
        <v>21</v>
      </c>
    </row>
    <row r="27" spans="1:21" ht="15" x14ac:dyDescent="0.25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 x14ac:dyDescent="0.2">
      <c r="A28" s="43" t="s">
        <v>22</v>
      </c>
      <c r="B28" s="11">
        <f>[3]Delta!$JA$15</f>
        <v>526</v>
      </c>
      <c r="C28" s="11">
        <f>'[3]Atlantic Southeast'!$JA$15</f>
        <v>0</v>
      </c>
      <c r="D28" s="11">
        <f>[3]Pinnacle!$JA$15</f>
        <v>26</v>
      </c>
      <c r="E28" s="11">
        <f>'[3]Sky West'!$JA$15</f>
        <v>113</v>
      </c>
      <c r="F28" s="11">
        <f>[3]WestJet!$JA$15</f>
        <v>111</v>
      </c>
      <c r="G28" s="11">
        <f>'[3]Sun Country'!$JA$15</f>
        <v>51</v>
      </c>
      <c r="H28" s="11">
        <f>[3]Icelandair!$JA$15</f>
        <v>31</v>
      </c>
      <c r="I28" s="11">
        <f>[3]KLM!$JA$15</f>
        <v>13</v>
      </c>
      <c r="J28" s="11">
        <f>[3]Lufthansa!$JA$15</f>
        <v>21</v>
      </c>
      <c r="K28" s="11">
        <f>[3]Jazz_AC!$JA$15</f>
        <v>142</v>
      </c>
      <c r="L28" s="11">
        <f>'[3]Sky Regional'!$JA$15</f>
        <v>0</v>
      </c>
      <c r="M28" s="11">
        <f>[3]Condor!$JA$15</f>
        <v>13</v>
      </c>
      <c r="N28" s="11">
        <f>'[3]Aer Lingus'!$JA$15</f>
        <v>17</v>
      </c>
      <c r="O28" s="11">
        <f>'[3]Air France'!$JA$15</f>
        <v>27</v>
      </c>
      <c r="P28" s="11">
        <f>[3]Frontier!$JA$15</f>
        <v>0</v>
      </c>
      <c r="Q28" s="11">
        <f>'[3]Charter Misc'!$JA$15+[3]Ryan!$JA$15+[3]Omni!$JA$15</f>
        <v>0</v>
      </c>
      <c r="R28" s="197">
        <f>SUM(B28:Q28)</f>
        <v>1091</v>
      </c>
    </row>
    <row r="29" spans="1:21" x14ac:dyDescent="0.2">
      <c r="A29" s="43" t="s">
        <v>23</v>
      </c>
      <c r="B29" s="11">
        <f>[3]Delta!$JA$16</f>
        <v>522</v>
      </c>
      <c r="C29" s="11">
        <f>'[3]Atlantic Southeast'!$JA$16</f>
        <v>0</v>
      </c>
      <c r="D29" s="11">
        <f>[3]Pinnacle!$JA$16</f>
        <v>25</v>
      </c>
      <c r="E29" s="11">
        <f>'[3]Sky West'!$JA$16</f>
        <v>114</v>
      </c>
      <c r="F29" s="11">
        <f>[3]WestJet!$JA$16</f>
        <v>111</v>
      </c>
      <c r="G29" s="11">
        <f>'[3]Sun Country'!$JA$16</f>
        <v>48</v>
      </c>
      <c r="H29" s="11">
        <f>[3]Icelandair!$JA$16</f>
        <v>31</v>
      </c>
      <c r="I29" s="11">
        <f>[3]KLM!$JA$16</f>
        <v>13</v>
      </c>
      <c r="J29" s="11">
        <f>[3]Lufthansa!$JA$16</f>
        <v>21</v>
      </c>
      <c r="K29" s="11">
        <f>[3]Jazz_AC!$JA$16</f>
        <v>142</v>
      </c>
      <c r="L29" s="11">
        <f>'[3]Sky Regional'!$JA$16</f>
        <v>0</v>
      </c>
      <c r="M29" s="11">
        <f>[3]Condor!$JA$16</f>
        <v>13</v>
      </c>
      <c r="N29" s="11">
        <f>'[3]Aer Lingus'!$JA$16</f>
        <v>17</v>
      </c>
      <c r="O29" s="11">
        <f>'[3]Air France'!$JA$16</f>
        <v>27</v>
      </c>
      <c r="P29" s="11">
        <f>[3]Frontier!$JA$16</f>
        <v>0</v>
      </c>
      <c r="Q29" s="11">
        <f>'[3]Charter Misc'!$JA$16+[3]Ryan!$JA$16+[3]Omni!$JA$16</f>
        <v>0</v>
      </c>
      <c r="R29" s="197">
        <f>SUM(B29:Q29)</f>
        <v>1084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7"/>
    </row>
    <row r="31" spans="1:21" ht="15.75" thickBot="1" x14ac:dyDescent="0.3">
      <c r="A31" s="44" t="s">
        <v>28</v>
      </c>
      <c r="B31" s="274">
        <f t="shared" ref="B31:K31" si="21">SUM(B28:B29)</f>
        <v>1048</v>
      </c>
      <c r="C31" s="274">
        <f t="shared" si="21"/>
        <v>0</v>
      </c>
      <c r="D31" s="274">
        <f t="shared" si="21"/>
        <v>51</v>
      </c>
      <c r="E31" s="274">
        <f>SUM(E28:E29)</f>
        <v>227</v>
      </c>
      <c r="F31" s="274">
        <f>SUM(F28:F29)</f>
        <v>222</v>
      </c>
      <c r="G31" s="274">
        <f t="shared" si="21"/>
        <v>99</v>
      </c>
      <c r="H31" s="274">
        <f t="shared" si="21"/>
        <v>62</v>
      </c>
      <c r="I31" s="274">
        <f t="shared" ref="I31:J31" si="22">SUM(I28:I29)</f>
        <v>26</v>
      </c>
      <c r="J31" s="274">
        <f t="shared" si="22"/>
        <v>42</v>
      </c>
      <c r="K31" s="274">
        <f t="shared" si="21"/>
        <v>284</v>
      </c>
      <c r="L31" s="274">
        <f t="shared" ref="L31" si="23">SUM(L28:L29)</f>
        <v>0</v>
      </c>
      <c r="M31" s="274">
        <f>SUM(M28:M29)</f>
        <v>26</v>
      </c>
      <c r="N31" s="274">
        <f>SUM(N28:N29)</f>
        <v>34</v>
      </c>
      <c r="O31" s="274">
        <f>SUM(O28:O29)</f>
        <v>54</v>
      </c>
      <c r="P31" s="274">
        <f t="shared" ref="P31" si="24">SUM(P28:P29)</f>
        <v>0</v>
      </c>
      <c r="Q31" s="274">
        <f>SUM(Q28:Q29)</f>
        <v>0</v>
      </c>
      <c r="R31" s="275">
        <f>SUM(B31:Q31)</f>
        <v>2175</v>
      </c>
    </row>
    <row r="32" spans="1:21" ht="15" x14ac:dyDescent="0.25">
      <c r="A32" s="276"/>
    </row>
    <row r="33" spans="1:18" ht="39" thickBot="1" x14ac:dyDescent="0.25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231</v>
      </c>
      <c r="G33" s="317" t="s">
        <v>49</v>
      </c>
      <c r="H33" s="317" t="s">
        <v>113</v>
      </c>
      <c r="I33" s="317" t="s">
        <v>185</v>
      </c>
      <c r="J33" s="317" t="s">
        <v>250</v>
      </c>
      <c r="K33" s="317" t="s">
        <v>235</v>
      </c>
      <c r="L33" s="317" t="s">
        <v>187</v>
      </c>
      <c r="M33" s="317" t="s">
        <v>159</v>
      </c>
      <c r="N33" s="317" t="s">
        <v>194</v>
      </c>
      <c r="O33" s="317" t="s">
        <v>154</v>
      </c>
      <c r="P33" s="317" t="s">
        <v>47</v>
      </c>
      <c r="Q33" s="317" t="s">
        <v>137</v>
      </c>
      <c r="R33" s="317" t="s">
        <v>21</v>
      </c>
    </row>
    <row r="34" spans="1:18" ht="15" x14ac:dyDescent="0.25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 x14ac:dyDescent="0.2">
      <c r="A35" s="43" t="s">
        <v>22</v>
      </c>
      <c r="B35" s="11">
        <f>SUM([3]Delta!$IT$15:$JA$15)</f>
        <v>4468</v>
      </c>
      <c r="C35" s="11">
        <f>SUM('[3]Atlantic Southeast'!$IT$15:$JA$15)</f>
        <v>0</v>
      </c>
      <c r="D35" s="11">
        <f>SUM([3]Pinnacle!$IT$15:$JA$15)</f>
        <v>394</v>
      </c>
      <c r="E35" s="11">
        <f>SUM('[3]Sky West'!$IT$15:$JA$15)</f>
        <v>793</v>
      </c>
      <c r="F35" s="11">
        <f>SUM([3]WestJet!$IT$15:$JA$15)</f>
        <v>580</v>
      </c>
      <c r="G35" s="11">
        <f>SUM('[3]Sun Country'!$IT$15:$JA$15)</f>
        <v>1102</v>
      </c>
      <c r="H35" s="11">
        <f>SUM([3]Icelandair!$IT$15:$JA$15)</f>
        <v>146</v>
      </c>
      <c r="I35" s="11">
        <f>SUM([3]KLM!$IT$15:$JA$15)</f>
        <v>107</v>
      </c>
      <c r="J35" s="11">
        <f>SUM([3]Lufthansa!$IT$15:$JA$15)</f>
        <v>62</v>
      </c>
      <c r="K35" s="11">
        <f>SUM([3]Jazz_AC!$IT$15:$JA$15)</f>
        <v>918</v>
      </c>
      <c r="L35" s="11">
        <f>SUM('[3]Sky Regional'!$IT$15:$JA$15)</f>
        <v>0</v>
      </c>
      <c r="M35" s="11">
        <f>SUM([3]Condor!$IT$15:$JA$15)</f>
        <v>46</v>
      </c>
      <c r="N35" s="11">
        <f>SUM('[3]Aer Lingus'!$IT$15:$JA$15)</f>
        <v>71</v>
      </c>
      <c r="O35" s="11">
        <f>SUM('[3]Air France'!$IT$15:$JA$15)</f>
        <v>103</v>
      </c>
      <c r="P35" s="11">
        <f>SUM([3]Frontier!$IT$15:$JA$15)</f>
        <v>66</v>
      </c>
      <c r="Q35" s="11">
        <f>SUM('[3]Charter Misc'!$IT$15:$JA$15)+SUM([3]Ryan!$IT$15:$JA$15)+SUM([3]Omni!$IT$15:$JA$15)</f>
        <v>6</v>
      </c>
      <c r="R35" s="197">
        <f>SUM(B35:Q35)</f>
        <v>8862</v>
      </c>
    </row>
    <row r="36" spans="1:18" x14ac:dyDescent="0.2">
      <c r="A36" s="43" t="s">
        <v>23</v>
      </c>
      <c r="B36" s="11">
        <f>SUM([3]Delta!$IT$16:$JA$16)</f>
        <v>4454</v>
      </c>
      <c r="C36" s="11">
        <f>SUM('[3]Atlantic Southeast'!$IT$16:$JA$16)</f>
        <v>0</v>
      </c>
      <c r="D36" s="11">
        <f>SUM([3]Pinnacle!$IT$16:$JA$16)</f>
        <v>393</v>
      </c>
      <c r="E36" s="11">
        <f>SUM('[3]Sky West'!$IT$16:$JA$16)</f>
        <v>793</v>
      </c>
      <c r="F36" s="11">
        <f>SUM([3]WestJet!$IT$16:$JA$16)</f>
        <v>580</v>
      </c>
      <c r="G36" s="11">
        <f>SUM('[3]Sun Country'!$IT$16:$JA$16)</f>
        <v>1088</v>
      </c>
      <c r="H36" s="11">
        <f>SUM([3]Icelandair!$IT$16:$JA$16)</f>
        <v>146</v>
      </c>
      <c r="I36" s="11">
        <f>SUM([3]KLM!$IT$16:$JA$16)</f>
        <v>107</v>
      </c>
      <c r="J36" s="11">
        <f>SUM([3]Lufthansa!$IT$16:$JA$16)</f>
        <v>62</v>
      </c>
      <c r="K36" s="11">
        <f>SUM([3]Jazz_AC!$IT$16:$JA$16)</f>
        <v>922</v>
      </c>
      <c r="L36" s="11">
        <f>SUM('[3]Sky Regional'!$IT$16:$JA$16)</f>
        <v>0</v>
      </c>
      <c r="M36" s="11">
        <f>SUM([3]Condor!$IT$16:$JA$16)</f>
        <v>46</v>
      </c>
      <c r="N36" s="11">
        <f>SUM('[3]Aer Lingus'!$IT$16:$JA$16)</f>
        <v>71</v>
      </c>
      <c r="O36" s="11">
        <f>SUM('[3]Air France'!$IT$16:$JA$16)</f>
        <v>103</v>
      </c>
      <c r="P36" s="11">
        <f>SUM([3]Frontier!$IT$16:$JA$16)</f>
        <v>66</v>
      </c>
      <c r="Q36" s="11">
        <f>SUM('[3]Charter Misc'!$IT$16:$JA$16)+SUM([3]Ryan!$IT$16:$JA$16)+SUM([3]Omni!$IT$16:$JA$16)</f>
        <v>1</v>
      </c>
      <c r="R36" s="197">
        <f>SUM(B36:Q36)</f>
        <v>8832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7"/>
    </row>
    <row r="38" spans="1:18" ht="15.75" thickBot="1" x14ac:dyDescent="0.3">
      <c r="A38" s="44" t="s">
        <v>28</v>
      </c>
      <c r="B38" s="274">
        <f t="shared" ref="B38:K38" si="25">+SUM(B35:B36)</f>
        <v>8922</v>
      </c>
      <c r="C38" s="274">
        <f t="shared" si="25"/>
        <v>0</v>
      </c>
      <c r="D38" s="274">
        <f t="shared" si="25"/>
        <v>787</v>
      </c>
      <c r="E38" s="274">
        <f>+SUM(E35:E36)</f>
        <v>1586</v>
      </c>
      <c r="F38" s="274">
        <f>+SUM(F35:F36)</f>
        <v>1160</v>
      </c>
      <c r="G38" s="274">
        <f t="shared" si="25"/>
        <v>2190</v>
      </c>
      <c r="H38" s="274">
        <f t="shared" si="25"/>
        <v>292</v>
      </c>
      <c r="I38" s="274">
        <f t="shared" ref="I38:J38" si="26">+SUM(I35:I36)</f>
        <v>214</v>
      </c>
      <c r="J38" s="274">
        <f t="shared" si="26"/>
        <v>124</v>
      </c>
      <c r="K38" s="274">
        <f t="shared" si="25"/>
        <v>1840</v>
      </c>
      <c r="L38" s="274">
        <f t="shared" ref="L38" si="27">+SUM(L35:L36)</f>
        <v>0</v>
      </c>
      <c r="M38" s="274">
        <f>+SUM(M35:M36)</f>
        <v>92</v>
      </c>
      <c r="N38" s="274">
        <f>+SUM(N35:N36)</f>
        <v>142</v>
      </c>
      <c r="O38" s="274">
        <f>+SUM(O35:O36)</f>
        <v>206</v>
      </c>
      <c r="P38" s="274">
        <f t="shared" ref="P38" si="28">+SUM(P35:P36)</f>
        <v>132</v>
      </c>
      <c r="Q38" s="274">
        <f>+SUM(Q35:Q36)</f>
        <v>7</v>
      </c>
      <c r="R38" s="275">
        <f>SUM(B38:Q38)</f>
        <v>17694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&amp;"Arial,Bold"August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5"/>
  <sheetViews>
    <sheetView zoomScaleNormal="100" zoomScaleSheetLayoutView="85" workbookViewId="0">
      <pane ySplit="2" topLeftCell="A31" activePane="bottomLeft" state="frozen"/>
      <selection pane="bottomLeft" activeCell="B44" sqref="B44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6" t="s">
        <v>130</v>
      </c>
      <c r="B1" s="507"/>
      <c r="C1" s="399" t="s">
        <v>241</v>
      </c>
      <c r="D1" s="399" t="s">
        <v>219</v>
      </c>
      <c r="E1" s="398" t="s">
        <v>95</v>
      </c>
      <c r="F1" s="400" t="s">
        <v>242</v>
      </c>
      <c r="G1" s="399" t="s">
        <v>220</v>
      </c>
      <c r="H1" s="401" t="s">
        <v>96</v>
      </c>
      <c r="I1" s="398" t="s">
        <v>245</v>
      </c>
      <c r="J1" s="510" t="s">
        <v>134</v>
      </c>
      <c r="K1" s="511"/>
      <c r="L1" s="402" t="s">
        <v>246</v>
      </c>
      <c r="M1" s="402" t="s">
        <v>221</v>
      </c>
      <c r="N1" s="403" t="s">
        <v>96</v>
      </c>
      <c r="O1" s="404" t="s">
        <v>247</v>
      </c>
      <c r="P1" s="404" t="s">
        <v>222</v>
      </c>
      <c r="Q1" s="405" t="s">
        <v>96</v>
      </c>
      <c r="R1" s="406" t="s">
        <v>245</v>
      </c>
      <c r="S1" s="517" t="s">
        <v>207</v>
      </c>
      <c r="T1" s="518"/>
      <c r="U1" s="407" t="s">
        <v>246</v>
      </c>
      <c r="V1" s="407" t="s">
        <v>221</v>
      </c>
      <c r="W1" s="408" t="s">
        <v>96</v>
      </c>
      <c r="X1" s="409" t="s">
        <v>247</v>
      </c>
      <c r="Y1" s="409" t="s">
        <v>222</v>
      </c>
      <c r="Z1" s="410" t="s">
        <v>96</v>
      </c>
      <c r="AA1" s="411" t="s">
        <v>245</v>
      </c>
      <c r="AB1" s="512" t="s">
        <v>13</v>
      </c>
      <c r="AC1" s="513"/>
      <c r="AD1" s="431" t="s">
        <v>246</v>
      </c>
      <c r="AE1" s="431" t="s">
        <v>221</v>
      </c>
      <c r="AF1" s="432" t="s">
        <v>96</v>
      </c>
      <c r="AG1" s="433" t="s">
        <v>247</v>
      </c>
      <c r="AH1" s="433" t="s">
        <v>222</v>
      </c>
      <c r="AI1" s="434" t="s">
        <v>96</v>
      </c>
      <c r="AJ1" s="435" t="s">
        <v>245</v>
      </c>
    </row>
    <row r="2" spans="1:36" s="9" customFormat="1" ht="13.5" customHeight="1" thickBot="1" x14ac:dyDescent="0.25">
      <c r="A2" s="486">
        <v>45505</v>
      </c>
      <c r="B2" s="487"/>
      <c r="C2" s="508" t="s">
        <v>9</v>
      </c>
      <c r="D2" s="509"/>
      <c r="E2" s="509"/>
      <c r="F2" s="509"/>
      <c r="G2" s="509"/>
      <c r="H2" s="509"/>
      <c r="I2" s="324"/>
      <c r="J2" s="486">
        <f>+A2</f>
        <v>45505</v>
      </c>
      <c r="K2" s="487"/>
      <c r="L2" s="503" t="s">
        <v>136</v>
      </c>
      <c r="M2" s="504"/>
      <c r="N2" s="504"/>
      <c r="O2" s="504"/>
      <c r="P2" s="504"/>
      <c r="Q2" s="504"/>
      <c r="R2" s="505"/>
      <c r="S2" s="486">
        <f>+J2</f>
        <v>45505</v>
      </c>
      <c r="T2" s="487"/>
      <c r="U2" s="519" t="s">
        <v>208</v>
      </c>
      <c r="V2" s="520"/>
      <c r="W2" s="520"/>
      <c r="X2" s="520"/>
      <c r="Y2" s="520"/>
      <c r="Z2" s="520"/>
      <c r="AA2" s="521"/>
      <c r="AB2" s="486">
        <f>+S2</f>
        <v>45505</v>
      </c>
      <c r="AC2" s="487"/>
      <c r="AD2" s="514" t="s">
        <v>13</v>
      </c>
      <c r="AE2" s="515"/>
      <c r="AF2" s="515"/>
      <c r="AG2" s="515"/>
      <c r="AH2" s="515"/>
      <c r="AI2" s="515"/>
      <c r="AJ2" s="516"/>
    </row>
    <row r="3" spans="1:36" x14ac:dyDescent="0.2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" customHeight="1" x14ac:dyDescent="0.2">
      <c r="A4" s="250" t="s">
        <v>98</v>
      </c>
      <c r="B4" s="37"/>
      <c r="C4" s="251">
        <f>SUM(C5:C7)</f>
        <v>284</v>
      </c>
      <c r="D4" s="253">
        <f>SUM(D5:D7)</f>
        <v>236</v>
      </c>
      <c r="E4" s="254">
        <f>(C4-D4)/D4</f>
        <v>0.20338983050847459</v>
      </c>
      <c r="F4" s="251">
        <f>SUM(F5:F7)</f>
        <v>1840</v>
      </c>
      <c r="G4" s="253">
        <f>SUM(G5:G7)</f>
        <v>1485</v>
      </c>
      <c r="H4" s="252">
        <f>(F4-G4)/G4</f>
        <v>0.23905723905723905</v>
      </c>
      <c r="I4" s="254">
        <f>F4/$F$66</f>
        <v>8.8751688211460549E-3</v>
      </c>
      <c r="J4" s="250" t="s">
        <v>98</v>
      </c>
      <c r="K4" s="37"/>
      <c r="L4" s="251">
        <f>SUM(L5:L7)</f>
        <v>16847</v>
      </c>
      <c r="M4" s="253">
        <f>SUM(M5:M7)</f>
        <v>15087</v>
      </c>
      <c r="N4" s="254">
        <f>(L4-M4)/M4</f>
        <v>0.11665672433220653</v>
      </c>
      <c r="O4" s="251">
        <f>SUM(O5:O7)</f>
        <v>98696</v>
      </c>
      <c r="P4" s="253">
        <f>SUM(P5:P7)</f>
        <v>93510</v>
      </c>
      <c r="Q4" s="252">
        <f>(O4-P4)/P4</f>
        <v>5.5459309164795211E-2</v>
      </c>
      <c r="R4" s="254">
        <f>O4/$O$66</f>
        <v>3.9994620161128529E-3</v>
      </c>
      <c r="S4" s="250" t="s">
        <v>98</v>
      </c>
      <c r="T4" s="37"/>
      <c r="U4" s="251">
        <f>SUM(U5:U7)</f>
        <v>632.79999999999995</v>
      </c>
      <c r="V4" s="253">
        <f>SUM(V5:V7)</f>
        <v>72208.299999999988</v>
      </c>
      <c r="W4" s="254">
        <f>(U4-V4)/V4</f>
        <v>-0.99123646450615788</v>
      </c>
      <c r="X4" s="251">
        <f>SUM(X5:X7)</f>
        <v>87824.1</v>
      </c>
      <c r="Y4" s="253">
        <f>SUM(Y5:Y7)</f>
        <v>279364.19999999995</v>
      </c>
      <c r="Z4" s="252">
        <f>(X4-Y4)/Y4</f>
        <v>-0.68562865249019012</v>
      </c>
      <c r="AA4" s="254">
        <f>X4/$X$66</f>
        <v>1.6443093162549155E-3</v>
      </c>
      <c r="AB4" s="250" t="s">
        <v>98</v>
      </c>
      <c r="AC4" s="37"/>
      <c r="AD4" s="251">
        <f>SUM(AD5:AD7)</f>
        <v>17195</v>
      </c>
      <c r="AE4" s="253">
        <f>SUM(AE5:AE7)</f>
        <v>15278</v>
      </c>
      <c r="AF4" s="254">
        <f>(AD4-AE4)/AE4</f>
        <v>0.1254745385521665</v>
      </c>
      <c r="AG4" s="251">
        <f>SUM(AG5:AG7)</f>
        <v>100224</v>
      </c>
      <c r="AH4" s="253">
        <f>SUM(AH5:AH7)</f>
        <v>94665</v>
      </c>
      <c r="AI4" s="252">
        <f>(AG4-AH4)/AH4</f>
        <v>5.8722864839169706E-2</v>
      </c>
      <c r="AJ4" s="254">
        <f>AG4/$AG$66</f>
        <v>3.954042462401405E-3</v>
      </c>
    </row>
    <row r="5" spans="1:36" ht="14.1" customHeight="1" x14ac:dyDescent="0.2">
      <c r="A5" s="250"/>
      <c r="B5" s="310" t="s">
        <v>98</v>
      </c>
      <c r="C5" s="255">
        <f>+[3]AirCanada!$JA$19</f>
        <v>0</v>
      </c>
      <c r="D5" s="2">
        <f>+[3]AirCanada!$IM$19</f>
        <v>0</v>
      </c>
      <c r="E5" s="63" t="e">
        <f>(C5-D5)/D5</f>
        <v>#DIV/0!</v>
      </c>
      <c r="F5" s="209">
        <f>SUM([3]AirCanada!$IT$19:$JA$19)</f>
        <v>0</v>
      </c>
      <c r="G5" s="209">
        <f>SUM([3]AirCanada!$IF$19:$IM$19)</f>
        <v>0</v>
      </c>
      <c r="H5" s="315" t="e">
        <f>(F5-G5)/G5</f>
        <v>#DIV/0!</v>
      </c>
      <c r="I5" s="63">
        <f>F5/$F$66</f>
        <v>0</v>
      </c>
      <c r="J5" s="250"/>
      <c r="K5" s="310" t="s">
        <v>98</v>
      </c>
      <c r="L5" s="314">
        <f>+[3]AirCanada!$JA$41</f>
        <v>0</v>
      </c>
      <c r="M5" s="209">
        <f>+[3]AirCanada!$IM$41</f>
        <v>0</v>
      </c>
      <c r="N5" s="316" t="e">
        <f>(L5-M5)/M5</f>
        <v>#DIV/0!</v>
      </c>
      <c r="O5" s="314">
        <f>SUM([3]AirCanada!$IT$41:$JA$41)</f>
        <v>0</v>
      </c>
      <c r="P5" s="209">
        <f>SUM([3]AirCanada!$IF$41:$IM$41)</f>
        <v>0</v>
      </c>
      <c r="Q5" s="315" t="e">
        <f>(O5-P5)/P5</f>
        <v>#DIV/0!</v>
      </c>
      <c r="R5" s="316">
        <f>O5/$O$66</f>
        <v>0</v>
      </c>
      <c r="S5" s="250"/>
      <c r="T5" s="310" t="s">
        <v>98</v>
      </c>
      <c r="U5" s="314">
        <f>+[3]AirCanada!$JA$64</f>
        <v>0</v>
      </c>
      <c r="V5" s="209">
        <f>+[3]AirCanada!$IM$64</f>
        <v>0</v>
      </c>
      <c r="W5" s="316" t="e">
        <f>(U5-V5)/V5</f>
        <v>#DIV/0!</v>
      </c>
      <c r="X5" s="314">
        <f>SUM([3]AirCanada!$IT$64:$JA$64)</f>
        <v>0</v>
      </c>
      <c r="Y5" s="209">
        <f>SUM([3]AirCanada!$IF$64:$IM$64)</f>
        <v>0</v>
      </c>
      <c r="Z5" s="315" t="e">
        <f>(X5-Y5)/Y5</f>
        <v>#DIV/0!</v>
      </c>
      <c r="AA5" s="316">
        <f>X5/$X$66</f>
        <v>0</v>
      </c>
      <c r="AB5" s="250"/>
      <c r="AC5" s="310" t="s">
        <v>98</v>
      </c>
      <c r="AD5" s="314">
        <f>+[3]AirCanada!$JA$43</f>
        <v>0</v>
      </c>
      <c r="AE5" s="209">
        <f>+[3]AirCanada!$IM$43</f>
        <v>0</v>
      </c>
      <c r="AF5" s="316" t="e">
        <f>(AD5-AE5)/AE5</f>
        <v>#DIV/0!</v>
      </c>
      <c r="AG5" s="314">
        <f>SUM([3]AirCanada!$IT$43:$JA$43)</f>
        <v>0</v>
      </c>
      <c r="AH5" s="209">
        <f>SUM([3]AirCanada!$IF$43:$IM$43)</f>
        <v>0</v>
      </c>
      <c r="AI5" s="315" t="e">
        <f>(AG5-AH5)/AH5</f>
        <v>#DIV/0!</v>
      </c>
      <c r="AJ5" s="63">
        <f>AG5/$AG$66</f>
        <v>0</v>
      </c>
    </row>
    <row r="6" spans="1:36" ht="14.1" customHeight="1" x14ac:dyDescent="0.2">
      <c r="A6" s="250"/>
      <c r="B6" s="310" t="s">
        <v>162</v>
      </c>
      <c r="C6" s="255">
        <f>'[3]Air Georgian'!$JA$19</f>
        <v>0</v>
      </c>
      <c r="D6" s="2">
        <f>'[3]Air Georgian'!$IM$19</f>
        <v>0</v>
      </c>
      <c r="E6" s="63" t="e">
        <f>(C6-D6)/D6</f>
        <v>#DIV/0!</v>
      </c>
      <c r="F6" s="209">
        <f>SUM('[3]Air Georgian'!$IT$19:$JA$19)</f>
        <v>0</v>
      </c>
      <c r="G6" s="209">
        <f>SUM('[3]Air Georgian'!$IF$19:$IM$19)</f>
        <v>0</v>
      </c>
      <c r="H6" s="315" t="e">
        <f>(F6-G6)/G6</f>
        <v>#DIV/0!</v>
      </c>
      <c r="I6" s="63">
        <f>F6/$F$66</f>
        <v>0</v>
      </c>
      <c r="J6" s="250"/>
      <c r="K6" s="310" t="s">
        <v>162</v>
      </c>
      <c r="L6" s="255">
        <f>'[3]Air Georgian'!$JA$41</f>
        <v>0</v>
      </c>
      <c r="M6" s="2">
        <f>'[3]Air Georgian'!$IM$41</f>
        <v>0</v>
      </c>
      <c r="N6" s="63" t="e">
        <f>(L6-M6)/M6</f>
        <v>#DIV/0!</v>
      </c>
      <c r="O6" s="255">
        <f>SUM('[3]Air Georgian'!$IT$41:$JA$41)</f>
        <v>0</v>
      </c>
      <c r="P6" s="2">
        <f>SUM('[3]Air Georgian'!$IF$41:$IM$41)</f>
        <v>0</v>
      </c>
      <c r="Q6" s="3" t="e">
        <f>(O6-P6)/P6</f>
        <v>#DIV/0!</v>
      </c>
      <c r="R6" s="63">
        <f>O6/$O$66</f>
        <v>0</v>
      </c>
      <c r="S6" s="250"/>
      <c r="T6" s="310" t="s">
        <v>162</v>
      </c>
      <c r="U6" s="255">
        <f>'[3]Air Georgian'!$JA$64</f>
        <v>0</v>
      </c>
      <c r="V6" s="2">
        <f>'[3]Air Georgian'!$IM$64</f>
        <v>0</v>
      </c>
      <c r="W6" s="63" t="e">
        <f>(U6-V6)/V6</f>
        <v>#DIV/0!</v>
      </c>
      <c r="X6" s="255">
        <f>SUM('[3]Air Georgian'!$IT$64:$JA$64)</f>
        <v>0</v>
      </c>
      <c r="Y6" s="2">
        <f>SUM('[3]Air Georgian'!$IF$64:$IM$64)</f>
        <v>0</v>
      </c>
      <c r="Z6" s="3" t="e">
        <f>(X6-Y6)/Y6</f>
        <v>#DIV/0!</v>
      </c>
      <c r="AA6" s="63">
        <f>X6/$X$66</f>
        <v>0</v>
      </c>
      <c r="AB6" s="250"/>
      <c r="AC6" s="310" t="s">
        <v>162</v>
      </c>
      <c r="AD6" s="255">
        <f>'[3]Air Georgian'!$JA$43</f>
        <v>0</v>
      </c>
      <c r="AE6" s="2">
        <f>'[3]Air Georgian'!$IM$43</f>
        <v>0</v>
      </c>
      <c r="AF6" s="63" t="e">
        <f>(AD6-AE6)/AE6</f>
        <v>#DIV/0!</v>
      </c>
      <c r="AG6" s="255">
        <f>SUM('[3]Air Georgian'!$IT$43:$JA$43)</f>
        <v>0</v>
      </c>
      <c r="AH6" s="2">
        <f>SUM('[3]Air Georgian'!$IF$43:$IM$43)</f>
        <v>0</v>
      </c>
      <c r="AI6" s="3" t="e">
        <f>(AG6-AH6)/AH6</f>
        <v>#DIV/0!</v>
      </c>
      <c r="AJ6" s="63">
        <f t="shared" ref="AJ6:AJ7" si="0">AG6/$AG$66</f>
        <v>0</v>
      </c>
    </row>
    <row r="7" spans="1:36" ht="14.1" customHeight="1" x14ac:dyDescent="0.2">
      <c r="A7" s="250"/>
      <c r="B7" s="310" t="s">
        <v>215</v>
      </c>
      <c r="C7" s="255">
        <f>[3]Jazz_AC!$JA$19</f>
        <v>284</v>
      </c>
      <c r="D7" s="2">
        <f>[3]Jazz_AC!$IM$19</f>
        <v>236</v>
      </c>
      <c r="E7" s="63">
        <f t="shared" ref="E7" si="1">(C7-D7)/D7</f>
        <v>0.20338983050847459</v>
      </c>
      <c r="F7" s="2">
        <f>SUM([3]Jazz_AC!$IT$19:$JA$19)</f>
        <v>1840</v>
      </c>
      <c r="G7" s="2">
        <f>SUM([3]Jazz_AC!$IF$19:$IM$19)</f>
        <v>1485</v>
      </c>
      <c r="H7" s="3">
        <f t="shared" ref="H7" si="2">(F7-G7)/G7</f>
        <v>0.23905723905723905</v>
      </c>
      <c r="I7" s="63">
        <f>F7/$F$66</f>
        <v>8.8751688211460549E-3</v>
      </c>
      <c r="J7" s="250"/>
      <c r="K7" s="310" t="s">
        <v>215</v>
      </c>
      <c r="L7" s="255">
        <f>[3]Jazz_AC!$JA$41</f>
        <v>16847</v>
      </c>
      <c r="M7" s="2">
        <f>[3]Jazz_AC!$IM$41</f>
        <v>15087</v>
      </c>
      <c r="N7" s="63">
        <f t="shared" ref="N7" si="3">(L7-M7)/M7</f>
        <v>0.11665672433220653</v>
      </c>
      <c r="O7" s="255">
        <f>SUM([3]Jazz_AC!$IT$41:$JA$41)</f>
        <v>98696</v>
      </c>
      <c r="P7" s="2">
        <f>SUM([3]Jazz_AC!$IF$41:$IM$41)</f>
        <v>93510</v>
      </c>
      <c r="Q7" s="3">
        <f t="shared" ref="Q7" si="4">(O7-P7)/P7</f>
        <v>5.5459309164795211E-2</v>
      </c>
      <c r="R7" s="63">
        <f>O7/$O$66</f>
        <v>3.9994620161128529E-3</v>
      </c>
      <c r="S7" s="250"/>
      <c r="T7" s="310" t="s">
        <v>215</v>
      </c>
      <c r="U7" s="255">
        <f>[3]Jazz_AC!$JA$64</f>
        <v>632.79999999999995</v>
      </c>
      <c r="V7" s="2">
        <f>[3]Jazz_AC!$IM$64</f>
        <v>72208.299999999988</v>
      </c>
      <c r="W7" s="63">
        <f t="shared" ref="W7" si="5">(U7-V7)/V7</f>
        <v>-0.99123646450615788</v>
      </c>
      <c r="X7" s="255">
        <f>SUM([3]Jazz_AC!$IT$64:$JA$64)</f>
        <v>87824.1</v>
      </c>
      <c r="Y7" s="2">
        <f>SUM([3]Jazz_AC!$IF$64:$IM$64)</f>
        <v>279364.19999999995</v>
      </c>
      <c r="Z7" s="3">
        <f t="shared" ref="Z7" si="6">(X7-Y7)/Y7</f>
        <v>-0.68562865249019012</v>
      </c>
      <c r="AA7" s="63">
        <f>X7/$X$66</f>
        <v>1.6443093162549155E-3</v>
      </c>
      <c r="AB7" s="250"/>
      <c r="AC7" s="310" t="s">
        <v>215</v>
      </c>
      <c r="AD7" s="255">
        <f>[3]Jazz_AC!$JA$43</f>
        <v>17195</v>
      </c>
      <c r="AE7" s="2">
        <f>[3]Jazz_AC!$IM$43</f>
        <v>15278</v>
      </c>
      <c r="AF7" s="63">
        <f t="shared" ref="AF7" si="7">(AD7-AE7)/AE7</f>
        <v>0.1254745385521665</v>
      </c>
      <c r="AG7" s="255">
        <f>SUM([3]Jazz_AC!$IT$43:$JA$43)</f>
        <v>100224</v>
      </c>
      <c r="AH7" s="2">
        <f>SUM([3]Jazz_AC!$IF$43:$IM$43)</f>
        <v>94665</v>
      </c>
      <c r="AI7" s="3">
        <f t="shared" ref="AI7" si="8">(AG7-AH7)/AH7</f>
        <v>5.8722864839169706E-2</v>
      </c>
      <c r="AJ7" s="63">
        <f t="shared" si="0"/>
        <v>3.954042462401405E-3</v>
      </c>
    </row>
    <row r="8" spans="1:36" ht="14.1" customHeight="1" x14ac:dyDescent="0.2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" customHeight="1" x14ac:dyDescent="0.2">
      <c r="A9" s="250" t="s">
        <v>154</v>
      </c>
      <c r="B9" s="37"/>
      <c r="C9" s="251">
        <f>'[3]Air France'!$JA$19</f>
        <v>54</v>
      </c>
      <c r="D9" s="253">
        <f>'[3]Air France'!$IM$19</f>
        <v>0</v>
      </c>
      <c r="E9" s="254" t="e">
        <f>(C9-D9)/D9</f>
        <v>#DIV/0!</v>
      </c>
      <c r="F9" s="253">
        <f>SUM('[3]Air France'!$IT$19:$JA$19)</f>
        <v>206</v>
      </c>
      <c r="G9" s="253">
        <f>SUM('[3]Air France'!$IF$19:$IM$19)</f>
        <v>0</v>
      </c>
      <c r="H9" s="252" t="e">
        <f>(F9-G9)/G9</f>
        <v>#DIV/0!</v>
      </c>
      <c r="I9" s="254">
        <f>F9/$F$66</f>
        <v>9.9363303106309096E-4</v>
      </c>
      <c r="J9" s="250" t="s">
        <v>154</v>
      </c>
      <c r="K9" s="37"/>
      <c r="L9" s="251">
        <f>'[3]Air France'!$JA$41</f>
        <v>13609</v>
      </c>
      <c r="M9" s="253">
        <f>'[3]Air France'!$IM$41</f>
        <v>0</v>
      </c>
      <c r="N9" s="254" t="e">
        <f>(L9-M9)/M9</f>
        <v>#DIV/0!</v>
      </c>
      <c r="O9" s="251">
        <f>SUM('[3]Air France'!$IT$41:$JA$41)</f>
        <v>52348</v>
      </c>
      <c r="P9" s="253">
        <f>SUM('[3]Air France'!$IF$41:$IM$41)</f>
        <v>0</v>
      </c>
      <c r="Q9" s="252" t="e">
        <f>(O9-P9)/P9</f>
        <v>#DIV/0!</v>
      </c>
      <c r="R9" s="254">
        <f>O9/$O$66</f>
        <v>2.1213001298885019E-3</v>
      </c>
      <c r="S9" s="250" t="s">
        <v>154</v>
      </c>
      <c r="T9" s="37"/>
      <c r="U9" s="251">
        <f>'[3]Air France'!$JA$64</f>
        <v>342927</v>
      </c>
      <c r="V9" s="253">
        <f>'[3]Air France'!$IM$64</f>
        <v>0</v>
      </c>
      <c r="W9" s="254" t="e">
        <f>(U9-V9)/V9</f>
        <v>#DIV/0!</v>
      </c>
      <c r="X9" s="251">
        <f>SUM('[3]Air France'!$IT$64:$JA$64)</f>
        <v>1105464</v>
      </c>
      <c r="Y9" s="253">
        <f>SUM('[3]Air France'!$IF$64:$IM$64)</f>
        <v>0</v>
      </c>
      <c r="Z9" s="252" t="e">
        <f>(X9-Y9)/Y9</f>
        <v>#DIV/0!</v>
      </c>
      <c r="AA9" s="254">
        <f>X9/$X$66</f>
        <v>2.0697334262285906E-2</v>
      </c>
      <c r="AB9" s="250" t="s">
        <v>154</v>
      </c>
      <c r="AC9" s="37"/>
      <c r="AD9" s="251">
        <f>'[3]Air France'!$JA$43</f>
        <v>13640</v>
      </c>
      <c r="AE9" s="253">
        <f>'[3]Air France'!$IM$43</f>
        <v>0</v>
      </c>
      <c r="AF9" s="254" t="e">
        <f>(AD9-AE9)/AE9</f>
        <v>#DIV/0!</v>
      </c>
      <c r="AG9" s="251">
        <f>SUM('[3]Air France'!$IT$43:$JA$43)</f>
        <v>52465</v>
      </c>
      <c r="AH9" s="253">
        <f>SUM('[3]Air France'!$IF$43:$IM$43)</f>
        <v>0</v>
      </c>
      <c r="AI9" s="252" t="e">
        <f>(AG9-AH9)/AH9</f>
        <v>#DIV/0!</v>
      </c>
      <c r="AJ9" s="254">
        <f>AG9/$AG$66</f>
        <v>2.0698519096213454E-3</v>
      </c>
    </row>
    <row r="10" spans="1:36" ht="14.1" customHeight="1" x14ac:dyDescent="0.2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" customHeight="1" x14ac:dyDescent="0.2">
      <c r="A11" s="250" t="s">
        <v>194</v>
      </c>
      <c r="B11" s="37"/>
      <c r="C11" s="251">
        <f>'[3]Aer Lingus'!$JA$19</f>
        <v>34</v>
      </c>
      <c r="D11" s="253">
        <f>'[3]Aer Lingus'!$IM$19</f>
        <v>0</v>
      </c>
      <c r="E11" s="254" t="e">
        <f>(C11-D11)/D11</f>
        <v>#DIV/0!</v>
      </c>
      <c r="F11" s="253">
        <f>SUM('[3]Aer Lingus'!$IT$19:$JA$19)</f>
        <v>142</v>
      </c>
      <c r="G11" s="253">
        <f>SUM('[3]Aer Lingus'!$IF$19:$IM$19)</f>
        <v>0</v>
      </c>
      <c r="H11" s="252" t="e">
        <f>(F11-G11)/G11</f>
        <v>#DIV/0!</v>
      </c>
      <c r="I11" s="254">
        <f>F11/$F$66</f>
        <v>6.8493150684931507E-4</v>
      </c>
      <c r="J11" s="250" t="s">
        <v>194</v>
      </c>
      <c r="K11" s="37"/>
      <c r="L11" s="251">
        <f>'[3]Aer Lingus'!$JA$41</f>
        <v>5789</v>
      </c>
      <c r="M11" s="253">
        <f>'[3]Aer Lingus'!$IM$41</f>
        <v>0</v>
      </c>
      <c r="N11" s="254" t="e">
        <f>(L11-M11)/M11</f>
        <v>#DIV/0!</v>
      </c>
      <c r="O11" s="251">
        <f>SUM('[3]Aer Lingus'!$IT$41:$JA$41)</f>
        <v>26689</v>
      </c>
      <c r="P11" s="253">
        <f>SUM('[3]Aer Lingus'!$IF$41:$IM$41)</f>
        <v>0</v>
      </c>
      <c r="Q11" s="252" t="e">
        <f>(O11-P11)/P11</f>
        <v>#DIV/0!</v>
      </c>
      <c r="R11" s="254">
        <f>O11/$O$66</f>
        <v>1.0815194308587575E-3</v>
      </c>
      <c r="S11" s="250" t="s">
        <v>194</v>
      </c>
      <c r="T11" s="37"/>
      <c r="U11" s="251">
        <f>'[3]Aer Lingus'!$JA$64</f>
        <v>0</v>
      </c>
      <c r="V11" s="253">
        <f>'[3]Aer Lingus'!$IM$64</f>
        <v>0</v>
      </c>
      <c r="W11" s="254" t="e">
        <f>(U11-V11)/V11</f>
        <v>#DIV/0!</v>
      </c>
      <c r="X11" s="251">
        <f>SUM('[3]Aer Lingus'!$IT$64:$JA$64)</f>
        <v>2436.11</v>
      </c>
      <c r="Y11" s="253">
        <f>SUM('[3]Aer Lingus'!$IF$64:$IM$64)</f>
        <v>0</v>
      </c>
      <c r="Z11" s="252" t="e">
        <f>(X11-Y11)/Y11</f>
        <v>#DIV/0!</v>
      </c>
      <c r="AA11" s="254">
        <f>X11/$X$66</f>
        <v>4.5610696476499756E-5</v>
      </c>
      <c r="AB11" s="250" t="s">
        <v>194</v>
      </c>
      <c r="AC11" s="37"/>
      <c r="AD11" s="251">
        <f>'[3]Aer Lingus'!$JA$43</f>
        <v>5849</v>
      </c>
      <c r="AE11" s="253">
        <f>'[3]Aer Lingus'!$IM$43</f>
        <v>0</v>
      </c>
      <c r="AF11" s="254" t="e">
        <f>(AD11-AE11)/AE11</f>
        <v>#DIV/0!</v>
      </c>
      <c r="AG11" s="251">
        <f>SUM('[3]Aer Lingus'!$IT$43:$JA$43)</f>
        <v>26880</v>
      </c>
      <c r="AH11" s="253">
        <f>SUM('[3]Aer Lingus'!$IF$43:$IM$43)</f>
        <v>0</v>
      </c>
      <c r="AI11" s="252" t="e">
        <f>(AG11-AH11)/AH11</f>
        <v>#DIV/0!</v>
      </c>
      <c r="AJ11" s="254">
        <f>AG11/$AG$66</f>
        <v>1.0604711584984612E-3</v>
      </c>
    </row>
    <row r="12" spans="1:36" ht="14.1" customHeight="1" x14ac:dyDescent="0.2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" customHeight="1" x14ac:dyDescent="0.2">
      <c r="A13" s="250" t="s">
        <v>216</v>
      </c>
      <c r="B13" s="37"/>
      <c r="C13" s="255">
        <f>'[3]Allegiant '!$JA$19</f>
        <v>16</v>
      </c>
      <c r="D13" s="2">
        <f>'[3]Allegiant '!$IM$19</f>
        <v>34</v>
      </c>
      <c r="E13" s="254">
        <f t="shared" ref="E13" si="9">(C13-D13)/D13</f>
        <v>-0.52941176470588236</v>
      </c>
      <c r="F13" s="2">
        <f>SUM('[3]Allegiant '!$IT$19:$JA$19)</f>
        <v>462</v>
      </c>
      <c r="G13" s="2">
        <f>SUM('[3]Allegiant '!$IF$19:$IM$19)</f>
        <v>610</v>
      </c>
      <c r="H13" s="252">
        <f t="shared" ref="H13" si="10">(F13-G13)/G13</f>
        <v>-0.24262295081967214</v>
      </c>
      <c r="I13" s="254">
        <f>F13/$F$66</f>
        <v>2.2284391279181943E-3</v>
      </c>
      <c r="J13" s="250" t="s">
        <v>216</v>
      </c>
      <c r="K13" s="37"/>
      <c r="L13" s="255">
        <f>'[3]Allegiant '!$JA$41</f>
        <v>2503</v>
      </c>
      <c r="M13" s="2">
        <f>'[3]Allegiant '!$IM$41</f>
        <v>4809</v>
      </c>
      <c r="N13" s="254">
        <f t="shared" ref="N13" si="11">(L13-M13)/M13</f>
        <v>-0.47951757122062799</v>
      </c>
      <c r="O13" s="255">
        <f>SUM('[3]Allegiant '!$IT$41:$JA$41)</f>
        <v>64715</v>
      </c>
      <c r="P13" s="2">
        <f>SUM('[3]Allegiant '!$IF$41:$IM$41)</f>
        <v>90124</v>
      </c>
      <c r="Q13" s="252">
        <f t="shared" ref="Q13" si="12">(O13-P13)/P13</f>
        <v>-0.2819337801251609</v>
      </c>
      <c r="R13" s="254">
        <f>O13/$O$66</f>
        <v>2.6224485731209295E-3</v>
      </c>
      <c r="S13" s="250" t="s">
        <v>216</v>
      </c>
      <c r="T13" s="37"/>
      <c r="U13" s="255">
        <f>'[3]Allegiant '!$JA$64</f>
        <v>0</v>
      </c>
      <c r="V13" s="2">
        <f>'[3]Allegiant '!$IM$64</f>
        <v>0</v>
      </c>
      <c r="W13" s="254" t="e">
        <f t="shared" ref="W13" si="13">(U13-V13)/V13</f>
        <v>#DIV/0!</v>
      </c>
      <c r="X13" s="255">
        <f>SUM('[3]Allegiant '!$IT$64:$JA$64)</f>
        <v>0</v>
      </c>
      <c r="Y13" s="2">
        <f>SUM('[3]Allegiant '!$IF$64:$IM$64)</f>
        <v>0</v>
      </c>
      <c r="Z13" s="252" t="e">
        <f t="shared" ref="Z13" si="14">(X13-Y13)/Y13</f>
        <v>#DIV/0!</v>
      </c>
      <c r="AA13" s="254">
        <f>X13/$X$66</f>
        <v>0</v>
      </c>
      <c r="AB13" s="250" t="s">
        <v>216</v>
      </c>
      <c r="AC13" s="37"/>
      <c r="AD13" s="255">
        <f>'[3]Allegiant '!$JA$43</f>
        <v>2503</v>
      </c>
      <c r="AE13" s="2">
        <f>'[3]Allegiant '!$IM$43</f>
        <v>4809</v>
      </c>
      <c r="AF13" s="254">
        <f t="shared" ref="AF13" si="15">(AD13-AE13)/AE13</f>
        <v>-0.47951757122062799</v>
      </c>
      <c r="AG13" s="255">
        <f>SUM('[3]Allegiant '!$IT$43:$JA$43)</f>
        <v>64715</v>
      </c>
      <c r="AH13" s="2">
        <f>SUM('[3]Allegiant '!$IF$43:$IM$43)</f>
        <v>90124</v>
      </c>
      <c r="AI13" s="252">
        <f t="shared" ref="AI13" si="16">(AG13-AH13)/AH13</f>
        <v>-0.2819337801251609</v>
      </c>
      <c r="AJ13" s="254">
        <f>AG13/$AG$66</f>
        <v>2.5531395469578838E-3</v>
      </c>
    </row>
    <row r="14" spans="1:36" ht="14.1" customHeight="1" x14ac:dyDescent="0.2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" customHeight="1" x14ac:dyDescent="0.2">
      <c r="A15" s="250" t="s">
        <v>127</v>
      </c>
      <c r="B15" s="37"/>
      <c r="C15" s="251">
        <f>SUM(C16:C18)</f>
        <v>329</v>
      </c>
      <c r="D15" s="253">
        <f>SUM(D16:D18)</f>
        <v>261</v>
      </c>
      <c r="E15" s="254">
        <f>(C15-D15)/D15</f>
        <v>0.26053639846743293</v>
      </c>
      <c r="F15" s="253">
        <f>SUM(F16:F18)</f>
        <v>1700</v>
      </c>
      <c r="G15" s="253">
        <f>SUM(G16:G18)</f>
        <v>1298</v>
      </c>
      <c r="H15" s="252">
        <f>(F15-G15)/G15</f>
        <v>0.30970724191063176</v>
      </c>
      <c r="I15" s="254">
        <f>F15/$F$66</f>
        <v>8.1998842369284206E-3</v>
      </c>
      <c r="J15" s="250" t="s">
        <v>127</v>
      </c>
      <c r="K15" s="37"/>
      <c r="L15" s="251">
        <f>SUM(L16:L18)</f>
        <v>44774</v>
      </c>
      <c r="M15" s="253">
        <f>SUM(M16:M18)</f>
        <v>36121</v>
      </c>
      <c r="N15" s="254">
        <f>(L15-M15)/M15</f>
        <v>0.23955593698956285</v>
      </c>
      <c r="O15" s="251">
        <f>SUM(O16:O18)</f>
        <v>220277</v>
      </c>
      <c r="P15" s="253">
        <f>SUM(P16:P18)</f>
        <v>186906</v>
      </c>
      <c r="Q15" s="252">
        <f>(O15-P15)/P15</f>
        <v>0.17854429499320515</v>
      </c>
      <c r="R15" s="254">
        <f>O15/$O$66</f>
        <v>8.9262938166013907E-3</v>
      </c>
      <c r="S15" s="250" t="s">
        <v>127</v>
      </c>
      <c r="T15" s="37"/>
      <c r="U15" s="251">
        <f>SUM(U16:U18)</f>
        <v>50801</v>
      </c>
      <c r="V15" s="253">
        <f>SUM(V16:V18)</f>
        <v>41100</v>
      </c>
      <c r="W15" s="254">
        <f>(U15-V15)/V15</f>
        <v>0.23603406326034063</v>
      </c>
      <c r="X15" s="251">
        <f>SUM(X16:X18)</f>
        <v>272733</v>
      </c>
      <c r="Y15" s="253">
        <f>SUM(Y16:Y18)</f>
        <v>291709</v>
      </c>
      <c r="Z15" s="252">
        <f>(X15-Y15)/Y15</f>
        <v>-6.5051129721743248E-2</v>
      </c>
      <c r="AA15" s="254">
        <f>X15/$X$66</f>
        <v>5.1063137880166358E-3</v>
      </c>
      <c r="AB15" s="250" t="s">
        <v>127</v>
      </c>
      <c r="AC15" s="37"/>
      <c r="AD15" s="251">
        <f>SUM(AD16:AD18)</f>
        <v>46380</v>
      </c>
      <c r="AE15" s="253">
        <f>SUM(AE16:AE18)</f>
        <v>37308</v>
      </c>
      <c r="AF15" s="254">
        <f>(AD15-AE15)/AE15</f>
        <v>0.24316500482470246</v>
      </c>
      <c r="AG15" s="251">
        <f>SUM(AG16:AG18)</f>
        <v>227691</v>
      </c>
      <c r="AH15" s="253">
        <f>SUM(AH16:AH18)</f>
        <v>192931</v>
      </c>
      <c r="AI15" s="252">
        <f>(AG15-AH15)/AH15</f>
        <v>0.18016803935085601</v>
      </c>
      <c r="AJ15" s="254">
        <f>AG15/$AG$66</f>
        <v>8.9828771781872447E-3</v>
      </c>
    </row>
    <row r="16" spans="1:36" ht="14.1" customHeight="1" x14ac:dyDescent="0.2">
      <c r="A16" s="250"/>
      <c r="B16" s="310" t="s">
        <v>127</v>
      </c>
      <c r="C16" s="314">
        <f>[3]Alaska!$JA$19</f>
        <v>329</v>
      </c>
      <c r="D16" s="209">
        <f>[3]Alaska!$IM$19</f>
        <v>261</v>
      </c>
      <c r="E16" s="316">
        <f>(C16-D16)/D16</f>
        <v>0.26053639846743293</v>
      </c>
      <c r="F16" s="209">
        <f>SUM([3]Alaska!$IT$19:$JA$19)</f>
        <v>1700</v>
      </c>
      <c r="G16" s="209">
        <f>SUM([3]Alaska!$IF$19:$IM$19)</f>
        <v>1298</v>
      </c>
      <c r="H16" s="315">
        <f>(F16-G16)/G16</f>
        <v>0.30970724191063176</v>
      </c>
      <c r="I16" s="316">
        <f>F16/$F$66</f>
        <v>8.1998842369284206E-3</v>
      </c>
      <c r="J16" s="250"/>
      <c r="K16" s="310" t="s">
        <v>127</v>
      </c>
      <c r="L16" s="314">
        <f>[3]Alaska!$JA$41</f>
        <v>44774</v>
      </c>
      <c r="M16" s="209">
        <f>[3]Alaska!$IM$41</f>
        <v>36121</v>
      </c>
      <c r="N16" s="316">
        <f>(L16-M16)/M16</f>
        <v>0.23955593698956285</v>
      </c>
      <c r="O16" s="314">
        <f>SUM([3]Alaska!$IT$41:$JA$41)</f>
        <v>220277</v>
      </c>
      <c r="P16" s="209">
        <f>SUM([3]Alaska!$IF$41:$IM$41)</f>
        <v>186906</v>
      </c>
      <c r="Q16" s="315">
        <f>(O16-P16)/P16</f>
        <v>0.17854429499320515</v>
      </c>
      <c r="R16" s="316">
        <f>O16/$O$66</f>
        <v>8.9262938166013907E-3</v>
      </c>
      <c r="S16" s="250"/>
      <c r="T16" s="310" t="s">
        <v>127</v>
      </c>
      <c r="U16" s="314">
        <f>[3]Alaska!$JA$64</f>
        <v>50801</v>
      </c>
      <c r="V16" s="209">
        <f>[3]Alaska!$IM$64</f>
        <v>41100</v>
      </c>
      <c r="W16" s="316">
        <f>(U16-V16)/V16</f>
        <v>0.23603406326034063</v>
      </c>
      <c r="X16" s="314">
        <f>SUM([3]Alaska!$IT$64:$JA$64)</f>
        <v>272733</v>
      </c>
      <c r="Y16" s="209">
        <f>SUM([3]Alaska!$IF$64:$IM$64)</f>
        <v>291709</v>
      </c>
      <c r="Z16" s="315">
        <f>(X16-Y16)/Y16</f>
        <v>-6.5051129721743248E-2</v>
      </c>
      <c r="AA16" s="316">
        <f>X16/$X$66</f>
        <v>5.1063137880166358E-3</v>
      </c>
      <c r="AB16" s="250"/>
      <c r="AC16" s="310" t="s">
        <v>127</v>
      </c>
      <c r="AD16" s="314">
        <f>[3]Alaska!$JA$43</f>
        <v>46380</v>
      </c>
      <c r="AE16" s="209">
        <f>[3]Alaska!$IM$43</f>
        <v>37308</v>
      </c>
      <c r="AF16" s="316">
        <f>(AD16-AE16)/AE16</f>
        <v>0.24316500482470246</v>
      </c>
      <c r="AG16" s="314">
        <f>SUM([3]Alaska!$IT$43:$JA$43)</f>
        <v>227691</v>
      </c>
      <c r="AH16" s="209">
        <f>SUM([3]Alaska!$IF$43:$IM$43)</f>
        <v>192931</v>
      </c>
      <c r="AI16" s="315">
        <f>(AG16-AH16)/AH16</f>
        <v>0.18016803935085601</v>
      </c>
      <c r="AJ16" s="63">
        <f t="shared" ref="AJ16:AJ18" si="17">AG16/$AG$66</f>
        <v>8.9828771781872447E-3</v>
      </c>
    </row>
    <row r="17" spans="1:36" ht="14.1" customHeight="1" x14ac:dyDescent="0.2">
      <c r="A17" s="250"/>
      <c r="B17" s="310" t="s">
        <v>97</v>
      </c>
      <c r="C17" s="255">
        <f>'[3]Sky West_AS'!$JA$19</f>
        <v>0</v>
      </c>
      <c r="D17" s="2">
        <f>'[3]Sky West_AS'!$IM$19</f>
        <v>0</v>
      </c>
      <c r="E17" s="63" t="e">
        <f>(C17-D17)/D17</f>
        <v>#DIV/0!</v>
      </c>
      <c r="F17" s="2">
        <f>SUM('[3]Sky West_AS'!$IT$19:$JA$19)</f>
        <v>0</v>
      </c>
      <c r="G17" s="2">
        <f>SUM('[3]Sky West_AS'!$IF$19:$IM$19)</f>
        <v>0</v>
      </c>
      <c r="H17" s="3" t="e">
        <f>(F17-G17)/G17</f>
        <v>#DIV/0!</v>
      </c>
      <c r="I17" s="63">
        <f>F17/$F$66</f>
        <v>0</v>
      </c>
      <c r="J17" s="250"/>
      <c r="K17" s="310" t="s">
        <v>97</v>
      </c>
      <c r="L17" s="255">
        <f>'[3]Sky West_AS'!$JA$41</f>
        <v>0</v>
      </c>
      <c r="M17" s="2">
        <f>'[3]Sky West_AS'!$IM$41</f>
        <v>0</v>
      </c>
      <c r="N17" s="63" t="e">
        <f>(L17-M17)/M17</f>
        <v>#DIV/0!</v>
      </c>
      <c r="O17" s="255">
        <f>SUM('[3]Sky West_AS'!$IT$41:$JA$41)</f>
        <v>0</v>
      </c>
      <c r="P17" s="2">
        <f>SUM('[3]Sky West_AS'!$IF$41:$IM$41)</f>
        <v>0</v>
      </c>
      <c r="Q17" s="3" t="e">
        <f>(O17-P17)/P17</f>
        <v>#DIV/0!</v>
      </c>
      <c r="R17" s="316">
        <f>O17/$O$66</f>
        <v>0</v>
      </c>
      <c r="S17" s="250"/>
      <c r="T17" s="310" t="s">
        <v>97</v>
      </c>
      <c r="U17" s="255">
        <f>'[3]Sky West_AS'!$JA$64</f>
        <v>0</v>
      </c>
      <c r="V17" s="2">
        <f>'[3]Sky West_AS'!$IM$64</f>
        <v>0</v>
      </c>
      <c r="W17" s="63" t="e">
        <f>(U17-V17)/V17</f>
        <v>#DIV/0!</v>
      </c>
      <c r="X17" s="255">
        <f>SUM('[3]Sky West_AS'!$IT$64:$JA$64)</f>
        <v>0</v>
      </c>
      <c r="Y17" s="2">
        <f>SUM('[3]Sky West_AS'!$IF$64:$IM$64)</f>
        <v>0</v>
      </c>
      <c r="Z17" s="3" t="e">
        <f>(X17-Y17)/Y17</f>
        <v>#DIV/0!</v>
      </c>
      <c r="AA17" s="316">
        <f>X17/$X$66</f>
        <v>0</v>
      </c>
      <c r="AB17" s="250"/>
      <c r="AC17" s="310" t="s">
        <v>97</v>
      </c>
      <c r="AD17" s="255">
        <f>'[3]Sky West_AS'!$JA$43</f>
        <v>0</v>
      </c>
      <c r="AE17" s="2">
        <f>'[3]Sky West_AS'!$IM$43</f>
        <v>0</v>
      </c>
      <c r="AF17" s="63" t="e">
        <f>(AD17-AE17)/AE17</f>
        <v>#DIV/0!</v>
      </c>
      <c r="AG17" s="255">
        <f>SUM('[3]Sky West_AS'!$IT$43:$JA$43)</f>
        <v>0</v>
      </c>
      <c r="AH17" s="2">
        <f>SUM('[3]Sky West_AS'!$IF$43:$IM$43)</f>
        <v>0</v>
      </c>
      <c r="AI17" s="3" t="e">
        <f>(AG17-AH17)/AH17</f>
        <v>#DIV/0!</v>
      </c>
      <c r="AJ17" s="63">
        <f t="shared" si="17"/>
        <v>0</v>
      </c>
    </row>
    <row r="18" spans="1:36" ht="14.1" customHeight="1" x14ac:dyDescent="0.2">
      <c r="A18" s="250"/>
      <c r="B18" s="310" t="s">
        <v>184</v>
      </c>
      <c r="C18" s="255">
        <f>[3]Horizon_AS!$JA$19</f>
        <v>0</v>
      </c>
      <c r="D18" s="2">
        <f>[3]Horizon_AS!$IM$19</f>
        <v>0</v>
      </c>
      <c r="E18" s="63" t="e">
        <f>(C18-D18)/D18</f>
        <v>#DIV/0!</v>
      </c>
      <c r="F18" s="2">
        <f>SUM([3]Horizon_AS!$IT$19:$JA$19)</f>
        <v>0</v>
      </c>
      <c r="G18" s="2">
        <f>SUM([3]Horizon_AS!$IF$19:$IM$19)</f>
        <v>0</v>
      </c>
      <c r="H18" s="3" t="e">
        <f>(F18-G18)/G18</f>
        <v>#DIV/0!</v>
      </c>
      <c r="I18" s="63">
        <f>F18/$F$66</f>
        <v>0</v>
      </c>
      <c r="J18" s="250"/>
      <c r="K18" s="310" t="s">
        <v>184</v>
      </c>
      <c r="L18" s="255">
        <f>[3]Horizon_AS!$JA$41</f>
        <v>0</v>
      </c>
      <c r="M18" s="2">
        <f>[3]Horizon_AS!$IM$41</f>
        <v>0</v>
      </c>
      <c r="N18" s="63" t="e">
        <f>(L18-M18)/M18</f>
        <v>#DIV/0!</v>
      </c>
      <c r="O18" s="255">
        <f>SUM([3]Horizon_AS!$IT$41:$JA$41)</f>
        <v>0</v>
      </c>
      <c r="P18" s="2">
        <f>SUM([3]Horizon_AS!$IF$41:$IM$41)</f>
        <v>0</v>
      </c>
      <c r="Q18" s="3" t="e">
        <f>(O18-P18)/P18</f>
        <v>#DIV/0!</v>
      </c>
      <c r="R18" s="316">
        <f>O18/$O$66</f>
        <v>0</v>
      </c>
      <c r="S18" s="250"/>
      <c r="T18" s="310" t="s">
        <v>184</v>
      </c>
      <c r="U18" s="255">
        <f>[3]Horizon_AS!$JA$64</f>
        <v>0</v>
      </c>
      <c r="V18" s="2">
        <f>[3]Horizon_AS!$IM$64</f>
        <v>0</v>
      </c>
      <c r="W18" s="63" t="e">
        <f>(U18-V18)/V18</f>
        <v>#DIV/0!</v>
      </c>
      <c r="X18" s="255">
        <f>SUM([3]Horizon_AS!$IT$64:$JA$64)</f>
        <v>0</v>
      </c>
      <c r="Y18" s="2">
        <f>SUM([3]Horizon_AS!$IF$64:$IM$64)</f>
        <v>0</v>
      </c>
      <c r="Z18" s="3" t="e">
        <f>(X18-Y18)/Y18</f>
        <v>#DIV/0!</v>
      </c>
      <c r="AA18" s="316">
        <f>X18/$X$66</f>
        <v>0</v>
      </c>
      <c r="AB18" s="250"/>
      <c r="AC18" s="310" t="s">
        <v>184</v>
      </c>
      <c r="AD18" s="255">
        <f>[3]Horizon_AS!$JA$43</f>
        <v>0</v>
      </c>
      <c r="AE18" s="2">
        <f>[3]Horizon_AS!$IM$43</f>
        <v>0</v>
      </c>
      <c r="AF18" s="63" t="e">
        <f>(AD18-AE18)/AE18</f>
        <v>#DIV/0!</v>
      </c>
      <c r="AG18" s="255">
        <f>SUM([3]Horizon_AS!$IT$43:$JA$43)</f>
        <v>0</v>
      </c>
      <c r="AH18" s="2">
        <f>SUM([3]Horizon_AS!$IF$43:$IM$43)</f>
        <v>0</v>
      </c>
      <c r="AI18" s="3" t="e">
        <f>(AG18-AH18)/AH18</f>
        <v>#DIV/0!</v>
      </c>
      <c r="AJ18" s="63">
        <f t="shared" si="17"/>
        <v>0</v>
      </c>
    </row>
    <row r="19" spans="1:36" ht="14.1" customHeight="1" x14ac:dyDescent="0.2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" customHeight="1" x14ac:dyDescent="0.2">
      <c r="A20" s="250" t="s">
        <v>17</v>
      </c>
      <c r="B20" s="257"/>
      <c r="C20" s="251">
        <f>SUM(C21:C26)</f>
        <v>1372</v>
      </c>
      <c r="D20" s="253">
        <f>SUM(D21:D26)</f>
        <v>1245</v>
      </c>
      <c r="E20" s="254">
        <f t="shared" ref="E20:E26" si="18">(C20-D20)/D20</f>
        <v>0.10200803212851406</v>
      </c>
      <c r="F20" s="251">
        <f>SUM(F21:F26)</f>
        <v>9287</v>
      </c>
      <c r="G20" s="253">
        <f>SUM(G21:G26)</f>
        <v>8775</v>
      </c>
      <c r="H20" s="252">
        <f t="shared" ref="H20:H26" si="19">(F20-G20)/G20</f>
        <v>5.8347578347578345E-2</v>
      </c>
      <c r="I20" s="254">
        <f t="shared" ref="I20:I26" si="20">F20/$F$66</f>
        <v>4.4795485240208377E-2</v>
      </c>
      <c r="J20" s="250" t="s">
        <v>17</v>
      </c>
      <c r="K20" s="257"/>
      <c r="L20" s="251">
        <f>SUM(L21:L26)</f>
        <v>156633</v>
      </c>
      <c r="M20" s="253">
        <f>SUM(M21:M26)</f>
        <v>141834</v>
      </c>
      <c r="N20" s="254">
        <f t="shared" ref="N20:N26" si="21">(L20-M20)/M20</f>
        <v>0.10434028512204407</v>
      </c>
      <c r="O20" s="251">
        <f>SUM(O21:O26)</f>
        <v>1044536</v>
      </c>
      <c r="P20" s="253">
        <f>SUM(P21:P26)</f>
        <v>985706</v>
      </c>
      <c r="Q20" s="252">
        <f t="shared" ref="Q20:Q26" si="22">(O20-P20)/P20</f>
        <v>5.9683110379768409E-2</v>
      </c>
      <c r="R20" s="254">
        <f t="shared" ref="R20:R26" si="23">O20/$O$66</f>
        <v>4.2327774747329724E-2</v>
      </c>
      <c r="S20" s="250" t="s">
        <v>17</v>
      </c>
      <c r="T20" s="257"/>
      <c r="U20" s="251">
        <f>SUM(U21:U26)</f>
        <v>45282</v>
      </c>
      <c r="V20" s="253">
        <f>SUM(V21:V26)</f>
        <v>32878</v>
      </c>
      <c r="W20" s="254">
        <f t="shared" ref="W20:W24" si="24">(U20-V20)/V20</f>
        <v>0.37727355678569258</v>
      </c>
      <c r="X20" s="251">
        <f>SUM(X21:X26)</f>
        <v>375165</v>
      </c>
      <c r="Y20" s="253">
        <f>SUM(Y21:Y26)</f>
        <v>392647</v>
      </c>
      <c r="Z20" s="252">
        <f t="shared" ref="Z20:Z24" si="25">(X20-Y20)/Y20</f>
        <v>-4.4523452363064021E-2</v>
      </c>
      <c r="AA20" s="254">
        <f t="shared" ref="AA20:AA26" si="26">X20/$X$66</f>
        <v>7.024123271775917E-3</v>
      </c>
      <c r="AB20" s="250" t="s">
        <v>17</v>
      </c>
      <c r="AC20" s="257"/>
      <c r="AD20" s="251">
        <f>SUM(AD21:AD26)</f>
        <v>161945</v>
      </c>
      <c r="AE20" s="253">
        <f>SUM(AE21:AE26)</f>
        <v>147118</v>
      </c>
      <c r="AF20" s="254">
        <f t="shared" ref="AF20:AF24" si="27">(AD20-AE20)/AE20</f>
        <v>0.10078304490273114</v>
      </c>
      <c r="AG20" s="251">
        <f>SUM(AG21:AG26)</f>
        <v>1080384</v>
      </c>
      <c r="AH20" s="253">
        <f>SUM(AH21:AH26)</f>
        <v>1021320</v>
      </c>
      <c r="AI20" s="252">
        <f t="shared" ref="AI20:AI24" si="28">(AG20-AH20)/AH20</f>
        <v>5.7831042180707323E-2</v>
      </c>
      <c r="AJ20" s="254">
        <f>AG20/$AG$66</f>
        <v>4.2623365777648865E-2</v>
      </c>
    </row>
    <row r="21" spans="1:36" ht="14.1" customHeight="1" x14ac:dyDescent="0.2">
      <c r="A21" s="36"/>
      <c r="B21" s="37" t="s">
        <v>17</v>
      </c>
      <c r="C21" s="255">
        <f>[3]American!$JA$19</f>
        <v>929</v>
      </c>
      <c r="D21" s="2">
        <f>[3]American!$IM$19</f>
        <v>799</v>
      </c>
      <c r="E21" s="63">
        <f t="shared" si="18"/>
        <v>0.16270337922403003</v>
      </c>
      <c r="F21" s="2">
        <f>SUM([3]American!$IT$19:$JA$19)</f>
        <v>5916</v>
      </c>
      <c r="G21" s="2">
        <f>SUM([3]American!$IF$19:$IM$19)</f>
        <v>5412</v>
      </c>
      <c r="H21" s="3">
        <f t="shared" si="19"/>
        <v>9.3126385809312637E-2</v>
      </c>
      <c r="I21" s="63">
        <f t="shared" si="20"/>
        <v>2.8535597144510903E-2</v>
      </c>
      <c r="J21" s="36"/>
      <c r="K21" s="37" t="s">
        <v>17</v>
      </c>
      <c r="L21" s="255">
        <f>[3]American!$JA$41</f>
        <v>129026</v>
      </c>
      <c r="M21" s="2">
        <f>[3]American!$IM$41</f>
        <v>115500</v>
      </c>
      <c r="N21" s="63">
        <f t="shared" si="21"/>
        <v>0.11710822510822511</v>
      </c>
      <c r="O21" s="255">
        <f>SUM([3]American!$IT$41:$JA$41)</f>
        <v>842491</v>
      </c>
      <c r="P21" s="2">
        <f>SUM([3]American!$IF$41:$IM$41)</f>
        <v>791657</v>
      </c>
      <c r="Q21" s="3">
        <f t="shared" si="22"/>
        <v>6.421215248523035E-2</v>
      </c>
      <c r="R21" s="63">
        <f t="shared" si="23"/>
        <v>3.4140297007142467E-2</v>
      </c>
      <c r="S21" s="36"/>
      <c r="T21" s="37" t="s">
        <v>17</v>
      </c>
      <c r="U21" s="255">
        <f>[3]American!$JA$64</f>
        <v>41171</v>
      </c>
      <c r="V21" s="2">
        <f>[3]American!$IM$64</f>
        <v>31014</v>
      </c>
      <c r="W21" s="63">
        <f t="shared" si="24"/>
        <v>0.3274972593022506</v>
      </c>
      <c r="X21" s="255">
        <f>SUM([3]American!$IT$64:$JA$64)</f>
        <v>344862</v>
      </c>
      <c r="Y21" s="2">
        <f>SUM([3]American!$IF$64:$IM$64)</f>
        <v>371526</v>
      </c>
      <c r="Z21" s="3">
        <f t="shared" si="25"/>
        <v>-7.1768866781867224E-2</v>
      </c>
      <c r="AA21" s="63">
        <f t="shared" si="26"/>
        <v>6.4567675549456541E-3</v>
      </c>
      <c r="AB21" s="36"/>
      <c r="AC21" s="37" t="s">
        <v>17</v>
      </c>
      <c r="AD21" s="255">
        <f>[3]American!$JA$43</f>
        <v>133420</v>
      </c>
      <c r="AE21" s="2">
        <f>[3]American!$IM$43</f>
        <v>120043</v>
      </c>
      <c r="AF21" s="63">
        <f t="shared" si="27"/>
        <v>0.11143506910023908</v>
      </c>
      <c r="AG21" s="255">
        <f>SUM([3]American!$IT$43:$JA$43)</f>
        <v>871017</v>
      </c>
      <c r="AH21" s="2">
        <f>SUM([3]American!$IF$43:$IM$43)</f>
        <v>820833</v>
      </c>
      <c r="AI21" s="3">
        <f t="shared" si="28"/>
        <v>6.1137892847875269E-2</v>
      </c>
      <c r="AJ21" s="63">
        <f t="shared" ref="AJ21:AJ26" si="29">AG21/$AG$66</f>
        <v>3.4363408000813028E-2</v>
      </c>
    </row>
    <row r="22" spans="1:36" ht="14.1" customHeight="1" x14ac:dyDescent="0.2">
      <c r="A22" s="36"/>
      <c r="B22" s="310" t="s">
        <v>163</v>
      </c>
      <c r="C22" s="255">
        <f>'[3]American Eagle'!$JA$19</f>
        <v>231</v>
      </c>
      <c r="D22" s="2">
        <f>'[3]American Eagle'!$IM$19</f>
        <v>93</v>
      </c>
      <c r="E22" s="63">
        <f t="shared" si="18"/>
        <v>1.4838709677419355</v>
      </c>
      <c r="F22" s="2">
        <f>SUM('[3]American Eagle'!$IT$19:$JA$19)</f>
        <v>1111</v>
      </c>
      <c r="G22" s="2">
        <f>SUM('[3]American Eagle'!$IF$19:$IM$19)</f>
        <v>767</v>
      </c>
      <c r="H22" s="3">
        <f t="shared" si="19"/>
        <v>0.44850065189048238</v>
      </c>
      <c r="I22" s="63">
        <f t="shared" si="20"/>
        <v>5.358865521898514E-3</v>
      </c>
      <c r="J22" s="36"/>
      <c r="K22" s="310" t="s">
        <v>163</v>
      </c>
      <c r="L22" s="255">
        <f>'[3]American Eagle'!$JA$41</f>
        <v>13888</v>
      </c>
      <c r="M22" s="2">
        <f>'[3]American Eagle'!$IM$41</f>
        <v>6217</v>
      </c>
      <c r="N22" s="63">
        <f t="shared" si="21"/>
        <v>1.2338748592568762</v>
      </c>
      <c r="O22" s="255">
        <f>SUM('[3]American Eagle'!$IT$41:$JA$41)</f>
        <v>68518</v>
      </c>
      <c r="P22" s="2">
        <f>SUM('[3]American Eagle'!$IF$41:$IM$41)</f>
        <v>47028</v>
      </c>
      <c r="Q22" s="3">
        <f t="shared" si="22"/>
        <v>0.45696180998554053</v>
      </c>
      <c r="R22" s="63">
        <f t="shared" si="23"/>
        <v>2.776557696563391E-3</v>
      </c>
      <c r="S22" s="36"/>
      <c r="T22" s="310" t="s">
        <v>163</v>
      </c>
      <c r="U22" s="255">
        <f>'[3]American Eagle'!$JA$64</f>
        <v>1260</v>
      </c>
      <c r="V22" s="2">
        <f>'[3]American Eagle'!$IM$64</f>
        <v>831</v>
      </c>
      <c r="W22" s="63">
        <f t="shared" si="24"/>
        <v>0.51624548736462095</v>
      </c>
      <c r="X22" s="255">
        <f>SUM('[3]American Eagle'!$IT$64:$JA$64)</f>
        <v>4612</v>
      </c>
      <c r="Y22" s="2">
        <f>SUM('[3]American Eagle'!$IF$64:$IM$64)</f>
        <v>6470</v>
      </c>
      <c r="Z22" s="3">
        <f t="shared" si="25"/>
        <v>-0.28717156105100461</v>
      </c>
      <c r="AA22" s="63">
        <f t="shared" si="26"/>
        <v>8.634935702805573E-5</v>
      </c>
      <c r="AB22" s="36"/>
      <c r="AC22" s="310" t="s">
        <v>163</v>
      </c>
      <c r="AD22" s="255">
        <f>'[3]American Eagle'!$JA$43</f>
        <v>14531</v>
      </c>
      <c r="AE22" s="2">
        <f>'[3]American Eagle'!$IM$43</f>
        <v>6410</v>
      </c>
      <c r="AF22" s="63">
        <f t="shared" si="27"/>
        <v>1.2669266770670826</v>
      </c>
      <c r="AG22" s="255">
        <f>SUM('[3]American Eagle'!$IT$43:$JA$43)</f>
        <v>71576</v>
      </c>
      <c r="AH22" s="2">
        <f>SUM('[3]American Eagle'!$IF$43:$IM$43)</f>
        <v>48813</v>
      </c>
      <c r="AI22" s="3">
        <f t="shared" si="28"/>
        <v>0.4663306905947186</v>
      </c>
      <c r="AJ22" s="63">
        <f t="shared" si="29"/>
        <v>2.8238200759183726E-3</v>
      </c>
    </row>
    <row r="23" spans="1:36" ht="14.1" customHeight="1" x14ac:dyDescent="0.2">
      <c r="A23" s="36"/>
      <c r="B23" s="310" t="s">
        <v>52</v>
      </c>
      <c r="C23" s="255">
        <f>[3]Republic!$JA$19</f>
        <v>95</v>
      </c>
      <c r="D23" s="2">
        <f>[3]Republic!$IM$19</f>
        <v>117</v>
      </c>
      <c r="E23" s="63">
        <f t="shared" si="18"/>
        <v>-0.18803418803418803</v>
      </c>
      <c r="F23" s="2">
        <f>SUM([3]Republic!$IT$19:$JA$19)</f>
        <v>993</v>
      </c>
      <c r="G23" s="2">
        <f>SUM([3]Republic!$IF$19:$IM$19)</f>
        <v>1496</v>
      </c>
      <c r="H23" s="3">
        <f t="shared" si="19"/>
        <v>-0.33622994652406418</v>
      </c>
      <c r="I23" s="63">
        <f t="shared" si="20"/>
        <v>4.789697086629365E-3</v>
      </c>
      <c r="J23" s="36"/>
      <c r="K23" s="258" t="s">
        <v>52</v>
      </c>
      <c r="L23" s="255">
        <f>[3]Republic!$JA$41</f>
        <v>6797</v>
      </c>
      <c r="M23" s="2">
        <f>[3]Republic!$IM$41</f>
        <v>7713</v>
      </c>
      <c r="N23" s="63">
        <f t="shared" si="21"/>
        <v>-0.11876053416310126</v>
      </c>
      <c r="O23" s="255">
        <f>SUM([3]Republic!$IT$41:$JA$41)</f>
        <v>58840</v>
      </c>
      <c r="P23" s="2">
        <f>SUM([3]Republic!$IF$41:$IM$41)</f>
        <v>91654</v>
      </c>
      <c r="Q23" s="3">
        <f t="shared" si="22"/>
        <v>-0.35802038099810157</v>
      </c>
      <c r="R23" s="63">
        <f t="shared" si="23"/>
        <v>2.3843757095331143E-3</v>
      </c>
      <c r="S23" s="36"/>
      <c r="T23" s="258" t="s">
        <v>52</v>
      </c>
      <c r="U23" s="255">
        <f>[3]Republic!$JA$64</f>
        <v>2846</v>
      </c>
      <c r="V23" s="2">
        <f>[3]Republic!$IM$64</f>
        <v>983</v>
      </c>
      <c r="W23" s="63">
        <f t="shared" si="24"/>
        <v>1.8952187182095626</v>
      </c>
      <c r="X23" s="255">
        <f>SUM([3]Republic!$IT$64:$JA$64)</f>
        <v>22223</v>
      </c>
      <c r="Y23" s="2">
        <f>SUM([3]Republic!$IF$64:$IM$64)</f>
        <v>14561</v>
      </c>
      <c r="Z23" s="3">
        <f t="shared" si="25"/>
        <v>0.52620012361788338</v>
      </c>
      <c r="AA23" s="63">
        <f t="shared" si="26"/>
        <v>4.1607583721476205E-4</v>
      </c>
      <c r="AB23" s="36"/>
      <c r="AC23" s="258" t="s">
        <v>52</v>
      </c>
      <c r="AD23" s="255">
        <f>[3]Republic!$JA$43</f>
        <v>6936</v>
      </c>
      <c r="AE23" s="2">
        <f>[3]Republic!$IM$43</f>
        <v>8029</v>
      </c>
      <c r="AF23" s="63">
        <f t="shared" si="27"/>
        <v>-0.13613152322829741</v>
      </c>
      <c r="AG23" s="255">
        <f>SUM([3]Republic!$IT$43:$JA$43)</f>
        <v>61178</v>
      </c>
      <c r="AH23" s="2">
        <f>SUM([3]Republic!$IF$43:$IM$43)</f>
        <v>94913</v>
      </c>
      <c r="AI23" s="3">
        <f t="shared" si="28"/>
        <v>-0.35543076290919051</v>
      </c>
      <c r="AJ23" s="63">
        <f>AG23/$AG$66</f>
        <v>2.4135976389367134E-3</v>
      </c>
    </row>
    <row r="24" spans="1:36" ht="14.1" customHeight="1" x14ac:dyDescent="0.2">
      <c r="A24" s="36"/>
      <c r="B24" s="310" t="s">
        <v>177</v>
      </c>
      <c r="C24" s="255">
        <f>[3]PSA!$JA$19</f>
        <v>115</v>
      </c>
      <c r="D24" s="2">
        <f>[3]PSA!$IM$19</f>
        <v>64</v>
      </c>
      <c r="E24" s="63">
        <f t="shared" si="18"/>
        <v>0.796875</v>
      </c>
      <c r="F24" s="2">
        <f>SUM([3]PSA!$IT$19:$JA$19)</f>
        <v>937</v>
      </c>
      <c r="G24" s="2">
        <f>SUM([3]PSA!$IF$19:$IM$19)</f>
        <v>562</v>
      </c>
      <c r="H24" s="3">
        <f t="shared" si="19"/>
        <v>0.66725978647686834</v>
      </c>
      <c r="I24" s="63">
        <f t="shared" si="20"/>
        <v>4.5195832529423118E-3</v>
      </c>
      <c r="J24" s="36"/>
      <c r="K24" s="310" t="s">
        <v>177</v>
      </c>
      <c r="L24" s="255">
        <f>[3]PSA!$JA$41</f>
        <v>6922</v>
      </c>
      <c r="M24" s="2">
        <f>[3]PSA!$IM$41</f>
        <v>4341</v>
      </c>
      <c r="N24" s="63">
        <f t="shared" si="21"/>
        <v>0.59456346463948395</v>
      </c>
      <c r="O24" s="255">
        <f>SUM([3]PSA!$IT$41:$JA$41)</f>
        <v>59076</v>
      </c>
      <c r="P24" s="2">
        <f>SUM([3]PSA!$IF$41:$IM$41)</f>
        <v>30970</v>
      </c>
      <c r="Q24" s="3">
        <f t="shared" si="22"/>
        <v>0.90752340975137225</v>
      </c>
      <c r="R24" s="63">
        <f t="shared" si="23"/>
        <v>2.3939391471172375E-3</v>
      </c>
      <c r="S24" s="36"/>
      <c r="T24" s="310" t="s">
        <v>177</v>
      </c>
      <c r="U24" s="255">
        <f>[3]PSA!$JA$64</f>
        <v>5</v>
      </c>
      <c r="V24" s="2">
        <f>[3]PSA!$IM$64</f>
        <v>0</v>
      </c>
      <c r="W24" s="63" t="e">
        <f t="shared" si="24"/>
        <v>#DIV/0!</v>
      </c>
      <c r="X24" s="255">
        <f>SUM([3]PSA!$IT$64:$JA$64)</f>
        <v>788</v>
      </c>
      <c r="Y24" s="2">
        <f>SUM([3]PSA!$IF$64:$IM$64)</f>
        <v>40</v>
      </c>
      <c r="Z24" s="3">
        <f t="shared" si="25"/>
        <v>18.7</v>
      </c>
      <c r="AA24" s="63">
        <f t="shared" si="26"/>
        <v>1.4753532813986973E-5</v>
      </c>
      <c r="AB24" s="36"/>
      <c r="AC24" s="310" t="s">
        <v>177</v>
      </c>
      <c r="AD24" s="255">
        <f>[3]PSA!$JA$43</f>
        <v>7058</v>
      </c>
      <c r="AE24" s="2">
        <f>[3]PSA!$IM$43</f>
        <v>4397</v>
      </c>
      <c r="AF24" s="63">
        <f t="shared" si="27"/>
        <v>0.60518535365021608</v>
      </c>
      <c r="AG24" s="255">
        <f>SUM([3]PSA!$IT$43:$JA$43)</f>
        <v>60451</v>
      </c>
      <c r="AH24" s="2">
        <f>SUM([3]PSA!$IF$43:$IM$43)</f>
        <v>31744</v>
      </c>
      <c r="AI24" s="3">
        <f t="shared" si="28"/>
        <v>0.904328377016129</v>
      </c>
      <c r="AJ24" s="63">
        <f t="shared" si="29"/>
        <v>2.3849159971127409E-3</v>
      </c>
    </row>
    <row r="25" spans="1:36" ht="14.1" customHeight="1" x14ac:dyDescent="0.2">
      <c r="A25" s="36"/>
      <c r="B25" s="310" t="s">
        <v>97</v>
      </c>
      <c r="C25" s="255">
        <f>'[3]Sky West_AA'!$JA$19</f>
        <v>2</v>
      </c>
      <c r="D25" s="2">
        <f>'[3]Sky West_AA'!$IM$19</f>
        <v>0</v>
      </c>
      <c r="E25" s="63" t="e">
        <f>(C25-D25)/D25</f>
        <v>#DIV/0!</v>
      </c>
      <c r="F25" s="2">
        <f>SUM('[3]Sky West_AA'!$IT$19:$JA$19)</f>
        <v>62</v>
      </c>
      <c r="G25" s="2">
        <f>SUM('[3]Sky West_AA'!$IF$19:$IM$19)</f>
        <v>0</v>
      </c>
      <c r="H25" s="3" t="e">
        <f>(F25-G25)/G25</f>
        <v>#DIV/0!</v>
      </c>
      <c r="I25" s="63">
        <f t="shared" si="20"/>
        <v>2.9905460158209532E-4</v>
      </c>
      <c r="J25" s="36"/>
      <c r="K25" s="310" t="s">
        <v>97</v>
      </c>
      <c r="L25" s="255">
        <f>'[3]Sky West_AA'!$JA$41</f>
        <v>0</v>
      </c>
      <c r="M25" s="2">
        <f>'[3]Sky West_AA'!$IM$41</f>
        <v>0</v>
      </c>
      <c r="N25" s="63" t="e">
        <f>(L25-M25)/M25</f>
        <v>#DIV/0!</v>
      </c>
      <c r="O25" s="255">
        <f>SUM('[3]Sky West_AA'!$IT$41:$JA$41)</f>
        <v>3516</v>
      </c>
      <c r="P25" s="2">
        <f>SUM('[3]Sky West_AA'!$IF$41:$IM$41)</f>
        <v>0</v>
      </c>
      <c r="Q25" s="3" t="e">
        <f>(O25-P25)/P25</f>
        <v>#DIV/0!</v>
      </c>
      <c r="R25" s="316">
        <f t="shared" si="23"/>
        <v>1.4247901078719288E-4</v>
      </c>
      <c r="S25" s="36"/>
      <c r="T25" s="310" t="s">
        <v>97</v>
      </c>
      <c r="U25" s="255">
        <f>'[3]Sky West_AA'!$JA$64</f>
        <v>0</v>
      </c>
      <c r="V25" s="2">
        <f>'[3]Sky West_AA'!$IM$64</f>
        <v>0</v>
      </c>
      <c r="W25" s="63" t="e">
        <f>(U25-V25)/V25</f>
        <v>#DIV/0!</v>
      </c>
      <c r="X25" s="255">
        <f>SUM('[3]Sky West_AA'!$IT$64:$JA$64)</f>
        <v>2</v>
      </c>
      <c r="Y25" s="2">
        <f>SUM('[3]Sky West_AA'!$IF$64:$IM$64)</f>
        <v>0</v>
      </c>
      <c r="Z25" s="3" t="e">
        <f>(X25-Y25)/Y25</f>
        <v>#DIV/0!</v>
      </c>
      <c r="AA25" s="316">
        <f t="shared" si="26"/>
        <v>3.7445514756312113E-8</v>
      </c>
      <c r="AB25" s="36"/>
      <c r="AC25" s="310" t="s">
        <v>97</v>
      </c>
      <c r="AD25" s="255">
        <f>'[3]Sky West_AA'!$JA$43</f>
        <v>0</v>
      </c>
      <c r="AE25" s="2">
        <f>'[3]Sky West_AA'!$IM$43</f>
        <v>0</v>
      </c>
      <c r="AF25" s="63" t="e">
        <f>(AD25-AE25)/AE25</f>
        <v>#DIV/0!</v>
      </c>
      <c r="AG25" s="255">
        <f>SUM('[3]Sky West_AA'!$IT$43:$JA$43)</f>
        <v>3684</v>
      </c>
      <c r="AH25" s="2">
        <f>SUM('[3]Sky West_AA'!$IF$43:$IM$43)</f>
        <v>0</v>
      </c>
      <c r="AI25" s="3" t="e">
        <f>(AG25-AH25)/AH25</f>
        <v>#DIV/0!</v>
      </c>
      <c r="AJ25" s="63">
        <f t="shared" si="29"/>
        <v>1.4534135966920875E-4</v>
      </c>
    </row>
    <row r="26" spans="1:36" ht="14.1" customHeight="1" x14ac:dyDescent="0.2">
      <c r="A26" s="36"/>
      <c r="B26" s="310" t="s">
        <v>50</v>
      </c>
      <c r="C26" s="255">
        <f>'[3]Air Wisconsin'!$JA$19</f>
        <v>0</v>
      </c>
      <c r="D26" s="2">
        <f>'[3]Air Wisconsin'!$IM$19</f>
        <v>172</v>
      </c>
      <c r="E26" s="63">
        <f t="shared" si="18"/>
        <v>-1</v>
      </c>
      <c r="F26" s="2">
        <f>SUM('[3]Air Wisconsin'!$IT$19:$JA$19)</f>
        <v>268</v>
      </c>
      <c r="G26" s="2">
        <f>SUM('[3]Air Wisconsin'!$IF$19:$IM$19)</f>
        <v>538</v>
      </c>
      <c r="H26" s="341">
        <f t="shared" si="19"/>
        <v>-0.5018587360594795</v>
      </c>
      <c r="I26" s="63">
        <f t="shared" si="20"/>
        <v>1.2926876326451863E-3</v>
      </c>
      <c r="J26" s="36"/>
      <c r="K26" s="258" t="s">
        <v>50</v>
      </c>
      <c r="L26" s="255">
        <f>'[3]Air Wisconsin'!$JA$41</f>
        <v>0</v>
      </c>
      <c r="M26" s="2">
        <f>'[3]Air Wisconsin'!$IM$41</f>
        <v>8063</v>
      </c>
      <c r="N26" s="63">
        <f t="shared" si="21"/>
        <v>-1</v>
      </c>
      <c r="O26" s="255">
        <f>SUM('[3]Air Wisconsin'!$IT$41:$JA$41)</f>
        <v>12095</v>
      </c>
      <c r="P26" s="2">
        <f>SUM('[3]Air Wisconsin'!$IF$41:$IM$41)</f>
        <v>24397</v>
      </c>
      <c r="Q26" s="3">
        <f t="shared" si="22"/>
        <v>-0.5042423248760094</v>
      </c>
      <c r="R26" s="63">
        <f t="shared" si="23"/>
        <v>4.9012617618631913E-4</v>
      </c>
      <c r="S26" s="36"/>
      <c r="T26" s="258" t="s">
        <v>50</v>
      </c>
      <c r="U26" s="255">
        <f>'[3]Air Wisconsin'!$JA$64</f>
        <v>0</v>
      </c>
      <c r="V26" s="2">
        <f>'[3]Air Wisconsin'!$IM$64</f>
        <v>50</v>
      </c>
      <c r="W26" s="63">
        <f t="shared" ref="W26" si="30">(U26-V26)/V26</f>
        <v>-1</v>
      </c>
      <c r="X26" s="255">
        <f>SUM('[3]Air Wisconsin'!$IT$64:$JA$64)</f>
        <v>2678</v>
      </c>
      <c r="Y26" s="2">
        <f>SUM('[3]Air Wisconsin'!$IF$64:$IM$64)</f>
        <v>50</v>
      </c>
      <c r="Z26" s="3">
        <f t="shared" ref="Z26" si="31">(X26-Y26)/Y26</f>
        <v>52.56</v>
      </c>
      <c r="AA26" s="63">
        <f t="shared" si="26"/>
        <v>5.0139544258701918E-5</v>
      </c>
      <c r="AB26" s="36"/>
      <c r="AC26" s="258" t="s">
        <v>50</v>
      </c>
      <c r="AD26" s="255">
        <f>'[3]Air Wisconsin'!$JA$43</f>
        <v>0</v>
      </c>
      <c r="AE26" s="2">
        <f>'[3]Air Wisconsin'!$IM$43</f>
        <v>8239</v>
      </c>
      <c r="AF26" s="63">
        <f t="shared" ref="AF26" si="32">(AD26-AE26)/AE26</f>
        <v>-1</v>
      </c>
      <c r="AG26" s="255">
        <f>SUM('[3]Air Wisconsin'!$IT$43:$JA$43)</f>
        <v>12478</v>
      </c>
      <c r="AH26" s="2">
        <f>SUM('[3]Air Wisconsin'!$IF$43:$IM$43)</f>
        <v>25017</v>
      </c>
      <c r="AI26" s="3">
        <f t="shared" ref="AI26" si="33">(AG26-AH26)/AH26</f>
        <v>-0.50121917096374469</v>
      </c>
      <c r="AJ26" s="63">
        <f t="shared" si="29"/>
        <v>4.9228270519880205E-4</v>
      </c>
    </row>
    <row r="27" spans="1:36" ht="14.1" customHeight="1" x14ac:dyDescent="0.2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" customHeight="1" x14ac:dyDescent="0.2">
      <c r="A28" s="250" t="s">
        <v>159</v>
      </c>
      <c r="B28" s="37"/>
      <c r="C28" s="251">
        <f>[3]Condor!$JA$19</f>
        <v>26</v>
      </c>
      <c r="D28" s="253">
        <f>[3]Condor!$IM$19</f>
        <v>26</v>
      </c>
      <c r="E28" s="254">
        <f>(C28-D28)/D28</f>
        <v>0</v>
      </c>
      <c r="F28" s="253">
        <f>SUM([3]Condor!$IT$19:$JA$19)</f>
        <v>92</v>
      </c>
      <c r="G28" s="253">
        <f>SUM([3]Condor!$IF$19:$IM$19)</f>
        <v>82</v>
      </c>
      <c r="H28" s="252">
        <f>(F28-G28)/G28</f>
        <v>0.12195121951219512</v>
      </c>
      <c r="I28" s="254">
        <f>F28/$F$66</f>
        <v>4.437584410573027E-4</v>
      </c>
      <c r="J28" s="250" t="s">
        <v>159</v>
      </c>
      <c r="K28" s="37"/>
      <c r="L28" s="251">
        <f>[3]Condor!$JA$41</f>
        <v>5770</v>
      </c>
      <c r="M28" s="253">
        <f>[3]Condor!$IM$41</f>
        <v>5368</v>
      </c>
      <c r="N28" s="254">
        <f>(L28-M28)/M28</f>
        <v>7.4888226527570795E-2</v>
      </c>
      <c r="O28" s="251">
        <f>SUM([3]Condor!$IT$41:$JA$41)</f>
        <v>20099</v>
      </c>
      <c r="P28" s="253">
        <f>SUM([3]Condor!$IF$41:$IM$41)</f>
        <v>17807</v>
      </c>
      <c r="Q28" s="252">
        <f>(O28-P28)/P28</f>
        <v>0.12871342730386925</v>
      </c>
      <c r="R28" s="254">
        <f>O28/$O$66</f>
        <v>8.1447259323429741E-4</v>
      </c>
      <c r="S28" s="250" t="s">
        <v>159</v>
      </c>
      <c r="T28" s="37"/>
      <c r="U28" s="251">
        <f>[3]Condor!$JA$64</f>
        <v>106537</v>
      </c>
      <c r="V28" s="253">
        <f>[3]Condor!$IM$64</f>
        <v>95579</v>
      </c>
      <c r="W28" s="254">
        <f>(U28-V28)/V28</f>
        <v>0.11464861528159952</v>
      </c>
      <c r="X28" s="251">
        <f>SUM([3]Condor!$IT$64:$JA$64)</f>
        <v>561081</v>
      </c>
      <c r="Y28" s="253">
        <f>SUM([3]Condor!$IF$64:$IM$64)</f>
        <v>242643</v>
      </c>
      <c r="Z28" s="252">
        <f>(X28-Y28)/Y28</f>
        <v>1.3123724978672371</v>
      </c>
      <c r="AA28" s="254">
        <f>X28/$X$66</f>
        <v>1.0504983432493179E-2</v>
      </c>
      <c r="AB28" s="250" t="s">
        <v>159</v>
      </c>
      <c r="AC28" s="37"/>
      <c r="AD28" s="251">
        <f>[3]Condor!$JA$43</f>
        <v>5801</v>
      </c>
      <c r="AE28" s="253">
        <f>[3]Condor!$IM$43</f>
        <v>5387</v>
      </c>
      <c r="AF28" s="254">
        <f>(AD28-AE28)/AE28</f>
        <v>7.6851679970298861E-2</v>
      </c>
      <c r="AG28" s="251">
        <f>SUM([3]Condor!$IT$43:$JA$43)</f>
        <v>20214</v>
      </c>
      <c r="AH28" s="253">
        <f>SUM([3]Condor!$IF$43:$IM$43)</f>
        <v>17864</v>
      </c>
      <c r="AI28" s="252">
        <f>(AG28-AH28)/AH28</f>
        <v>0.13154948499776087</v>
      </c>
      <c r="AJ28" s="254">
        <f>AG28/$AG$66</f>
        <v>7.9748377968332938E-4</v>
      </c>
    </row>
    <row r="29" spans="1:36" ht="14.1" customHeight="1" x14ac:dyDescent="0.2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" customHeight="1" x14ac:dyDescent="0.2">
      <c r="A30" s="250" t="s">
        <v>209</v>
      </c>
      <c r="B30" s="37"/>
      <c r="C30" s="251">
        <f>'[3]Denver Air'!$JA$19</f>
        <v>164</v>
      </c>
      <c r="D30" s="253">
        <f>'[3]Denver Air'!$IM$19</f>
        <v>162</v>
      </c>
      <c r="E30" s="254">
        <f>(C30-D30)/D30</f>
        <v>1.2345679012345678E-2</v>
      </c>
      <c r="F30" s="253">
        <f>SUM('[3]Denver Air'!$IT$19:$JA$19)</f>
        <v>1366</v>
      </c>
      <c r="G30" s="253">
        <f>SUM('[3]Denver Air'!$IF$19:$IM$19)</f>
        <v>1230</v>
      </c>
      <c r="H30" s="252">
        <f>(F30-G30)/G30</f>
        <v>0.11056910569105691</v>
      </c>
      <c r="I30" s="254">
        <f>F30/$F$66</f>
        <v>6.5888481574377777E-3</v>
      </c>
      <c r="J30" s="250" t="s">
        <v>209</v>
      </c>
      <c r="K30" s="37"/>
      <c r="L30" s="251">
        <f>'[3]Denver Air'!$JA$41</f>
        <v>2131</v>
      </c>
      <c r="M30" s="253">
        <f>'[3]Denver Air'!$IM$41</f>
        <v>1838</v>
      </c>
      <c r="N30" s="254">
        <f>(L30-M30)/M30</f>
        <v>0.15941240478781285</v>
      </c>
      <c r="O30" s="251">
        <f>SUM('[3]Denver Air'!$IT$41:$JA$41)</f>
        <v>14351</v>
      </c>
      <c r="P30" s="253">
        <f>SUM('[3]Denver Air'!$IF$41:$IM$41)</f>
        <v>12779</v>
      </c>
      <c r="Q30" s="252">
        <f>(O30-P30)/P30</f>
        <v>0.12301432036935597</v>
      </c>
      <c r="R30" s="254">
        <f>O30/$O$66</f>
        <v>5.8154615580404008E-4</v>
      </c>
      <c r="S30" s="250" t="s">
        <v>209</v>
      </c>
      <c r="T30" s="37"/>
      <c r="U30" s="251">
        <f>'[3]Denver Air'!$JA$64</f>
        <v>0</v>
      </c>
      <c r="V30" s="253">
        <f>'[3]Denver Air'!$IM$64</f>
        <v>0</v>
      </c>
      <c r="W30" s="254" t="e">
        <f>(U30-V30)/V30</f>
        <v>#DIV/0!</v>
      </c>
      <c r="X30" s="251">
        <f>SUM('[3]Denver Air'!$IT$64:$JA$64)</f>
        <v>0</v>
      </c>
      <c r="Y30" s="253">
        <f>SUM('[3]Denver Air'!$IF$64:$IM$64)</f>
        <v>0</v>
      </c>
      <c r="Z30" s="252" t="e">
        <f>(X30-Y30)/Y30</f>
        <v>#DIV/0!</v>
      </c>
      <c r="AA30" s="254">
        <f>X30/$X$64</f>
        <v>0</v>
      </c>
      <c r="AB30" s="250" t="s">
        <v>209</v>
      </c>
      <c r="AC30" s="37"/>
      <c r="AD30" s="251">
        <f>'[3]Denver Air'!$JA$43</f>
        <v>2219</v>
      </c>
      <c r="AE30" s="253">
        <f>'[3]Denver Air'!$IM$43</f>
        <v>1929</v>
      </c>
      <c r="AF30" s="254">
        <f>(AD30-AE30)/AE30</f>
        <v>0.15033696215655781</v>
      </c>
      <c r="AG30" s="251">
        <f>SUM('[3]Denver Air'!$IT$43:$JA$43)</f>
        <v>14932</v>
      </c>
      <c r="AH30" s="253">
        <f>SUM('[3]Denver Air'!$IF$43:$IM$43)</f>
        <v>13271</v>
      </c>
      <c r="AI30" s="252">
        <f>(AG30-AH30)/AH30</f>
        <v>0.12516012357772588</v>
      </c>
      <c r="AJ30" s="254">
        <f>AG30/$AG$66</f>
        <v>5.8909804087421962E-4</v>
      </c>
    </row>
    <row r="31" spans="1:36" ht="14.1" customHeight="1" x14ac:dyDescent="0.2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" customHeight="1" x14ac:dyDescent="0.2">
      <c r="A32" s="250" t="s">
        <v>18</v>
      </c>
      <c r="B32" s="257"/>
      <c r="C32" s="251">
        <f>SUM(C33:C36)</f>
        <v>20330</v>
      </c>
      <c r="D32" s="253">
        <f>SUM(D33:D36)</f>
        <v>19717</v>
      </c>
      <c r="E32" s="254">
        <f t="shared" ref="E32:E36" si="34">(C32-D32)/D32</f>
        <v>3.1089922401988133E-2</v>
      </c>
      <c r="F32" s="256">
        <f>SUM(F33:F36)</f>
        <v>146248</v>
      </c>
      <c r="G32" s="256">
        <f>SUM(G33:G36)</f>
        <v>140632</v>
      </c>
      <c r="H32" s="252">
        <f>(F32-G32)/G32</f>
        <v>3.9934012173616244E-2</v>
      </c>
      <c r="I32" s="254">
        <f>F32/$F$66</f>
        <v>0.70542157051900445</v>
      </c>
      <c r="J32" s="250" t="s">
        <v>18</v>
      </c>
      <c r="K32" s="257"/>
      <c r="L32" s="251">
        <f>SUM(L33:L36)</f>
        <v>2452951</v>
      </c>
      <c r="M32" s="253">
        <f>SUM(M33:M36)</f>
        <v>2293741</v>
      </c>
      <c r="N32" s="254">
        <f t="shared" ref="N32:N36" si="35">(L32-M32)/M32</f>
        <v>6.9410626570305889E-2</v>
      </c>
      <c r="O32" s="251">
        <f>SUM(O33:O36)</f>
        <v>16964703</v>
      </c>
      <c r="P32" s="253">
        <f>SUM(P33:P36)</f>
        <v>15971178</v>
      </c>
      <c r="Q32" s="252">
        <f t="shared" ref="Q32:Q36" si="36">(O32-P32)/P32</f>
        <v>6.2207371303481807E-2</v>
      </c>
      <c r="R32" s="254">
        <f>O32/$O$66</f>
        <v>0.68746134861732755</v>
      </c>
      <c r="S32" s="250" t="s">
        <v>18</v>
      </c>
      <c r="T32" s="257"/>
      <c r="U32" s="251">
        <f>SUM(U33:U36)</f>
        <v>5907495</v>
      </c>
      <c r="V32" s="253">
        <f>SUM(V33:V36)</f>
        <v>5113897</v>
      </c>
      <c r="W32" s="254">
        <f t="shared" ref="W32:W36" si="37">(U32-V32)/V32</f>
        <v>0.15518458819174497</v>
      </c>
      <c r="X32" s="251">
        <f>SUM(X33:X36)</f>
        <v>45549028</v>
      </c>
      <c r="Y32" s="253">
        <f>SUM(Y33:Y36)</f>
        <v>47863604</v>
      </c>
      <c r="Z32" s="252">
        <f t="shared" ref="Z32:Z34" si="38">(X32-Y32)/Y32</f>
        <v>-4.8357745898114986E-2</v>
      </c>
      <c r="AA32" s="254">
        <f>X32/$X$66</f>
        <v>0.85280340005483679</v>
      </c>
      <c r="AB32" s="250" t="s">
        <v>18</v>
      </c>
      <c r="AC32" s="257"/>
      <c r="AD32" s="251">
        <f>SUM(AD33:AD36)</f>
        <v>2515245</v>
      </c>
      <c r="AE32" s="253">
        <f>SUM(AE33:AE36)</f>
        <v>2357616</v>
      </c>
      <c r="AF32" s="254">
        <f t="shared" ref="AF32:AF36" si="39">(AD32-AE32)/AE32</f>
        <v>6.6859488568112871E-2</v>
      </c>
      <c r="AG32" s="251">
        <f>SUM(AG33:AG36)</f>
        <v>17467373</v>
      </c>
      <c r="AH32" s="253">
        <f>SUM(AH33:AH36)</f>
        <v>16461360</v>
      </c>
      <c r="AI32" s="252">
        <f t="shared" ref="AI32:AI36" si="40">(AG32-AH32)/AH32</f>
        <v>6.1113601792318499E-2</v>
      </c>
      <c r="AJ32" s="254">
        <f>AG32/$AG$66</f>
        <v>0.68912370837926862</v>
      </c>
    </row>
    <row r="33" spans="1:36" ht="14.1" customHeight="1" x14ac:dyDescent="0.2">
      <c r="A33" s="36"/>
      <c r="B33" s="37" t="s">
        <v>18</v>
      </c>
      <c r="C33" s="255">
        <f>[3]Delta!$JA$19</f>
        <v>14885</v>
      </c>
      <c r="D33" s="2">
        <f>[3]Delta!$IM$19</f>
        <v>14011</v>
      </c>
      <c r="E33" s="63">
        <f t="shared" si="34"/>
        <v>6.2379558917993003E-2</v>
      </c>
      <c r="F33" s="2">
        <f>SUM([3]Delta!$IT$19:$JA$19)</f>
        <v>101870</v>
      </c>
      <c r="G33" s="2">
        <f>SUM([3]Delta!$IF$19:$IM$19)</f>
        <v>96775</v>
      </c>
      <c r="H33" s="3">
        <f t="shared" ref="H33:H36" si="41">(F33-G33)/G33</f>
        <v>5.2647894600878327E-2</v>
      </c>
      <c r="I33" s="63">
        <f>F33/$F$66</f>
        <v>0.49136600424464594</v>
      </c>
      <c r="J33" s="36"/>
      <c r="K33" s="37" t="s">
        <v>18</v>
      </c>
      <c r="L33" s="255">
        <f>[3]Delta!$JA$41</f>
        <v>2130569</v>
      </c>
      <c r="M33" s="2">
        <f>[3]Delta!$IM$41</f>
        <v>1981650</v>
      </c>
      <c r="N33" s="63">
        <f t="shared" si="35"/>
        <v>7.5148992001614817E-2</v>
      </c>
      <c r="O33" s="255">
        <f>SUM([3]Delta!$IT$41:$JA$41)</f>
        <v>14418945</v>
      </c>
      <c r="P33" s="2">
        <f>SUM([3]Delta!$IF$41:$IM$41)</f>
        <v>13606345</v>
      </c>
      <c r="Q33" s="3">
        <f t="shared" si="36"/>
        <v>5.9722136988294802E-2</v>
      </c>
      <c r="R33" s="63">
        <f>O33/$O$66</f>
        <v>0.58429949379833357</v>
      </c>
      <c r="S33" s="36"/>
      <c r="T33" s="37" t="s">
        <v>18</v>
      </c>
      <c r="U33" s="255">
        <f>[3]Delta!$JA$64</f>
        <v>5907495</v>
      </c>
      <c r="V33" s="2">
        <f>[3]Delta!$IM$64</f>
        <v>5113897</v>
      </c>
      <c r="W33" s="63">
        <f t="shared" si="37"/>
        <v>0.15518458819174497</v>
      </c>
      <c r="X33" s="255">
        <f>SUM([3]Delta!$IT$64:$JA$64)</f>
        <v>45549028</v>
      </c>
      <c r="Y33" s="2">
        <f>SUM([3]Delta!$IF$64:$IM$64)</f>
        <v>47863604</v>
      </c>
      <c r="Z33" s="3">
        <f t="shared" si="38"/>
        <v>-4.8357745898114986E-2</v>
      </c>
      <c r="AA33" s="63">
        <f>X33/$X$66</f>
        <v>0.85280340005483679</v>
      </c>
      <c r="AB33" s="36"/>
      <c r="AC33" s="37" t="s">
        <v>18</v>
      </c>
      <c r="AD33" s="255">
        <f>[3]Delta!$JA$43</f>
        <v>2184961</v>
      </c>
      <c r="AE33" s="2">
        <f>[3]Delta!$IM$43</f>
        <v>2037679</v>
      </c>
      <c r="AF33" s="63">
        <f t="shared" si="39"/>
        <v>7.2279294236236427E-2</v>
      </c>
      <c r="AG33" s="255">
        <f>SUM([3]Delta!$IT$43:$JA$43)</f>
        <v>14845176</v>
      </c>
      <c r="AH33" s="2">
        <f>SUM([3]Delta!$IF$43:$IM$43)</f>
        <v>14024391</v>
      </c>
      <c r="AI33" s="3">
        <f>(AG33-AH33)/AH33</f>
        <v>5.8525535975145017E-2</v>
      </c>
      <c r="AJ33" s="63">
        <f>AG33/$AG$66</f>
        <v>0.58567265590898632</v>
      </c>
    </row>
    <row r="34" spans="1:36" ht="14.1" customHeight="1" x14ac:dyDescent="0.2">
      <c r="A34" s="36"/>
      <c r="B34" s="37" t="s">
        <v>156</v>
      </c>
      <c r="C34" s="255">
        <f>[3]Pinnacle!$JA$19</f>
        <v>1289</v>
      </c>
      <c r="D34" s="2">
        <f>[3]Pinnacle!$IM$19</f>
        <v>1483</v>
      </c>
      <c r="E34" s="63">
        <f t="shared" si="34"/>
        <v>-0.13081591368846932</v>
      </c>
      <c r="F34" s="2">
        <f>SUM([3]Pinnacle!$IT$19:$JA$19)</f>
        <v>10797</v>
      </c>
      <c r="G34" s="2">
        <f>SUM([3]Pinnacle!$IF$19:$IM$19)</f>
        <v>11230</v>
      </c>
      <c r="H34" s="3">
        <f t="shared" si="41"/>
        <v>-3.8557435440783612E-2</v>
      </c>
      <c r="I34" s="63">
        <f>F34/$F$66</f>
        <v>5.2078911827127143E-2</v>
      </c>
      <c r="J34" s="36"/>
      <c r="K34" s="37" t="s">
        <v>156</v>
      </c>
      <c r="L34" s="255">
        <f>[3]Pinnacle!$JA$41</f>
        <v>84147</v>
      </c>
      <c r="M34" s="2">
        <f>[3]Pinnacle!$IM$41</f>
        <v>99657</v>
      </c>
      <c r="N34" s="63">
        <f t="shared" si="35"/>
        <v>-0.15563382401637618</v>
      </c>
      <c r="O34" s="255">
        <f>SUM([3]Pinnacle!$IT$41:$JA$41)</f>
        <v>684138</v>
      </c>
      <c r="P34" s="2">
        <f>SUM([3]Pinnacle!$IF$41:$IM$41)</f>
        <v>698684</v>
      </c>
      <c r="Q34" s="3">
        <f t="shared" si="36"/>
        <v>-2.0819139983168356E-2</v>
      </c>
      <c r="R34" s="63">
        <f>O34/$O$66</f>
        <v>2.7723351957317569E-2</v>
      </c>
      <c r="S34" s="36"/>
      <c r="T34" s="37" t="s">
        <v>156</v>
      </c>
      <c r="U34" s="255">
        <f>[3]Pinnacle!$JA$64</f>
        <v>0</v>
      </c>
      <c r="V34" s="2">
        <f>[3]Pinnacle!$IM$64</f>
        <v>0</v>
      </c>
      <c r="W34" s="63" t="e">
        <f t="shared" si="37"/>
        <v>#DIV/0!</v>
      </c>
      <c r="X34" s="255">
        <f>SUM([3]Pinnacle!$IT$64:$JA$64)</f>
        <v>0</v>
      </c>
      <c r="Y34" s="2">
        <f>SUM([3]Pinnacle!$IF$64:$IM$64)</f>
        <v>0</v>
      </c>
      <c r="Z34" s="3" t="e">
        <f t="shared" si="38"/>
        <v>#DIV/0!</v>
      </c>
      <c r="AA34" s="63">
        <f>X34/$X$66</f>
        <v>0</v>
      </c>
      <c r="AB34" s="36"/>
      <c r="AC34" s="37" t="s">
        <v>156</v>
      </c>
      <c r="AD34" s="255">
        <f>[3]Pinnacle!$JA$43</f>
        <v>86108</v>
      </c>
      <c r="AE34" s="2">
        <f>[3]Pinnacle!$IM$43</f>
        <v>102348</v>
      </c>
      <c r="AF34" s="63">
        <f t="shared" si="39"/>
        <v>-0.15867432680658147</v>
      </c>
      <c r="AG34" s="255">
        <f>SUM([3]Pinnacle!$IT$43:$JA$43)</f>
        <v>703915</v>
      </c>
      <c r="AH34" s="2">
        <f>SUM([3]Pinnacle!$IF$43:$IM$43)</f>
        <v>721431</v>
      </c>
      <c r="AI34" s="3">
        <f t="shared" si="40"/>
        <v>-2.4279522227350917E-2</v>
      </c>
      <c r="AJ34" s="63">
        <f t="shared" ref="AJ34:AJ36" si="42">AG34/$AG$66</f>
        <v>2.7770891202918317E-2</v>
      </c>
    </row>
    <row r="35" spans="1:36" ht="14.1" customHeight="1" x14ac:dyDescent="0.2">
      <c r="A35" s="36"/>
      <c r="B35" s="37" t="s">
        <v>97</v>
      </c>
      <c r="C35" s="255">
        <f>'[3]Sky West'!$JA$19</f>
        <v>4156</v>
      </c>
      <c r="D35" s="2">
        <f>'[3]Sky West'!$IM$19</f>
        <v>4223</v>
      </c>
      <c r="E35" s="63">
        <f t="shared" si="34"/>
        <v>-1.5865498460809851E-2</v>
      </c>
      <c r="F35" s="2">
        <f>SUM('[3]Sky West'!$IT$19:$JA$19)</f>
        <v>33581</v>
      </c>
      <c r="G35" s="2">
        <f>SUM('[3]Sky West'!$IF$19:$IM$19)</f>
        <v>32627</v>
      </c>
      <c r="H35" s="3">
        <f t="shared" si="41"/>
        <v>2.9239586845250867E-2</v>
      </c>
      <c r="I35" s="63">
        <f>F35/$F$66</f>
        <v>0.16197665444723133</v>
      </c>
      <c r="J35" s="36"/>
      <c r="K35" s="37" t="s">
        <v>97</v>
      </c>
      <c r="L35" s="255">
        <f>'[3]Sky West'!$JA$41</f>
        <v>238235</v>
      </c>
      <c r="M35" s="2">
        <f>'[3]Sky West'!$IM$41</f>
        <v>212434</v>
      </c>
      <c r="N35" s="63">
        <f t="shared" si="35"/>
        <v>0.12145419283165595</v>
      </c>
      <c r="O35" s="255">
        <f>SUM('[3]Sky West'!$IT$41:$JA$41)</f>
        <v>1861620</v>
      </c>
      <c r="P35" s="2">
        <f>SUM('[3]Sky West'!$IF$41:$IM$41)</f>
        <v>1666149</v>
      </c>
      <c r="Q35" s="3">
        <f t="shared" si="36"/>
        <v>0.1173190392936046</v>
      </c>
      <c r="R35" s="63">
        <f>O35/$O$66</f>
        <v>7.5438502861676346E-2</v>
      </c>
      <c r="S35" s="36"/>
      <c r="T35" s="37" t="s">
        <v>97</v>
      </c>
      <c r="U35" s="255">
        <f>'[3]Sky West'!$JA$64</f>
        <v>0</v>
      </c>
      <c r="V35" s="2">
        <f>'[3]Sky West'!$IM$64</f>
        <v>0</v>
      </c>
      <c r="W35" s="63" t="e">
        <f t="shared" si="37"/>
        <v>#DIV/0!</v>
      </c>
      <c r="X35" s="255">
        <f>SUM('[3]Sky West'!$IT$64:$JA$64)</f>
        <v>0</v>
      </c>
      <c r="Y35" s="2">
        <f>SUM('[3]Sky West'!$IF$64:$IM$64)</f>
        <v>0</v>
      </c>
      <c r="Z35" s="3" t="e">
        <f t="shared" ref="Z35:Z36" si="43">(X35-Y35)/Y35</f>
        <v>#DIV/0!</v>
      </c>
      <c r="AA35" s="63">
        <f>X35/$X$66</f>
        <v>0</v>
      </c>
      <c r="AB35" s="36"/>
      <c r="AC35" s="37" t="s">
        <v>97</v>
      </c>
      <c r="AD35" s="255">
        <f>'[3]Sky West'!$JA$43</f>
        <v>244176</v>
      </c>
      <c r="AE35" s="2">
        <f>'[3]Sky West'!$IM$43</f>
        <v>217589</v>
      </c>
      <c r="AF35" s="63">
        <f t="shared" si="39"/>
        <v>0.12218908124951169</v>
      </c>
      <c r="AG35" s="255">
        <f>SUM('[3]Sky West'!$IT$43:$JA$43)</f>
        <v>1918282</v>
      </c>
      <c r="AH35" s="2">
        <f>SUM('[3]Sky West'!$IF$43:$IM$43)</f>
        <v>1715538</v>
      </c>
      <c r="AI35" s="3">
        <f t="shared" si="40"/>
        <v>0.11818100211129104</v>
      </c>
      <c r="AJ35" s="63">
        <f t="shared" si="42"/>
        <v>7.5680161267364029E-2</v>
      </c>
    </row>
    <row r="36" spans="1:36" ht="14.1" customHeight="1" x14ac:dyDescent="0.2">
      <c r="A36" s="36"/>
      <c r="B36" s="310" t="s">
        <v>164</v>
      </c>
      <c r="C36" s="255">
        <f>'[3]Atlantic Southeast'!$JA$19</f>
        <v>0</v>
      </c>
      <c r="D36" s="2">
        <f>'[3]Atlantic Southeast'!$IM$19</f>
        <v>0</v>
      </c>
      <c r="E36" s="63" t="e">
        <f t="shared" si="34"/>
        <v>#DIV/0!</v>
      </c>
      <c r="F36" s="2">
        <f>SUM('[3]Atlantic Southeast'!$IT$19:$JA$19)</f>
        <v>0</v>
      </c>
      <c r="G36" s="2">
        <f>SUM('[3]Atlantic Southeast'!$IF$19:$IM$19)</f>
        <v>0</v>
      </c>
      <c r="H36" s="3" t="e">
        <f t="shared" si="41"/>
        <v>#DIV/0!</v>
      </c>
      <c r="I36" s="63">
        <f>F36/$F$66</f>
        <v>0</v>
      </c>
      <c r="J36" s="36"/>
      <c r="K36" s="310" t="s">
        <v>164</v>
      </c>
      <c r="L36" s="255">
        <f>'[3]Atlantic Southeast'!$JA$41</f>
        <v>0</v>
      </c>
      <c r="M36" s="2">
        <f>'[3]Atlantic Southeast'!$IM$41</f>
        <v>0</v>
      </c>
      <c r="N36" s="63" t="e">
        <f t="shared" si="35"/>
        <v>#DIV/0!</v>
      </c>
      <c r="O36" s="255">
        <f>SUM('[3]Atlantic Southeast'!$IT$41:$JA$41)</f>
        <v>0</v>
      </c>
      <c r="P36" s="2">
        <f>SUM('[3]Atlantic Southeast'!$IF$41:$IM$41)</f>
        <v>0</v>
      </c>
      <c r="Q36" s="3" t="e">
        <f t="shared" si="36"/>
        <v>#DIV/0!</v>
      </c>
      <c r="R36" s="63">
        <f>O36/$O$66</f>
        <v>0</v>
      </c>
      <c r="S36" s="36"/>
      <c r="T36" s="310" t="s">
        <v>164</v>
      </c>
      <c r="U36" s="255">
        <f>'[3]Atlantic Southeast'!$JA$64</f>
        <v>0</v>
      </c>
      <c r="V36" s="2">
        <f>'[3]Atlantic Southeast'!$IM$64</f>
        <v>0</v>
      </c>
      <c r="W36" s="63" t="e">
        <f t="shared" si="37"/>
        <v>#DIV/0!</v>
      </c>
      <c r="X36" s="255">
        <f>SUM('[3]Atlantic Southeast'!$IT$64:$JA$64)</f>
        <v>0</v>
      </c>
      <c r="Y36" s="2">
        <f>SUM('[3]Atlantic Southeast'!$IF$64:$IM$64)</f>
        <v>0</v>
      </c>
      <c r="Z36" s="3" t="e">
        <f t="shared" si="43"/>
        <v>#DIV/0!</v>
      </c>
      <c r="AA36" s="63">
        <f>X36/$X$66</f>
        <v>0</v>
      </c>
      <c r="AB36" s="36"/>
      <c r="AC36" s="310" t="s">
        <v>164</v>
      </c>
      <c r="AD36" s="255">
        <f>'[3]Atlantic Southeast'!$JA$43</f>
        <v>0</v>
      </c>
      <c r="AE36" s="2">
        <f>'[3]Atlantic Southeast'!$IM$43</f>
        <v>0</v>
      </c>
      <c r="AF36" s="63" t="e">
        <f t="shared" si="39"/>
        <v>#DIV/0!</v>
      </c>
      <c r="AG36" s="255">
        <f>SUM('[3]Atlantic Southeast'!$IT$43:$JA$43)</f>
        <v>0</v>
      </c>
      <c r="AH36" s="2">
        <f>SUM('[3]Atlantic Southeast'!$IF$43:$IM$43)</f>
        <v>0</v>
      </c>
      <c r="AI36" s="3" t="e">
        <f t="shared" si="40"/>
        <v>#DIV/0!</v>
      </c>
      <c r="AJ36" s="63">
        <f t="shared" si="42"/>
        <v>0</v>
      </c>
    </row>
    <row r="37" spans="1:36" ht="14.1" customHeight="1" x14ac:dyDescent="0.2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" customHeight="1" x14ac:dyDescent="0.2">
      <c r="A38" s="250" t="s">
        <v>47</v>
      </c>
      <c r="B38" s="37"/>
      <c r="C38" s="251">
        <f>[3]Frontier!$JA$19</f>
        <v>300</v>
      </c>
      <c r="D38" s="253">
        <f>[3]Frontier!$IM$19</f>
        <v>123</v>
      </c>
      <c r="E38" s="254">
        <f>(C38-D38)/D38</f>
        <v>1.4390243902439024</v>
      </c>
      <c r="F38" s="253">
        <f>SUM([3]Frontier!$IT$19:$JA$19)</f>
        <v>2548</v>
      </c>
      <c r="G38" s="253">
        <f>SUM([3]Frontier!$IF$19:$IM$19)</f>
        <v>944</v>
      </c>
      <c r="H38" s="252">
        <f>(F38-G38)/G38</f>
        <v>1.6991525423728813</v>
      </c>
      <c r="I38" s="254">
        <f>F38/$F$66</f>
        <v>1.2290179432760949E-2</v>
      </c>
      <c r="J38" s="250" t="s">
        <v>47</v>
      </c>
      <c r="K38" s="37"/>
      <c r="L38" s="251">
        <f>[3]Frontier!$JA$41</f>
        <v>47170</v>
      </c>
      <c r="M38" s="253">
        <f>[3]Frontier!$IM$41</f>
        <v>21639</v>
      </c>
      <c r="N38" s="254">
        <f>(L38-M38)/M38</f>
        <v>1.1798604371736217</v>
      </c>
      <c r="O38" s="251">
        <f>SUM([3]Frontier!$IT$41:$JA$41)</f>
        <v>396865</v>
      </c>
      <c r="P38" s="253">
        <f>SUM([3]Frontier!$IF$41:$IM$41)</f>
        <v>157701</v>
      </c>
      <c r="Q38" s="252">
        <f>(O38-P38)/P38</f>
        <v>1.5165661600116676</v>
      </c>
      <c r="R38" s="254">
        <f>O38/$O$66</f>
        <v>1.6082176511962261E-2</v>
      </c>
      <c r="S38" s="250" t="s">
        <v>47</v>
      </c>
      <c r="T38" s="37"/>
      <c r="U38" s="251">
        <f>[3]Frontier!$JA$64</f>
        <v>0</v>
      </c>
      <c r="V38" s="253">
        <f>[3]Frontier!$IM$64</f>
        <v>0</v>
      </c>
      <c r="W38" s="254" t="e">
        <f>(U38-V38)/V38</f>
        <v>#DIV/0!</v>
      </c>
      <c r="X38" s="251">
        <f>SUM([3]Frontier!$IT$64:$JA$64)</f>
        <v>0</v>
      </c>
      <c r="Y38" s="253">
        <f>SUM([3]Frontier!$IF$64:$IM$64)</f>
        <v>0</v>
      </c>
      <c r="Z38" s="252" t="e">
        <f>(X38-Y38)/Y38</f>
        <v>#DIV/0!</v>
      </c>
      <c r="AA38" s="254">
        <f>X38/$X$66</f>
        <v>0</v>
      </c>
      <c r="AB38" s="250" t="s">
        <v>47</v>
      </c>
      <c r="AC38" s="37"/>
      <c r="AD38" s="251">
        <f>[3]Frontier!$JA$43</f>
        <v>47540</v>
      </c>
      <c r="AE38" s="253">
        <f>[3]Frontier!$IM$43</f>
        <v>21815</v>
      </c>
      <c r="AF38" s="254">
        <f>(AD38-AE38)/AE38</f>
        <v>1.1792344716937886</v>
      </c>
      <c r="AG38" s="251">
        <f>SUM([3]Frontier!$IT$43:$JA$43)</f>
        <v>399350</v>
      </c>
      <c r="AH38" s="253">
        <f>SUM([3]Frontier!$IF$43:$IM$43)</f>
        <v>158659</v>
      </c>
      <c r="AI38" s="252">
        <f>(AG38-AH38)/AH38</f>
        <v>1.5170333860669738</v>
      </c>
      <c r="AJ38" s="254">
        <f>AG38/$AG$66</f>
        <v>1.5755176977171149E-2</v>
      </c>
    </row>
    <row r="39" spans="1:36" ht="14.1" customHeight="1" x14ac:dyDescent="0.2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" customHeight="1" x14ac:dyDescent="0.2">
      <c r="A40" s="250" t="s">
        <v>48</v>
      </c>
      <c r="B40" s="37"/>
      <c r="C40" s="251">
        <f>[3]Icelandair!$JA$19</f>
        <v>62</v>
      </c>
      <c r="D40" s="253">
        <f>[3]Icelandair!$IM$19</f>
        <v>62</v>
      </c>
      <c r="E40" s="254">
        <f>(C40-D40)/D40</f>
        <v>0</v>
      </c>
      <c r="F40" s="253">
        <f>SUM([3]Icelandair!$IT$19:$JA$19)</f>
        <v>292</v>
      </c>
      <c r="G40" s="253">
        <f>SUM([3]Icelandair!$IF$19:$IM$19)</f>
        <v>294</v>
      </c>
      <c r="H40" s="252">
        <f>(F40-G40)/G40</f>
        <v>-6.8027210884353739E-3</v>
      </c>
      <c r="I40" s="254">
        <f>F40/$F$66</f>
        <v>1.4084507042253522E-3</v>
      </c>
      <c r="J40" s="250" t="s">
        <v>48</v>
      </c>
      <c r="K40" s="37"/>
      <c r="L40" s="251">
        <f>[3]Icelandair!$JA$41</f>
        <v>11914</v>
      </c>
      <c r="M40" s="253">
        <f>[3]Icelandair!$IM$41</f>
        <v>11687</v>
      </c>
      <c r="N40" s="254">
        <f>(L40-M40)/M40</f>
        <v>1.9423290835971593E-2</v>
      </c>
      <c r="O40" s="251">
        <f>SUM([3]Icelandair!$IT$41:$JA$41)</f>
        <v>47786</v>
      </c>
      <c r="P40" s="253">
        <f>SUM([3]Icelandair!$IF$41:$IM$41)</f>
        <v>51028</v>
      </c>
      <c r="Q40" s="252">
        <f>(O40-P40)/P40</f>
        <v>-6.3533746178568634E-2</v>
      </c>
      <c r="R40" s="254">
        <f>O40/$O$66</f>
        <v>1.9364340186225255E-3</v>
      </c>
      <c r="S40" s="250" t="s">
        <v>48</v>
      </c>
      <c r="T40" s="37"/>
      <c r="U40" s="251">
        <f>[3]Icelandair!$JA$64</f>
        <v>238</v>
      </c>
      <c r="V40" s="253">
        <f>[3]Icelandair!$IM$64</f>
        <v>555</v>
      </c>
      <c r="W40" s="254">
        <f>(U40-V40)/V40</f>
        <v>-0.57117117117117122</v>
      </c>
      <c r="X40" s="251">
        <f>SUM([3]Icelandair!$IT$64:$JA$64)</f>
        <v>6906</v>
      </c>
      <c r="Y40" s="253">
        <f>SUM([3]Icelandair!$IF$64:$IM$64)</f>
        <v>2641</v>
      </c>
      <c r="Z40" s="252">
        <f>(X40-Y40)/Y40</f>
        <v>1.6149185914426354</v>
      </c>
      <c r="AA40" s="254">
        <f>X40/$X$66</f>
        <v>1.2929936245354573E-4</v>
      </c>
      <c r="AB40" s="250" t="s">
        <v>48</v>
      </c>
      <c r="AC40" s="37"/>
      <c r="AD40" s="251">
        <f>[3]Icelandair!$JA$43</f>
        <v>12021</v>
      </c>
      <c r="AE40" s="253">
        <f>[3]Icelandair!$IM$43</f>
        <v>11746</v>
      </c>
      <c r="AF40" s="254">
        <f>(AD40-AE40)/AE40</f>
        <v>2.3412225438447131E-2</v>
      </c>
      <c r="AG40" s="251">
        <f>SUM([3]Icelandair!$IT$43:$JA$43)</f>
        <v>48216</v>
      </c>
      <c r="AH40" s="253">
        <f>SUM([3]Icelandair!$IF$43:$IM$43)</f>
        <v>51335</v>
      </c>
      <c r="AI40" s="252">
        <f>(AG40-AH40)/AH40</f>
        <v>-6.0757767604947895E-2</v>
      </c>
      <c r="AJ40" s="254">
        <f>AG40/$AG$66</f>
        <v>1.9022201405566148E-3</v>
      </c>
    </row>
    <row r="41" spans="1:36" ht="14.1" customHeight="1" x14ac:dyDescent="0.2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" customHeight="1" x14ac:dyDescent="0.2">
      <c r="A42" s="250" t="s">
        <v>190</v>
      </c>
      <c r="B42" s="37"/>
      <c r="C42" s="251">
        <f>'[3]Jet Blue'!$JA$19</f>
        <v>60</v>
      </c>
      <c r="D42" s="253">
        <f>'[3]Jet Blue'!$IM$19</f>
        <v>60</v>
      </c>
      <c r="E42" s="254">
        <f>(C42-D42)/D42</f>
        <v>0</v>
      </c>
      <c r="F42" s="253">
        <f>SUM('[3]Jet Blue'!$IT$19:$JA$19)</f>
        <v>533</v>
      </c>
      <c r="G42" s="253">
        <f>SUM('[3]Jet Blue'!$IF$19:$IM$19)</f>
        <v>741</v>
      </c>
      <c r="H42" s="252">
        <f>(F42-G42)/G42</f>
        <v>-0.2807017543859649</v>
      </c>
      <c r="I42" s="254">
        <f>F42/$F$66</f>
        <v>2.5709048813428517E-3</v>
      </c>
      <c r="J42" s="250" t="s">
        <v>190</v>
      </c>
      <c r="K42" s="37"/>
      <c r="L42" s="251">
        <f>'[3]Jet Blue'!$JA$41</f>
        <v>7697</v>
      </c>
      <c r="M42" s="253">
        <f>'[3]Jet Blue'!$IM$41</f>
        <v>7355</v>
      </c>
      <c r="N42" s="254">
        <f>(L42-M42)/M42</f>
        <v>4.6498980285520054E-2</v>
      </c>
      <c r="O42" s="251">
        <f>SUM('[3]Jet Blue'!$IT$41:$JA$41)</f>
        <v>50636</v>
      </c>
      <c r="P42" s="253">
        <f>SUM('[3]Jet Blue'!$IF$41:$IM$41)</f>
        <v>71022</v>
      </c>
      <c r="Q42" s="252">
        <f>(O42-P42)/P42</f>
        <v>-0.28703781926726929</v>
      </c>
      <c r="R42" s="254">
        <f>O42/$O$66</f>
        <v>2.0519246843629974E-3</v>
      </c>
      <c r="S42" s="250" t="s">
        <v>190</v>
      </c>
      <c r="T42" s="37"/>
      <c r="U42" s="251">
        <f>'[3]Jet Blue'!$JA$64</f>
        <v>0</v>
      </c>
      <c r="V42" s="253">
        <f>'[3]Jet Blue'!$IM$64</f>
        <v>0</v>
      </c>
      <c r="W42" s="254" t="e">
        <f>(U42-V42)/V42</f>
        <v>#DIV/0!</v>
      </c>
      <c r="X42" s="251">
        <f>SUM('[3]Jet Blue'!$IT$64:$JA$64)</f>
        <v>0</v>
      </c>
      <c r="Y42" s="253">
        <f>SUM('[3]Jet Blue'!$IF$64:$IM$64)</f>
        <v>0</v>
      </c>
      <c r="Z42" s="252" t="e">
        <f>(X42-Y42)/Y42</f>
        <v>#DIV/0!</v>
      </c>
      <c r="AA42" s="254">
        <f>X42/$X$66</f>
        <v>0</v>
      </c>
      <c r="AB42" s="250" t="s">
        <v>190</v>
      </c>
      <c r="AC42" s="37"/>
      <c r="AD42" s="251">
        <f>'[3]Jet Blue'!$JA$43</f>
        <v>7827</v>
      </c>
      <c r="AE42" s="253">
        <f>'[3]Jet Blue'!$IM$43</f>
        <v>7507</v>
      </c>
      <c r="AF42" s="254">
        <f>(AD42-AE42)/AE42</f>
        <v>4.2626881577194617E-2</v>
      </c>
      <c r="AG42" s="251">
        <f>SUM('[3]Jet Blue'!$IT$43:$JA$43)</f>
        <v>51706</v>
      </c>
      <c r="AH42" s="253">
        <f>SUM('[3]Jet Blue'!$IF$43:$IM$43)</f>
        <v>72788</v>
      </c>
      <c r="AI42" s="252">
        <f>(AG42-AH42)/AH42</f>
        <v>-0.28963565422871901</v>
      </c>
      <c r="AJ42" s="254">
        <f>AG42/$AG$66</f>
        <v>2.0399078021324938E-3</v>
      </c>
    </row>
    <row r="43" spans="1:36" ht="14.1" customHeight="1" x14ac:dyDescent="0.2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" customHeight="1" x14ac:dyDescent="0.2">
      <c r="A44" s="250" t="s">
        <v>185</v>
      </c>
      <c r="B44" s="37"/>
      <c r="C44" s="251">
        <f>[3]KLM!$JA$19</f>
        <v>26</v>
      </c>
      <c r="D44" s="253">
        <f>[3]KLM!$IM$19</f>
        <v>28</v>
      </c>
      <c r="E44" s="254">
        <f>(C44-D44)/D44</f>
        <v>-7.1428571428571425E-2</v>
      </c>
      <c r="F44" s="253">
        <f>SUM([3]KLM!$IT$19:$JA$19)</f>
        <v>214</v>
      </c>
      <c r="G44" s="253">
        <f>SUM([3]KLM!$IF$19:$IM$19)</f>
        <v>262</v>
      </c>
      <c r="H44" s="252">
        <f>(F44-G44)/G44</f>
        <v>-0.18320610687022901</v>
      </c>
      <c r="I44" s="254">
        <f>F44/$F$66</f>
        <v>1.0322207215898128E-3</v>
      </c>
      <c r="J44" s="250" t="s">
        <v>185</v>
      </c>
      <c r="K44" s="37"/>
      <c r="L44" s="251">
        <f>[3]KLM!$JA$41</f>
        <v>7363</v>
      </c>
      <c r="M44" s="253">
        <f>[3]KLM!$IM$41</f>
        <v>7108</v>
      </c>
      <c r="N44" s="254">
        <f>(L44-M44)/M44</f>
        <v>3.5875070343275181E-2</v>
      </c>
      <c r="O44" s="251">
        <f>SUM([3]KLM!$IT$41:$JA$41)</f>
        <v>52399</v>
      </c>
      <c r="P44" s="253">
        <f>SUM([3]KLM!$IF$41:$IM$41)</f>
        <v>60234</v>
      </c>
      <c r="Q44" s="252">
        <f>(O44-P44)/P44</f>
        <v>-0.13007603678985291</v>
      </c>
      <c r="R44" s="254">
        <f>O44/$O$66</f>
        <v>2.1233668049596473E-3</v>
      </c>
      <c r="S44" s="250" t="s">
        <v>185</v>
      </c>
      <c r="T44" s="37"/>
      <c r="U44" s="251">
        <f>[3]KLM!$JA$64</f>
        <v>306281</v>
      </c>
      <c r="V44" s="253">
        <f>[3]KLM!$IM$64</f>
        <v>241651</v>
      </c>
      <c r="W44" s="254">
        <f>(U44-V44)/V44</f>
        <v>0.26745182101460369</v>
      </c>
      <c r="X44" s="251">
        <f>SUM([3]KLM!$IT$64:$JA$64)</f>
        <v>2151665</v>
      </c>
      <c r="Y44" s="253">
        <f>SUM([3]KLM!$IF$64:$IM$64)</f>
        <v>3057326</v>
      </c>
      <c r="Z44" s="252">
        <f>(X44-Y44)/Y44</f>
        <v>-0.29622650643078297</v>
      </c>
      <c r="AA44" s="254">
        <f>X44/$X$66</f>
        <v>4.028510175407015E-2</v>
      </c>
      <c r="AB44" s="250" t="s">
        <v>185</v>
      </c>
      <c r="AC44" s="37"/>
      <c r="AD44" s="251">
        <f>[3]KLM!$JA$43</f>
        <v>7377</v>
      </c>
      <c r="AE44" s="253">
        <f>[3]KLM!$IM$43</f>
        <v>7121</v>
      </c>
      <c r="AF44" s="254">
        <f>(AD44-AE44)/AE44</f>
        <v>3.595000702148575E-2</v>
      </c>
      <c r="AG44" s="251">
        <f>SUM([3]KLM!$IT$43:$JA$43)</f>
        <v>52498</v>
      </c>
      <c r="AH44" s="253">
        <f>SUM([3]KLM!$IF$43:$IM$43)</f>
        <v>60325</v>
      </c>
      <c r="AI44" s="252">
        <f>(AG44-AH44)/AH44</f>
        <v>-0.12974720265230005</v>
      </c>
      <c r="AJ44" s="254">
        <f>AG44/$AG$66</f>
        <v>2.0711538273382522E-3</v>
      </c>
    </row>
    <row r="45" spans="1:36" ht="14.1" customHeight="1" x14ac:dyDescent="0.2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" customHeight="1" x14ac:dyDescent="0.2">
      <c r="A46" s="250" t="s">
        <v>250</v>
      </c>
      <c r="B46" s="37"/>
      <c r="C46" s="251">
        <f>[3]Lufthansa!$JA$19</f>
        <v>42</v>
      </c>
      <c r="D46" s="253">
        <f>[3]Lufthansa!$IM$19</f>
        <v>0</v>
      </c>
      <c r="E46" s="254" t="e">
        <f>(C46-D46)/D46</f>
        <v>#DIV/0!</v>
      </c>
      <c r="F46" s="253">
        <f>SUM([3]Lufthansa!$IT$19:$JA$19)</f>
        <v>124</v>
      </c>
      <c r="G46" s="253">
        <f>SUM([3]Lufthansa!$IF$19:$IM$19)</f>
        <v>0</v>
      </c>
      <c r="H46" s="252" t="e">
        <f>(F46-G46)/G46</f>
        <v>#DIV/0!</v>
      </c>
      <c r="I46" s="254">
        <f>F46/$F$66</f>
        <v>5.9810920316419065E-4</v>
      </c>
      <c r="J46" s="250" t="s">
        <v>250</v>
      </c>
      <c r="K46" s="37"/>
      <c r="L46" s="251">
        <f>[3]Lufthansa!$JA$41</f>
        <v>10653</v>
      </c>
      <c r="M46" s="253">
        <f>[3]Lufthansa!$IM$41</f>
        <v>0</v>
      </c>
      <c r="N46" s="254" t="e">
        <f>(L46-M46)/M46</f>
        <v>#DIV/0!</v>
      </c>
      <c r="O46" s="251">
        <f>SUM([3]Lufthansa!$IT$41:$JA$41)</f>
        <v>30791</v>
      </c>
      <c r="P46" s="253">
        <f>SUM([3]Lufthansa!$IF$41:$IM$41)</f>
        <v>0</v>
      </c>
      <c r="Q46" s="252" t="e">
        <f>(O46-P46)/P46</f>
        <v>#DIV/0!</v>
      </c>
      <c r="R46" s="254">
        <f>O46/$O$66</f>
        <v>1.2477449434438158E-3</v>
      </c>
      <c r="S46" s="250" t="s">
        <v>250</v>
      </c>
      <c r="T46" s="37"/>
      <c r="U46" s="251">
        <f>[3]Lufthansa!$JA$64</f>
        <v>384353</v>
      </c>
      <c r="V46" s="253">
        <f>[3]Lufthansa!$IM$64</f>
        <v>0</v>
      </c>
      <c r="W46" s="254" t="e">
        <f>(U46-V46)/V46</f>
        <v>#DIV/0!</v>
      </c>
      <c r="X46" s="251">
        <f>SUM([3]Lufthansa!$IT$64:$JA$64)</f>
        <v>892679</v>
      </c>
      <c r="Y46" s="253">
        <f>SUM([3]Lufthansa!$IF$64:$IM$64)</f>
        <v>0</v>
      </c>
      <c r="Z46" s="252" t="e">
        <f>(X46-Y46)/Y46</f>
        <v>#DIV/0!</v>
      </c>
      <c r="AA46" s="254">
        <f>X46/$X$66</f>
        <v>1.671341233357497E-2</v>
      </c>
      <c r="AB46" s="250" t="s">
        <v>250</v>
      </c>
      <c r="AC46" s="37"/>
      <c r="AD46" s="251">
        <f>[3]Lufthansa!$JA$43</f>
        <v>10859</v>
      </c>
      <c r="AE46" s="253">
        <f>[3]Lufthansa!$IM$43</f>
        <v>0</v>
      </c>
      <c r="AF46" s="254" t="e">
        <f>(AD46-AE46)/AE46</f>
        <v>#DIV/0!</v>
      </c>
      <c r="AG46" s="251">
        <f>SUM([3]Lufthansa!$IT$43:$JA$43)</f>
        <v>31233</v>
      </c>
      <c r="AH46" s="253">
        <f>SUM([3]Lufthansa!$IF$43:$IM$43)</f>
        <v>0</v>
      </c>
      <c r="AI46" s="252" t="e">
        <f>(AG46-AH46)/AH46</f>
        <v>#DIV/0!</v>
      </c>
      <c r="AJ46" s="254">
        <f>AG46/$AG$66</f>
        <v>1.232205940974049E-3</v>
      </c>
    </row>
    <row r="47" spans="1:36" ht="14.1" customHeight="1" x14ac:dyDescent="0.2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" customHeight="1" x14ac:dyDescent="0.2">
      <c r="A48" s="250" t="s">
        <v>128</v>
      </c>
      <c r="B48" s="37"/>
      <c r="C48" s="251">
        <f>[3]Southwest!$JA$19</f>
        <v>1232</v>
      </c>
      <c r="D48" s="253">
        <f>[3]Southwest!$IM$19</f>
        <v>1384</v>
      </c>
      <c r="E48" s="254">
        <f>(C48-D48)/D48</f>
        <v>-0.10982658959537572</v>
      </c>
      <c r="F48" s="253">
        <f>SUM([3]Southwest!$IT$19:$JA$19)</f>
        <v>9946</v>
      </c>
      <c r="G48" s="253">
        <f>SUM([3]Southwest!$IF$19:$IM$19)</f>
        <v>9229</v>
      </c>
      <c r="H48" s="252">
        <f>(F48-G48)/G48</f>
        <v>7.7689890562357783E-2</v>
      </c>
      <c r="I48" s="254">
        <f>F48/$F$66</f>
        <v>4.7974146247347096E-2</v>
      </c>
      <c r="J48" s="250" t="s">
        <v>128</v>
      </c>
      <c r="K48" s="37"/>
      <c r="L48" s="251">
        <f>[3]Southwest!$JA$41</f>
        <v>160015</v>
      </c>
      <c r="M48" s="253">
        <f>[3]Southwest!$IM$41</f>
        <v>166154</v>
      </c>
      <c r="N48" s="254">
        <f>(L48-M48)/M48</f>
        <v>-3.6947650974397249E-2</v>
      </c>
      <c r="O48" s="251">
        <f>SUM([3]Southwest!$IT$41:$JA$41)</f>
        <v>1208552</v>
      </c>
      <c r="P48" s="253">
        <f>SUM([3]Southwest!$IF$41:$IM$41)</f>
        <v>1066026</v>
      </c>
      <c r="Q48" s="252">
        <f>(O48-P48)/P48</f>
        <v>0.13369842761808812</v>
      </c>
      <c r="R48" s="254">
        <f>O48/$O$66</f>
        <v>4.8974201776132972E-2</v>
      </c>
      <c r="S48" s="250" t="s">
        <v>128</v>
      </c>
      <c r="T48" s="37"/>
      <c r="U48" s="251">
        <f>[3]Southwest!$JA$64</f>
        <v>237737</v>
      </c>
      <c r="V48" s="253">
        <f>[3]Southwest!$IM$64</f>
        <v>232279</v>
      </c>
      <c r="W48" s="254">
        <f>(U48-V48)/V48</f>
        <v>2.34976041742904E-2</v>
      </c>
      <c r="X48" s="251">
        <f>SUM([3]Southwest!$IT$64:$JA$64)</f>
        <v>1886190</v>
      </c>
      <c r="Y48" s="253">
        <f>SUM([3]Southwest!$IF$64:$IM$64)</f>
        <v>1742004</v>
      </c>
      <c r="Z48" s="252">
        <f>(X48-Y48)/Y48</f>
        <v>8.2770188817017643E-2</v>
      </c>
      <c r="AA48" s="254">
        <f>X48/$X$66</f>
        <v>3.5314677739104169E-2</v>
      </c>
      <c r="AB48" s="250" t="s">
        <v>128</v>
      </c>
      <c r="AC48" s="37"/>
      <c r="AD48" s="251">
        <f>[3]Southwest!$JA$43</f>
        <v>164278</v>
      </c>
      <c r="AE48" s="253">
        <f>[3]Southwest!$IM$43</f>
        <v>169457</v>
      </c>
      <c r="AF48" s="254">
        <f>(AD48-AE48)/AE48</f>
        <v>-3.0562325545713663E-2</v>
      </c>
      <c r="AG48" s="251">
        <f>SUM([3]Southwest!$IT$43:$JA$43)</f>
        <v>1237024</v>
      </c>
      <c r="AH48" s="253">
        <f>SUM([3]Southwest!$IF$43:$IM$43)</f>
        <v>1089593</v>
      </c>
      <c r="AI48" s="252">
        <f>(AG48-AH48)/AH48</f>
        <v>0.13530832154758704</v>
      </c>
      <c r="AJ48" s="254">
        <f>AG48/$AG$66</f>
        <v>4.8803135207232159E-2</v>
      </c>
    </row>
    <row r="49" spans="1:36" ht="14.1" customHeight="1" x14ac:dyDescent="0.2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" customHeight="1" x14ac:dyDescent="0.2">
      <c r="A50" s="250" t="s">
        <v>153</v>
      </c>
      <c r="B50" s="37"/>
      <c r="C50" s="251">
        <f>[3]Spirit!$JA$19</f>
        <v>198</v>
      </c>
      <c r="D50" s="253">
        <f>[3]Spirit!$IM$19</f>
        <v>206</v>
      </c>
      <c r="E50" s="254">
        <f>(C50-D50)/D50</f>
        <v>-3.8834951456310676E-2</v>
      </c>
      <c r="F50" s="253">
        <f>SUM([3]Spirit!$IT$19:$JA$19)</f>
        <v>1540</v>
      </c>
      <c r="G50" s="253">
        <f>SUM([3]Spirit!$IF$19:$IM$19)</f>
        <v>2228</v>
      </c>
      <c r="H50" s="252">
        <f>(F50-G50)/G50</f>
        <v>-0.30879712746858168</v>
      </c>
      <c r="I50" s="254">
        <f>F50/$F$66</f>
        <v>7.4281304263939807E-3</v>
      </c>
      <c r="J50" s="250" t="s">
        <v>153</v>
      </c>
      <c r="K50" s="37"/>
      <c r="L50" s="251">
        <f>[3]Spirit!$JA$41</f>
        <v>29973</v>
      </c>
      <c r="M50" s="253">
        <f>[3]Spirit!$IM$41</f>
        <v>33094</v>
      </c>
      <c r="N50" s="254">
        <f>(L50-M50)/M50</f>
        <v>-9.4307125158639024E-2</v>
      </c>
      <c r="O50" s="251">
        <f>SUM([3]Spirit!$IT$41:$JA$41)</f>
        <v>224493</v>
      </c>
      <c r="P50" s="253">
        <f>SUM([3]Spirit!$IF$41:$IM$41)</f>
        <v>317070</v>
      </c>
      <c r="Q50" s="252">
        <f>(O50-P50)/P50</f>
        <v>-0.29197653514996691</v>
      </c>
      <c r="R50" s="254">
        <f>O50/$O$66</f>
        <v>9.0971389558160681E-3</v>
      </c>
      <c r="S50" s="250" t="s">
        <v>153</v>
      </c>
      <c r="T50" s="37"/>
      <c r="U50" s="251">
        <f>[3]Spirit!$JA$64</f>
        <v>0</v>
      </c>
      <c r="V50" s="253">
        <f>[3]Spirit!$IM$64</f>
        <v>0</v>
      </c>
      <c r="W50" s="254" t="e">
        <f>(U50-V50)/V50</f>
        <v>#DIV/0!</v>
      </c>
      <c r="X50" s="251">
        <f>SUM([3]Spirit!$IT$64:$JA$64)</f>
        <v>0</v>
      </c>
      <c r="Y50" s="253">
        <f>SUM([3]Spirit!$IF$64:$IM$64)</f>
        <v>0</v>
      </c>
      <c r="Z50" s="252" t="e">
        <f>(X50-Y50)/Y50</f>
        <v>#DIV/0!</v>
      </c>
      <c r="AA50" s="254">
        <f>X50/$X$66</f>
        <v>0</v>
      </c>
      <c r="AB50" s="250" t="s">
        <v>153</v>
      </c>
      <c r="AC50" s="37"/>
      <c r="AD50" s="251">
        <f>[3]Spirit!$JA$43</f>
        <v>30271</v>
      </c>
      <c r="AE50" s="253">
        <f>[3]Spirit!$IM$43</f>
        <v>33380</v>
      </c>
      <c r="AF50" s="254">
        <f>(AD50-AE50)/AE50</f>
        <v>-9.3139604553624925E-2</v>
      </c>
      <c r="AG50" s="251">
        <f>SUM([3]Spirit!$IT$43:$JA$43)</f>
        <v>226237</v>
      </c>
      <c r="AH50" s="253">
        <f>SUM([3]Spirit!$IF$43:$IM$43)</f>
        <v>320980</v>
      </c>
      <c r="AI50" s="252">
        <f>(AG50-AH50)/AH50</f>
        <v>-0.29516792323509256</v>
      </c>
      <c r="AJ50" s="254">
        <f>AG50/$AG$66</f>
        <v>8.9255138945392998E-3</v>
      </c>
    </row>
    <row r="51" spans="1:36" ht="14.1" customHeight="1" x14ac:dyDescent="0.2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>
        <f>O51/$O$66</f>
        <v>0</v>
      </c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" customHeight="1" x14ac:dyDescent="0.2">
      <c r="A52" s="250" t="s">
        <v>49</v>
      </c>
      <c r="B52" s="37"/>
      <c r="C52" s="251">
        <f>'[3]Sun Country'!$JA$19</f>
        <v>2586</v>
      </c>
      <c r="D52" s="253">
        <f>'[3]Sun Country'!$IM$19</f>
        <v>2282</v>
      </c>
      <c r="E52" s="254">
        <f>(C52-D52)/D52</f>
        <v>0.13321647677475898</v>
      </c>
      <c r="F52" s="253">
        <f>SUM('[3]Sun Country'!$IT$19:$JA$19)</f>
        <v>20230</v>
      </c>
      <c r="G52" s="253">
        <f>SUM('[3]Sun Country'!$IF$19:$IM$19)</f>
        <v>17164</v>
      </c>
      <c r="H52" s="252">
        <f>(F52-G52)/G52</f>
        <v>0.17862969004893964</v>
      </c>
      <c r="I52" s="254">
        <f>F52/$F$66</f>
        <v>9.7578622419448202E-2</v>
      </c>
      <c r="J52" s="250" t="s">
        <v>49</v>
      </c>
      <c r="K52" s="37"/>
      <c r="L52" s="251">
        <f>'[3]Sun Country'!$JA$41</f>
        <v>377116</v>
      </c>
      <c r="M52" s="253">
        <f>'[3]Sun Country'!$IM$41</f>
        <v>347495</v>
      </c>
      <c r="N52" s="254">
        <f>(L52-M52)/M52</f>
        <v>8.5241514266392315E-2</v>
      </c>
      <c r="O52" s="251">
        <f>SUM('[3]Sun Country'!$IT$41:$JA$41)</f>
        <v>2999836</v>
      </c>
      <c r="P52" s="253">
        <f>SUM('[3]Sun Country'!$IF$41:$IM$41)</f>
        <v>2567560</v>
      </c>
      <c r="Q52" s="252">
        <f>(O52-P52)/P52</f>
        <v>0.16836062253657169</v>
      </c>
      <c r="R52" s="254">
        <f>O52/$O$66</f>
        <v>0.12156247605341569</v>
      </c>
      <c r="S52" s="250" t="s">
        <v>49</v>
      </c>
      <c r="T52" s="37"/>
      <c r="U52" s="251">
        <f>'[3]Sun Country'!$JA$64</f>
        <v>0</v>
      </c>
      <c r="V52" s="253">
        <f>'[3]Sun Country'!$IM$64</f>
        <v>0</v>
      </c>
      <c r="W52" s="254" t="e">
        <f>(U52-V52)/V52</f>
        <v>#DIV/0!</v>
      </c>
      <c r="X52" s="251">
        <f>SUM('[3]Sun Country'!$IT$64:$JA$64)</f>
        <v>0</v>
      </c>
      <c r="Y52" s="253">
        <f>SUM('[3]Sun Country'!$IF$64:$IM$64)</f>
        <v>61776</v>
      </c>
      <c r="Z52" s="252">
        <f>(X52-Y52)/Y52</f>
        <v>-1</v>
      </c>
      <c r="AA52" s="254">
        <f>X52/$X$66</f>
        <v>0</v>
      </c>
      <c r="AB52" s="250" t="s">
        <v>49</v>
      </c>
      <c r="AC52" s="37"/>
      <c r="AD52" s="251">
        <f>'[3]Sun Country'!$JA$43</f>
        <v>383828</v>
      </c>
      <c r="AE52" s="253">
        <f>'[3]Sun Country'!$IM$43</f>
        <v>353546</v>
      </c>
      <c r="AF52" s="254">
        <f>(AD52-AE52)/AE52</f>
        <v>8.5652220644555452E-2</v>
      </c>
      <c r="AG52" s="251">
        <f>SUM('[3]Sun Country'!$IT$43:$JA$43)</f>
        <v>3045900</v>
      </c>
      <c r="AH52" s="253">
        <f>SUM('[3]Sun Country'!$IF$43:$IM$43)</f>
        <v>2613738</v>
      </c>
      <c r="AI52" s="252">
        <f>(AG52-AH52)/AH52</f>
        <v>0.16534250946345808</v>
      </c>
      <c r="AJ52" s="254">
        <f>AG52/$AG$66</f>
        <v>0.12016700527047854</v>
      </c>
    </row>
    <row r="53" spans="1:36" ht="14.1" customHeight="1" x14ac:dyDescent="0.2">
      <c r="A53" s="250"/>
      <c r="B53" s="37"/>
      <c r="C53" s="251"/>
      <c r="D53" s="253"/>
      <c r="E53" s="254"/>
      <c r="F53" s="253"/>
      <c r="G53" s="253"/>
      <c r="H53" s="252"/>
      <c r="I53" s="254"/>
      <c r="J53" s="250"/>
      <c r="K53" s="37"/>
      <c r="L53" s="255"/>
      <c r="N53" s="63"/>
      <c r="O53" s="255"/>
      <c r="P53" s="2"/>
      <c r="Q53" s="3"/>
      <c r="R53" s="63"/>
      <c r="S53" s="250"/>
      <c r="T53" s="37"/>
      <c r="U53" s="255"/>
      <c r="V53" s="2"/>
      <c r="W53" s="63"/>
      <c r="X53" s="255"/>
      <c r="Y53" s="2"/>
      <c r="Z53" s="3"/>
      <c r="AA53" s="63"/>
      <c r="AB53" s="250"/>
      <c r="AC53" s="37"/>
      <c r="AD53" s="255"/>
      <c r="AE53" s="2"/>
      <c r="AF53" s="63"/>
      <c r="AG53" s="255"/>
      <c r="AH53" s="2"/>
      <c r="AI53" s="3"/>
      <c r="AJ53" s="63"/>
    </row>
    <row r="54" spans="1:36" ht="14.1" customHeight="1" x14ac:dyDescent="0.2">
      <c r="A54" s="250" t="s">
        <v>19</v>
      </c>
      <c r="B54" s="257"/>
      <c r="C54" s="251">
        <f>SUM(C55:C59)</f>
        <v>1309</v>
      </c>
      <c r="D54" s="253">
        <f>SUM(D55:D59)</f>
        <v>1193</v>
      </c>
      <c r="E54" s="254">
        <f t="shared" ref="E54:E59" si="44">(C54-D54)/D54</f>
        <v>9.72338642078793E-2</v>
      </c>
      <c r="F54" s="253">
        <f>SUM(F55:F59)</f>
        <v>9390</v>
      </c>
      <c r="G54" s="253">
        <f>SUM(G55:G59)</f>
        <v>8163</v>
      </c>
      <c r="H54" s="252">
        <f t="shared" ref="H54:H59" si="45">(F54-G54)/G54</f>
        <v>0.15031238515251746</v>
      </c>
      <c r="I54" s="254">
        <f t="shared" ref="I54:I59" si="46">F54/$F$66</f>
        <v>4.5292301755739922E-2</v>
      </c>
      <c r="J54" s="250" t="s">
        <v>19</v>
      </c>
      <c r="K54" s="257"/>
      <c r="L54" s="251">
        <f>SUM(L55:L59)</f>
        <v>156204</v>
      </c>
      <c r="M54" s="253">
        <f>SUM(M55:M59)</f>
        <v>154611</v>
      </c>
      <c r="N54" s="254">
        <f t="shared" ref="N54:N59" si="47">(L54-M54)/M54</f>
        <v>1.0303277257116246E-2</v>
      </c>
      <c r="O54" s="251">
        <f>SUM(O55:O59)</f>
        <v>1042218</v>
      </c>
      <c r="P54" s="253">
        <f>SUM(P55:P59)</f>
        <v>1035000</v>
      </c>
      <c r="Q54" s="252">
        <f t="shared" ref="Q54:Q59" si="48">(O54-P54)/P54</f>
        <v>6.9739130434782609E-3</v>
      </c>
      <c r="R54" s="254">
        <f t="shared" ref="R54:R59" si="49">O54/$O$66</f>
        <v>4.2233842339194139E-2</v>
      </c>
      <c r="S54" s="250" t="s">
        <v>19</v>
      </c>
      <c r="T54" s="257"/>
      <c r="U54" s="251">
        <f>SUM(U55:U59)</f>
        <v>131642</v>
      </c>
      <c r="V54" s="253">
        <f>SUM(V55:V59)</f>
        <v>85223</v>
      </c>
      <c r="W54" s="254">
        <f t="shared" ref="W54:W59" si="50">(U54-V54)/V54</f>
        <v>0.54467690646891098</v>
      </c>
      <c r="X54" s="251">
        <f>SUM(X55:X59)</f>
        <v>519765</v>
      </c>
      <c r="Y54" s="253">
        <f>SUM(Y55:Y59)</f>
        <v>831199</v>
      </c>
      <c r="Z54" s="252">
        <f t="shared" ref="Z54:Z59" si="51">(X54-Y54)/Y54</f>
        <v>-0.37468043152121211</v>
      </c>
      <c r="AA54" s="254">
        <f t="shared" ref="AA54:AA59" si="52">X54/$X$66</f>
        <v>9.7314339886572822E-3</v>
      </c>
      <c r="AB54" s="250" t="s">
        <v>19</v>
      </c>
      <c r="AC54" s="257"/>
      <c r="AD54" s="251">
        <f>SUM(AD55:AD59)</f>
        <v>161802</v>
      </c>
      <c r="AE54" s="253">
        <f>SUM(AE55:AE59)</f>
        <v>159727</v>
      </c>
      <c r="AF54" s="254">
        <f t="shared" ref="AF54:AF59" si="53">(AD54-AE54)/AE54</f>
        <v>1.2990915749998435E-2</v>
      </c>
      <c r="AG54" s="251">
        <f>SUM(AG55:AG59)</f>
        <v>1082840</v>
      </c>
      <c r="AH54" s="253">
        <f>SUM(AH55:AH59)</f>
        <v>1068041</v>
      </c>
      <c r="AI54" s="252">
        <f t="shared" ref="AI54:AI59" si="54">(AG54-AH54)/AH54</f>
        <v>1.3856209639892102E-2</v>
      </c>
      <c r="AJ54" s="254">
        <f>AG54/$AG$66</f>
        <v>4.272026001742834E-2</v>
      </c>
    </row>
    <row r="55" spans="1:36" ht="14.1" customHeight="1" x14ac:dyDescent="0.2">
      <c r="A55" s="36"/>
      <c r="B55" s="310" t="s">
        <v>19</v>
      </c>
      <c r="C55" s="255">
        <f>[3]United!$JA$19</f>
        <v>1037</v>
      </c>
      <c r="D55" s="2">
        <f>[3]United!$IM$19+[3]Continental!$IM$19</f>
        <v>1020</v>
      </c>
      <c r="E55" s="63">
        <f t="shared" si="44"/>
        <v>1.6666666666666666E-2</v>
      </c>
      <c r="F55" s="2">
        <f>SUM([3]United!$IT$19:$JA$19)</f>
        <v>7025</v>
      </c>
      <c r="G55" s="2">
        <f>SUM([3]United!$IF$19:$IM$19)+SUM([3]Continental!$IF$19:$IM$19)</f>
        <v>7022</v>
      </c>
      <c r="H55" s="3">
        <f t="shared" si="45"/>
        <v>4.2722870976929649E-4</v>
      </c>
      <c r="I55" s="63">
        <f t="shared" si="46"/>
        <v>3.3884815743777733E-2</v>
      </c>
      <c r="J55" s="36"/>
      <c r="K55" s="310" t="s">
        <v>19</v>
      </c>
      <c r="L55" s="255">
        <f>[3]United!$JA$41</f>
        <v>138183</v>
      </c>
      <c r="M55" s="2">
        <f>[3]United!$IM$41+[3]Continental!$IM$41</f>
        <v>143865</v>
      </c>
      <c r="N55" s="63">
        <f t="shared" si="47"/>
        <v>-3.9495360233552289E-2</v>
      </c>
      <c r="O55" s="255">
        <f>SUM([3]United!$IT$41:$JA$41)</f>
        <v>892514</v>
      </c>
      <c r="P55" s="2">
        <f>SUM([3]United!$IF$41:$IM$41)+SUM([3]Continental!$IF$41:$IM$41)</f>
        <v>961963</v>
      </c>
      <c r="Q55" s="3">
        <f t="shared" si="48"/>
        <v>-7.2195084426324094E-2</v>
      </c>
      <c r="R55" s="63">
        <f t="shared" si="49"/>
        <v>3.616738106761111E-2</v>
      </c>
      <c r="S55" s="36"/>
      <c r="T55" s="310" t="s">
        <v>19</v>
      </c>
      <c r="U55" s="255">
        <f>[3]United!$JA$64</f>
        <v>131642</v>
      </c>
      <c r="V55" s="2">
        <f>[3]United!$IM$64+[3]Continental!$IM$64</f>
        <v>85223</v>
      </c>
      <c r="W55" s="63">
        <f t="shared" si="50"/>
        <v>0.54467690646891098</v>
      </c>
      <c r="X55" s="255">
        <f>SUM([3]United!$IT$64:$JA$64)</f>
        <v>519765</v>
      </c>
      <c r="Y55" s="2">
        <f>SUM([3]United!$IF$64:$IM$64)+SUM([3]Continental!$IF$64:$IM$64)</f>
        <v>831199</v>
      </c>
      <c r="Z55" s="3">
        <f t="shared" si="51"/>
        <v>-0.37468043152121211</v>
      </c>
      <c r="AA55" s="63">
        <f t="shared" si="52"/>
        <v>9.7314339886572822E-3</v>
      </c>
      <c r="AB55" s="36"/>
      <c r="AC55" s="310" t="s">
        <v>19</v>
      </c>
      <c r="AD55" s="255">
        <f>[3]United!$JA$43</f>
        <v>143185</v>
      </c>
      <c r="AE55" s="2">
        <f>[3]United!$IM$43+[3]Continental!$IM$43</f>
        <v>148583</v>
      </c>
      <c r="AF55" s="63">
        <f t="shared" si="53"/>
        <v>-3.6329862770303464E-2</v>
      </c>
      <c r="AG55" s="255">
        <f>SUM([3]United!$IT$43:$JA$43)</f>
        <v>927442</v>
      </c>
      <c r="AH55" s="2">
        <f>SUM([3]United!$IF$43:$IM$43)+SUM([3]Continental!$IF$43:$IM$43)</f>
        <v>992468</v>
      </c>
      <c r="AI55" s="3">
        <f t="shared" si="54"/>
        <v>-6.5519492819919631E-2</v>
      </c>
      <c r="AJ55" s="63">
        <f t="shared" ref="AJ55:AJ59" si="55">AG55/$AG$66</f>
        <v>3.6589490036463161E-2</v>
      </c>
    </row>
    <row r="56" spans="1:36" ht="14.1" customHeight="1" x14ac:dyDescent="0.2">
      <c r="A56" s="36"/>
      <c r="B56" s="37" t="s">
        <v>152</v>
      </c>
      <c r="C56" s="255">
        <f>'[3]Go Jet_UA'!$JA$19</f>
        <v>0</v>
      </c>
      <c r="D56" s="2">
        <f>'[3]Go Jet_UA'!$IM$19</f>
        <v>0</v>
      </c>
      <c r="E56" s="63" t="e">
        <f t="shared" si="44"/>
        <v>#DIV/0!</v>
      </c>
      <c r="F56" s="2">
        <f>SUM('[3]Go Jet_UA'!$IT$19:$JA$19)</f>
        <v>0</v>
      </c>
      <c r="G56" s="2">
        <f>SUM('[3]Go Jet_UA'!$IF$19:$IM$19)</f>
        <v>2</v>
      </c>
      <c r="H56" s="3">
        <f t="shared" si="45"/>
        <v>-1</v>
      </c>
      <c r="I56" s="63">
        <f t="shared" si="46"/>
        <v>0</v>
      </c>
      <c r="J56" s="36"/>
      <c r="K56" s="37" t="s">
        <v>152</v>
      </c>
      <c r="L56" s="255">
        <f>'[3]Go Jet_UA'!$JA$41</f>
        <v>0</v>
      </c>
      <c r="M56" s="2">
        <f>'[3]Go Jet_UA'!$IM$41</f>
        <v>0</v>
      </c>
      <c r="N56" s="63" t="e">
        <f t="shared" si="47"/>
        <v>#DIV/0!</v>
      </c>
      <c r="O56" s="255">
        <f>SUM('[3]Go Jet_UA'!$IT$41:$JA$41)</f>
        <v>0</v>
      </c>
      <c r="P56" s="2">
        <f>SUM('[3]Go Jet_UA'!$IF$41:$IM$41)</f>
        <v>96</v>
      </c>
      <c r="Q56" s="3">
        <f t="shared" si="48"/>
        <v>-1</v>
      </c>
      <c r="R56" s="63">
        <f t="shared" si="49"/>
        <v>0</v>
      </c>
      <c r="S56" s="36"/>
      <c r="T56" s="37" t="s">
        <v>152</v>
      </c>
      <c r="U56" s="255">
        <f>'[3]Go Jet_UA'!$JA$64</f>
        <v>0</v>
      </c>
      <c r="V56" s="2">
        <f>'[3]Go Jet_UA'!$IM$64</f>
        <v>0</v>
      </c>
      <c r="W56" s="63" t="e">
        <f t="shared" si="50"/>
        <v>#DIV/0!</v>
      </c>
      <c r="X56" s="255">
        <f>SUM('[3]Go Jet_UA'!$IT$64:$JA$64)</f>
        <v>0</v>
      </c>
      <c r="Y56" s="2">
        <f>SUM('[3]Go Jet_UA'!$IF$64:$IM$64)</f>
        <v>0</v>
      </c>
      <c r="Z56" s="3" t="e">
        <f t="shared" si="51"/>
        <v>#DIV/0!</v>
      </c>
      <c r="AA56" s="63">
        <f t="shared" si="52"/>
        <v>0</v>
      </c>
      <c r="AB56" s="36"/>
      <c r="AC56" s="37" t="s">
        <v>152</v>
      </c>
      <c r="AD56" s="255">
        <f>'[3]Go Jet_UA'!$JA$43</f>
        <v>0</v>
      </c>
      <c r="AE56" s="2">
        <f>'[3]Go Jet_UA'!$IM$43</f>
        <v>0</v>
      </c>
      <c r="AF56" s="63" t="e">
        <f t="shared" si="53"/>
        <v>#DIV/0!</v>
      </c>
      <c r="AG56" s="255">
        <f>SUM('[3]Go Jet_UA'!$IT$43:$JA$43)</f>
        <v>0</v>
      </c>
      <c r="AH56" s="2">
        <f>SUM('[3]Go Jet_UA'!$IF$43:$IM$43)</f>
        <v>96</v>
      </c>
      <c r="AI56" s="3">
        <f t="shared" si="54"/>
        <v>-1</v>
      </c>
      <c r="AJ56" s="63">
        <f t="shared" si="55"/>
        <v>0</v>
      </c>
    </row>
    <row r="57" spans="1:36" ht="14.1" customHeight="1" x14ac:dyDescent="0.2">
      <c r="A57" s="36"/>
      <c r="B57" s="37" t="s">
        <v>51</v>
      </c>
      <c r="C57" s="255">
        <f>[3]MESA_UA!$JA$19</f>
        <v>220</v>
      </c>
      <c r="D57" s="2">
        <f>[3]MESA_UA!$IM$19</f>
        <v>167</v>
      </c>
      <c r="E57" s="63">
        <f t="shared" si="44"/>
        <v>0.31736526946107785</v>
      </c>
      <c r="F57" s="2">
        <f>SUM([3]MESA_UA!$IT$19:$JA$19)</f>
        <v>1347</v>
      </c>
      <c r="G57" s="2">
        <f>SUM([3]MESA_UA!$IF$19:$IM$19)</f>
        <v>739</v>
      </c>
      <c r="H57" s="3">
        <f>(F57-G57)/G57</f>
        <v>0.82273342354533152</v>
      </c>
      <c r="I57" s="63">
        <f t="shared" si="46"/>
        <v>6.4972023924368127E-3</v>
      </c>
      <c r="J57" s="36"/>
      <c r="K57" s="37" t="s">
        <v>51</v>
      </c>
      <c r="L57" s="255">
        <f>[3]MESA_UA!$JA$41</f>
        <v>14601</v>
      </c>
      <c r="M57" s="2">
        <f>[3]MESA_UA!$IM$41</f>
        <v>10607</v>
      </c>
      <c r="N57" s="63">
        <f t="shared" si="47"/>
        <v>0.37654379183558029</v>
      </c>
      <c r="O57" s="255">
        <f>SUM([3]MESA_UA!$IT$41:$JA$41)</f>
        <v>85466</v>
      </c>
      <c r="P57" s="2">
        <f>SUM([3]MESA_UA!$IF$41:$IM$41)</f>
        <v>48302</v>
      </c>
      <c r="Q57" s="3">
        <f t="shared" si="48"/>
        <v>0.76940913419734169</v>
      </c>
      <c r="R57" s="63">
        <f t="shared" si="49"/>
        <v>3.463342188833398E-3</v>
      </c>
      <c r="S57" s="36"/>
      <c r="T57" s="37" t="s">
        <v>51</v>
      </c>
      <c r="U57" s="255">
        <f>[3]MESA_UA!$JA$64</f>
        <v>0</v>
      </c>
      <c r="V57" s="2">
        <f>[3]MESA_UA!$IM$64</f>
        <v>0</v>
      </c>
      <c r="W57" s="63" t="e">
        <f t="shared" si="50"/>
        <v>#DIV/0!</v>
      </c>
      <c r="X57" s="255">
        <f>SUM([3]MESA_UA!$IT$64:$JA$64)</f>
        <v>0</v>
      </c>
      <c r="Y57" s="2">
        <f>SUM([3]MESA_UA!$IF$64:$IM$64)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51</v>
      </c>
      <c r="AD57" s="255">
        <f>[3]MESA_UA!$JA$43</f>
        <v>15103</v>
      </c>
      <c r="AE57" s="2">
        <f>[3]MESA_UA!$IM$43</f>
        <v>11004</v>
      </c>
      <c r="AF57" s="63">
        <f t="shared" si="53"/>
        <v>0.37250090876045072</v>
      </c>
      <c r="AG57" s="255">
        <f>SUM([3]MESA_UA!$IT$43:$JA$43)</f>
        <v>88556</v>
      </c>
      <c r="AH57" s="2">
        <f>SUM([3]MESA_UA!$IF$43:$IM$43)</f>
        <v>50046</v>
      </c>
      <c r="AI57" s="3">
        <f t="shared" si="54"/>
        <v>0.76949206729808572</v>
      </c>
      <c r="AJ57" s="63">
        <f t="shared" si="55"/>
        <v>3.493715919344856E-3</v>
      </c>
    </row>
    <row r="58" spans="1:36" ht="14.1" customHeight="1" x14ac:dyDescent="0.2">
      <c r="A58" s="36"/>
      <c r="B58" s="310" t="s">
        <v>52</v>
      </c>
      <c r="C58" s="255">
        <f>[3]Republic_UA!$JA$19</f>
        <v>30</v>
      </c>
      <c r="D58" s="2">
        <f>[3]Republic_UA!$IM$19</f>
        <v>2</v>
      </c>
      <c r="E58" s="63">
        <f t="shared" si="44"/>
        <v>14</v>
      </c>
      <c r="F58" s="2">
        <f>SUM([3]Republic_UA!$IT$19:$JA$19)</f>
        <v>418</v>
      </c>
      <c r="G58" s="2">
        <f>SUM([3]Republic_UA!$IF$19:$IM$19)</f>
        <v>336</v>
      </c>
      <c r="H58" s="3">
        <f t="shared" ref="H58" si="56">(F58-G58)/G58</f>
        <v>0.24404761904761904</v>
      </c>
      <c r="I58" s="63">
        <f t="shared" si="46"/>
        <v>2.0162068300212232E-3</v>
      </c>
      <c r="J58" s="36"/>
      <c r="K58" s="310" t="s">
        <v>52</v>
      </c>
      <c r="L58" s="255">
        <f>[3]Republic_UA!$JA$41</f>
        <v>1999</v>
      </c>
      <c r="M58" s="2">
        <f>[3]Republic_UA!$IM$41</f>
        <v>139</v>
      </c>
      <c r="N58" s="63">
        <f t="shared" si="47"/>
        <v>13.381294964028777</v>
      </c>
      <c r="O58" s="255">
        <f>SUM([3]Republic_UA!$IT$41:$JA$41)</f>
        <v>26972</v>
      </c>
      <c r="P58" s="2">
        <f>SUM([3]Republic_UA!$IF$41:$IM$41)</f>
        <v>21257</v>
      </c>
      <c r="Q58" s="3">
        <f t="shared" si="48"/>
        <v>0.26885261325680954</v>
      </c>
      <c r="R58" s="63">
        <f t="shared" si="49"/>
        <v>1.0929874513515832E-3</v>
      </c>
      <c r="S58" s="36"/>
      <c r="T58" s="310" t="s">
        <v>52</v>
      </c>
      <c r="U58" s="255">
        <f>[3]Republic_UA!$JA$64</f>
        <v>0</v>
      </c>
      <c r="V58" s="2">
        <f>[3]Republic_UA!$IM$64</f>
        <v>0</v>
      </c>
      <c r="W58" s="63" t="e">
        <f t="shared" si="50"/>
        <v>#DIV/0!</v>
      </c>
      <c r="X58" s="255">
        <f>SUM([3]Republic_UA!$IT$64:$JA$64)</f>
        <v>0</v>
      </c>
      <c r="Y58" s="2">
        <f>SUM([3]Republic_UA!$IF$64:$IM$64)</f>
        <v>0</v>
      </c>
      <c r="Z58" s="3" t="e">
        <f t="shared" si="51"/>
        <v>#DIV/0!</v>
      </c>
      <c r="AA58" s="63">
        <f t="shared" si="52"/>
        <v>0</v>
      </c>
      <c r="AB58" s="36"/>
      <c r="AC58" s="310" t="s">
        <v>52</v>
      </c>
      <c r="AD58" s="255">
        <f>[3]Republic_UA!$JA$43</f>
        <v>2044</v>
      </c>
      <c r="AE58" s="2">
        <f>[3]Republic_UA!$IM$43</f>
        <v>140</v>
      </c>
      <c r="AF58" s="63">
        <f t="shared" si="53"/>
        <v>13.6</v>
      </c>
      <c r="AG58" s="255">
        <f>SUM([3]Republic_UA!$IT$43:$JA$43)</f>
        <v>27917</v>
      </c>
      <c r="AH58" s="2">
        <f>SUM([3]Republic_UA!$IF$43:$IM$43)</f>
        <v>21930</v>
      </c>
      <c r="AI58" s="3">
        <f t="shared" si="54"/>
        <v>0.27300501595987231</v>
      </c>
      <c r="AJ58" s="63">
        <f t="shared" si="55"/>
        <v>1.1013829364509501E-3</v>
      </c>
    </row>
    <row r="59" spans="1:36" ht="14.1" customHeight="1" x14ac:dyDescent="0.2">
      <c r="A59" s="36"/>
      <c r="B59" s="37" t="s">
        <v>97</v>
      </c>
      <c r="C59" s="255">
        <f>'[3]Sky West_UA'!$JA$19</f>
        <v>22</v>
      </c>
      <c r="D59" s="2">
        <f>'[3]Sky West_UA'!$IM$19+'[3]Sky West_CO'!$IM$19</f>
        <v>4</v>
      </c>
      <c r="E59" s="63">
        <f t="shared" si="44"/>
        <v>4.5</v>
      </c>
      <c r="F59" s="2">
        <f>SUM('[3]Sky West_UA'!$IT$19:$JA$19)</f>
        <v>600</v>
      </c>
      <c r="G59" s="2">
        <f>SUM('[3]Sky West_UA'!$IF$19:$IM$19)+SUM('[3]Sky West_CO'!$IF$19:$IM$19)</f>
        <v>64</v>
      </c>
      <c r="H59" s="3">
        <f t="shared" si="45"/>
        <v>8.375</v>
      </c>
      <c r="I59" s="63">
        <f t="shared" si="46"/>
        <v>2.894076789504148E-3</v>
      </c>
      <c r="J59" s="36"/>
      <c r="K59" s="37" t="s">
        <v>97</v>
      </c>
      <c r="L59" s="255">
        <f>'[3]Sky West_UA'!$JA$41</f>
        <v>1421</v>
      </c>
      <c r="M59" s="2">
        <f>'[3]Sky West_UA'!$IM$41+'[3]Sky West_CO'!$IM$41</f>
        <v>0</v>
      </c>
      <c r="N59" s="63" t="e">
        <f t="shared" si="47"/>
        <v>#DIV/0!</v>
      </c>
      <c r="O59" s="255">
        <f>SUM('[3]Sky West_UA'!$IT$41:$JA$41)</f>
        <v>37266</v>
      </c>
      <c r="P59" s="2">
        <f>SUM('[3]Sky West_UA'!$IF$41:$IM$41)+SUM('[3]Sky West_CO'!$IF$41:$IM$41)</f>
        <v>3382</v>
      </c>
      <c r="Q59" s="3">
        <f t="shared" si="48"/>
        <v>10.018923713778829</v>
      </c>
      <c r="R59" s="63">
        <f t="shared" si="49"/>
        <v>1.5101316313980461E-3</v>
      </c>
      <c r="S59" s="36"/>
      <c r="T59" s="37" t="s">
        <v>97</v>
      </c>
      <c r="U59" s="255">
        <f>'[3]Sky West_UA'!$JA$64</f>
        <v>0</v>
      </c>
      <c r="V59" s="2">
        <f>'[3]Sky West_UA'!$IM$64+'[3]Sky West_CO'!$IM$64</f>
        <v>0</v>
      </c>
      <c r="W59" s="63" t="e">
        <f t="shared" si="50"/>
        <v>#DIV/0!</v>
      </c>
      <c r="X59" s="255">
        <f>SUM('[3]Sky West_UA'!$IT$64:$JA$64)</f>
        <v>0</v>
      </c>
      <c r="Y59" s="2">
        <f>SUM('[3]Sky West_UA'!$IF$64:$IM$64)+SUM('[3]Sky West_CO'!$IF$64:$IM$64)</f>
        <v>0</v>
      </c>
      <c r="Z59" s="3" t="e">
        <f t="shared" si="51"/>
        <v>#DIV/0!</v>
      </c>
      <c r="AA59" s="63">
        <f t="shared" si="52"/>
        <v>0</v>
      </c>
      <c r="AB59" s="36"/>
      <c r="AC59" s="37" t="s">
        <v>97</v>
      </c>
      <c r="AD59" s="255">
        <f>'[3]Sky West_UA'!$JA$43</f>
        <v>1470</v>
      </c>
      <c r="AE59" s="2">
        <f>'[3]Sky West_UA'!$IM$43+'[3]Sky West_CO'!$IM$43</f>
        <v>0</v>
      </c>
      <c r="AF59" s="63" t="e">
        <f t="shared" si="53"/>
        <v>#DIV/0!</v>
      </c>
      <c r="AG59" s="255">
        <f>SUM('[3]Sky West_UA'!$IT$43:$JA$43)</f>
        <v>38925</v>
      </c>
      <c r="AH59" s="2">
        <f>SUM('[3]Sky West_UA'!$IF$43:$IM$43)+SUM('[3]Sky West_CO'!$IF$43:$IM$43)</f>
        <v>3501</v>
      </c>
      <c r="AI59" s="3">
        <f t="shared" si="54"/>
        <v>10.118251928020566</v>
      </c>
      <c r="AJ59" s="63">
        <f t="shared" si="55"/>
        <v>1.5356711251693677E-3</v>
      </c>
    </row>
    <row r="60" spans="1:36" ht="14.1" customHeight="1" x14ac:dyDescent="0.2">
      <c r="A60" s="36"/>
      <c r="B60" s="258"/>
      <c r="C60" s="255"/>
      <c r="E60" s="63"/>
      <c r="F60" s="2"/>
      <c r="I60" s="63"/>
      <c r="J60" s="36"/>
      <c r="K60" s="258"/>
      <c r="L60" s="255"/>
      <c r="N60" s="63"/>
      <c r="O60" s="255"/>
      <c r="P60" s="2"/>
      <c r="Q60" s="3"/>
      <c r="R60" s="63"/>
      <c r="S60" s="36"/>
      <c r="T60" s="258"/>
      <c r="U60" s="255"/>
      <c r="V60" s="2"/>
      <c r="W60" s="63"/>
      <c r="X60" s="255"/>
      <c r="Y60" s="2"/>
      <c r="Z60" s="3"/>
      <c r="AA60" s="63"/>
      <c r="AB60" s="36"/>
      <c r="AC60" s="258"/>
      <c r="AD60" s="255"/>
      <c r="AE60" s="2"/>
      <c r="AF60" s="63"/>
      <c r="AG60" s="255"/>
      <c r="AH60" s="2"/>
      <c r="AI60" s="3"/>
      <c r="AJ60" s="63"/>
    </row>
    <row r="61" spans="1:36" ht="14.1" customHeight="1" x14ac:dyDescent="0.2">
      <c r="A61" s="250" t="s">
        <v>231</v>
      </c>
      <c r="B61" s="258"/>
      <c r="C61" s="251">
        <f>[3]WestJet!$JA$19</f>
        <v>222</v>
      </c>
      <c r="D61" s="253">
        <f>[3]WestJet!$IM$19</f>
        <v>72</v>
      </c>
      <c r="E61" s="254">
        <f>(C61-D61)/D61</f>
        <v>2.0833333333333335</v>
      </c>
      <c r="F61" s="253">
        <f>SUM([3]WestJet!$IT$19:$JA$19)</f>
        <v>1160</v>
      </c>
      <c r="G61" s="253">
        <f>SUM([3]WestJet!$IF$19:$IM$19)</f>
        <v>190</v>
      </c>
      <c r="H61" s="252">
        <f>(F61-G61)/G61</f>
        <v>5.1052631578947372</v>
      </c>
      <c r="I61" s="254">
        <f>F61/$F$66</f>
        <v>5.5952151263746865E-3</v>
      </c>
      <c r="J61" s="250" t="s">
        <v>231</v>
      </c>
      <c r="K61" s="37"/>
      <c r="L61" s="251">
        <f>[3]WestJet!$JA$41</f>
        <v>23902</v>
      </c>
      <c r="M61" s="253">
        <f>[3]WestJet!$IM$41</f>
        <v>9295</v>
      </c>
      <c r="N61" s="254">
        <f>(L61-M61)/M61</f>
        <v>1.5714900484131253</v>
      </c>
      <c r="O61" s="251">
        <f>SUM([3]WestJet!$IT$41:$JA$41)</f>
        <v>117329</v>
      </c>
      <c r="P61" s="253">
        <f>SUM([3]WestJet!$IF$41:$IM$41)</f>
        <v>24513</v>
      </c>
      <c r="Q61" s="252">
        <f>(O61-P61)/P61</f>
        <v>3.7863990535634153</v>
      </c>
      <c r="R61" s="254">
        <f>O61/$O$66</f>
        <v>4.7545278318118752E-3</v>
      </c>
      <c r="S61" s="250" t="s">
        <v>231</v>
      </c>
      <c r="T61" s="37"/>
      <c r="U61" s="251">
        <f>[3]WestJet!$JA$64</f>
        <v>0</v>
      </c>
      <c r="V61" s="253">
        <f>[3]WestJet!$IM$64</f>
        <v>0</v>
      </c>
      <c r="W61" s="254" t="e">
        <f>(U61-V61)/V61</f>
        <v>#DIV/0!</v>
      </c>
      <c r="X61" s="251">
        <f>SUM([3]WestJet!$IT$64:$JA$64)</f>
        <v>0</v>
      </c>
      <c r="Y61" s="253">
        <f>SUM([3]WestJet!$IF$64:$IM$64)</f>
        <v>0</v>
      </c>
      <c r="Z61" s="252" t="e">
        <f>(X61-Y61)/Y61</f>
        <v>#DIV/0!</v>
      </c>
      <c r="AA61" s="254">
        <f>X61/$X$66</f>
        <v>0</v>
      </c>
      <c r="AB61" s="250" t="s">
        <v>231</v>
      </c>
      <c r="AC61" s="37"/>
      <c r="AD61" s="251">
        <f>[3]WestJet!$JA$43</f>
        <v>23904</v>
      </c>
      <c r="AE61" s="253">
        <f>[3]WestJet!$IM$43</f>
        <v>9295</v>
      </c>
      <c r="AF61" s="254">
        <f>(AD61-AE61)/AE61</f>
        <v>1.571705217859064</v>
      </c>
      <c r="AG61" s="251">
        <f>SUM([3]WestJet!$IT$43:$JA$43)</f>
        <v>117342</v>
      </c>
      <c r="AH61" s="253">
        <f>SUM([3]WestJet!$IF$43:$IM$43)</f>
        <v>24516</v>
      </c>
      <c r="AI61" s="252">
        <f>(AG61-AH61)/AH61</f>
        <v>3.7863436123348015</v>
      </c>
      <c r="AJ61" s="254">
        <f>AG61/$AG$66</f>
        <v>4.6293826890076795E-3</v>
      </c>
    </row>
    <row r="62" spans="1:36" ht="14.1" customHeight="1" thickBot="1" x14ac:dyDescent="0.25">
      <c r="A62" s="312"/>
      <c r="B62" s="313"/>
      <c r="C62" s="259"/>
      <c r="D62" s="261"/>
      <c r="E62" s="262"/>
      <c r="F62" s="261"/>
      <c r="G62" s="261"/>
      <c r="H62" s="260"/>
      <c r="I62" s="262"/>
      <c r="J62" s="312"/>
      <c r="K62" s="313"/>
      <c r="L62" s="259"/>
      <c r="M62" s="261"/>
      <c r="N62" s="262"/>
      <c r="O62" s="259"/>
      <c r="P62" s="261"/>
      <c r="Q62" s="260"/>
      <c r="R62" s="334"/>
      <c r="S62" s="312"/>
      <c r="T62" s="313"/>
      <c r="U62" s="259"/>
      <c r="V62" s="261"/>
      <c r="W62" s="262"/>
      <c r="X62" s="259"/>
      <c r="Y62" s="261"/>
      <c r="Z62" s="260"/>
      <c r="AA62" s="334"/>
      <c r="AB62" s="312"/>
      <c r="AC62" s="313"/>
      <c r="AD62" s="259"/>
      <c r="AE62" s="261"/>
      <c r="AF62" s="262"/>
      <c r="AG62" s="259"/>
      <c r="AH62" s="261"/>
      <c r="AI62" s="260"/>
      <c r="AJ62" s="334"/>
    </row>
    <row r="63" spans="1:36" s="164" customFormat="1" ht="14.1" customHeight="1" thickBot="1" x14ac:dyDescent="0.25">
      <c r="B63" s="163"/>
      <c r="C63" s="253"/>
      <c r="D63" s="253"/>
      <c r="E63" s="252"/>
      <c r="F63" s="311"/>
      <c r="G63" s="253"/>
      <c r="H63" s="252"/>
      <c r="I63" s="252"/>
      <c r="J63" s="263"/>
      <c r="K63" s="163"/>
      <c r="L63" s="264"/>
      <c r="M63" s="265"/>
      <c r="N63" s="263"/>
      <c r="S63" s="263"/>
      <c r="T63" s="163"/>
      <c r="U63" s="264"/>
      <c r="V63" s="265"/>
      <c r="W63" s="263"/>
      <c r="AB63" s="263"/>
      <c r="AC63" s="163"/>
      <c r="AD63" s="264"/>
      <c r="AE63" s="265"/>
      <c r="AF63" s="263"/>
    </row>
    <row r="64" spans="1:36" ht="14.1" customHeight="1" x14ac:dyDescent="0.2">
      <c r="B64" s="266" t="s">
        <v>131</v>
      </c>
      <c r="C64" s="319">
        <f>+C66-C65</f>
        <v>22202</v>
      </c>
      <c r="D64" s="429">
        <f>+D66-D65</f>
        <v>20530</v>
      </c>
      <c r="E64" s="320">
        <f>(C64-D64)/D64</f>
        <v>8.1441792498782264E-2</v>
      </c>
      <c r="F64" s="319">
        <f>+F66-F65</f>
        <v>155366</v>
      </c>
      <c r="G64" s="429">
        <f>+G66-G65</f>
        <v>143481</v>
      </c>
      <c r="H64" s="320">
        <f>(F64-G64)/G64</f>
        <v>8.2833267122476142E-2</v>
      </c>
      <c r="I64" s="345">
        <f>F64/$F$66</f>
        <v>0.74940189079683583</v>
      </c>
      <c r="K64" s="266" t="s">
        <v>131</v>
      </c>
      <c r="L64" s="319">
        <f>+L66-L65</f>
        <v>3148157</v>
      </c>
      <c r="M64" s="429">
        <f>+M66-M65</f>
        <v>2892978</v>
      </c>
      <c r="N64" s="320">
        <f>(L64-M64)/M64</f>
        <v>8.8206339626502511E-2</v>
      </c>
      <c r="O64" s="319">
        <f>+O66-O65</f>
        <v>21681116</v>
      </c>
      <c r="P64" s="429">
        <f>+P66-P65</f>
        <v>19982735</v>
      </c>
      <c r="Q64" s="343">
        <f>(O64-P64)/P64</f>
        <v>8.4992419706311467E-2</v>
      </c>
      <c r="R64" s="390">
        <f>+O64/O66</f>
        <v>0.87858474415312293</v>
      </c>
      <c r="S64" s="3"/>
      <c r="T64" s="266" t="s">
        <v>131</v>
      </c>
      <c r="U64" s="319">
        <f>+U66-U65</f>
        <v>7509182</v>
      </c>
      <c r="V64" s="429">
        <f>+V66-V65</f>
        <v>5841298</v>
      </c>
      <c r="W64" s="320">
        <f>(U64-V64)/V64</f>
        <v>0.28553311267461445</v>
      </c>
      <c r="X64" s="319">
        <f>+X66-X65</f>
        <v>53292809.109999999</v>
      </c>
      <c r="Y64" s="429">
        <f>+Y66-Y65</f>
        <v>54464428</v>
      </c>
      <c r="Z64" s="343">
        <f>(X64-Y64)/Y64</f>
        <v>-2.1511634896817435E-2</v>
      </c>
      <c r="AA64" s="390">
        <f>+X64/X66</f>
        <v>0.99778833496691477</v>
      </c>
      <c r="AB64" s="3"/>
      <c r="AC64" s="266" t="s">
        <v>131</v>
      </c>
      <c r="AD64" s="319">
        <f>+AD66-AD65</f>
        <v>3225863</v>
      </c>
      <c r="AE64" s="429">
        <f>+AE66-AE65</f>
        <v>2969605</v>
      </c>
      <c r="AF64" s="345">
        <f>(AD64-AE64)/AE64</f>
        <v>8.6293631644612664E-2</v>
      </c>
      <c r="AG64" s="319">
        <f>+AG66-AG65</f>
        <v>22260038</v>
      </c>
      <c r="AH64" s="429">
        <f>+AH66-AH65</f>
        <v>20543816</v>
      </c>
      <c r="AI64" s="345">
        <f>(AG64-AH64)/AH64</f>
        <v>8.3539591670797678E-2</v>
      </c>
      <c r="AJ64" s="390">
        <f>+AG64/AG66</f>
        <v>0.87820417730951528</v>
      </c>
    </row>
    <row r="65" spans="2:36" ht="14.1" customHeight="1" x14ac:dyDescent="0.2">
      <c r="B65" s="163" t="s">
        <v>132</v>
      </c>
      <c r="C65" s="321">
        <f>+C36+C35+C34+C22+C59+C56+C57+C26+C23+C17+C6+C58+C24+C25+C18+C7</f>
        <v>6444</v>
      </c>
      <c r="D65" s="430">
        <f>+D36+D35+D34+D22+D59+D56+D57+D26+D23+D17+D6+D58+D24+D25+D18+D7</f>
        <v>6561</v>
      </c>
      <c r="E65" s="267">
        <f>(C65-D65)/D65</f>
        <v>-1.7832647462277092E-2</v>
      </c>
      <c r="F65" s="321">
        <f>+F36+F35+F34+F22+F59+F56+F57+F26+F23+F17+F6+F58+F24+F25+F18+F7</f>
        <v>51954</v>
      </c>
      <c r="G65" s="430">
        <f>+G36+G35+G34+G22+G59+G56+G57+G26+G23+G17+G6+G58+G24+G25+G18+G7</f>
        <v>49846</v>
      </c>
      <c r="H65" s="267">
        <f>(F65-G65)/G65</f>
        <v>4.229025398226538E-2</v>
      </c>
      <c r="I65" s="346">
        <f>F65/$F$66</f>
        <v>0.25059810920316417</v>
      </c>
      <c r="K65" s="163" t="s">
        <v>132</v>
      </c>
      <c r="L65" s="321">
        <f>+L36+L35+L34+L22+L59+L56+L57+L26+L23+L17+L6+L58+L24+L25+L18+L7</f>
        <v>384857</v>
      </c>
      <c r="M65" s="430">
        <f>+M36+M35+M34+M22+M59+M56+M57+M26+M23+M17+M6+M58+M24+M25+M18+M7</f>
        <v>364258</v>
      </c>
      <c r="N65" s="267">
        <f>(L65-M65)/M65</f>
        <v>5.6550576788979241E-2</v>
      </c>
      <c r="O65" s="321">
        <f>+O36+O35+O34+O22+O59+O56+O57+O26+O23+O17+O6+O58+O24+O25+O18+O7</f>
        <v>2996203</v>
      </c>
      <c r="P65" s="430">
        <f>+P36+P35+P34+P22+P59+P56+P57+P26+P23+P17+P6+P58+P24+P25+P18+P7</f>
        <v>2725429</v>
      </c>
      <c r="Q65" s="342">
        <f>(O65-P65)/P65</f>
        <v>9.9350964563743913E-2</v>
      </c>
      <c r="R65" s="391">
        <f>+O65/O66</f>
        <v>0.12141525584687704</v>
      </c>
      <c r="S65" s="3"/>
      <c r="T65" s="163" t="s">
        <v>132</v>
      </c>
      <c r="U65" s="321">
        <f>+U36+U35+U34+U22+U59+U56+U57+U26+U23+U17+U6+U58+U24+U25+U18+U7</f>
        <v>4743.8</v>
      </c>
      <c r="V65" s="430">
        <f>+V36+V35+V34+V22+V59+V56+V57+V26+V23+V17+V6+V58+V24+V25+V18+V7</f>
        <v>74072.299999999988</v>
      </c>
      <c r="W65" s="267">
        <f>(U65-V65)/V65</f>
        <v>-0.93595716617412983</v>
      </c>
      <c r="X65" s="321">
        <f>+X36+X35+X34+X22+X59+X56+X57+X26+X23+X17+X6+X58+X24+X25+X18+X7</f>
        <v>118127.1</v>
      </c>
      <c r="Y65" s="430">
        <f>+Y36+Y35+Y34+Y22+Y59+Y56+Y57+Y26+Y23+Y17+Y6+Y58+Y24+Y25+Y18+Y7</f>
        <v>300485.19999999995</v>
      </c>
      <c r="Z65" s="342">
        <f>(X65-Y65)/Y65</f>
        <v>-0.60687880800784855</v>
      </c>
      <c r="AA65" s="391">
        <f>+X65/X66</f>
        <v>2.2116650330851785E-3</v>
      </c>
      <c r="AB65" s="3"/>
      <c r="AC65" s="163" t="s">
        <v>132</v>
      </c>
      <c r="AD65" s="321">
        <f>+AD36+AD35+AD34+AD22+AD59+AD56+AD57+AD26+AD23+AD17+AD6+AD58+AD24+AD25+AD18+AD7</f>
        <v>394621</v>
      </c>
      <c r="AE65" s="430">
        <f>+AE36+AE35+AE34+AE22+AE59+AE56+AE57+AE26+AE23+AE17+AE6+AE58+AE24+AE25+AE18+AE7</f>
        <v>373434</v>
      </c>
      <c r="AF65" s="346">
        <f>(AD65-AE65)/AE65</f>
        <v>5.6735594509337663E-2</v>
      </c>
      <c r="AG65" s="321">
        <f>+AG36+AG35+AG34+AG22+AG59+AG56+AG57+AG26+AG23+AG17+AG6+AG58+AG24+AG25+AG18+AG7</f>
        <v>3087186</v>
      </c>
      <c r="AH65" s="430">
        <f>+AH36+AH35+AH34+AH22+AH59+AH56+AH57+AH26+AH23+AH17+AH6+AH58+AH24+AH25+AH18+AH7</f>
        <v>2807694</v>
      </c>
      <c r="AI65" s="346">
        <f>(AG65-AH65)/AH65</f>
        <v>9.9545035890663297E-2</v>
      </c>
      <c r="AJ65" s="391">
        <f>+AG65/AG66</f>
        <v>0.12179582269048476</v>
      </c>
    </row>
    <row r="66" spans="2:36" ht="14.1" customHeight="1" thickBot="1" x14ac:dyDescent="0.25">
      <c r="B66" s="163" t="s">
        <v>133</v>
      </c>
      <c r="C66" s="322">
        <f>C54+C52+C48+C40+C38+C32+C20+C15+C4+C50+C28+C44+C9+C42+C30+C13+C61+C11+C46</f>
        <v>28646</v>
      </c>
      <c r="D66" s="454">
        <f>D54+D52+D48+D40+D38+D32+D20+D15+D4+D50+D28+D44+D9+D42+D30+D13+D61+D11+D46</f>
        <v>27091</v>
      </c>
      <c r="E66" s="323">
        <f>(C66-D66)/D66</f>
        <v>5.739913624450925E-2</v>
      </c>
      <c r="F66" s="322">
        <f>F54+F52+F48+F40+F38+F32+F20+F15+F4+F50+F28+F44+F9+F42+F30+F13+F61+F11+F46</f>
        <v>207320</v>
      </c>
      <c r="G66" s="454">
        <f>G54+G52+G48+G40+G38+G32+G20+G15+G4+G50+G28+G44+G9+G42+G30+G13+G61+G11+G46</f>
        <v>193327</v>
      </c>
      <c r="H66" s="323">
        <f>(F66-G66)/G66</f>
        <v>7.2379957274462434E-2</v>
      </c>
      <c r="I66" s="347">
        <f>+H66/H66</f>
        <v>1</v>
      </c>
      <c r="K66" s="163" t="s">
        <v>133</v>
      </c>
      <c r="L66" s="322">
        <f>L54+L52+L48+L40+L38+L32+L20+L15+L4+L50+L28+L44+L9+L42+L30+L13+L61+L11+L46</f>
        <v>3533014</v>
      </c>
      <c r="M66" s="454">
        <f>M54+M52+M48+M40+M38+M32+M20+M15+M4+M50+M28+M44+M9+M42+M30+M13+M61+M11+M46</f>
        <v>3257236</v>
      </c>
      <c r="N66" s="323">
        <f>(L66-M66)/M66</f>
        <v>8.4666263052477625E-2</v>
      </c>
      <c r="O66" s="322">
        <f>O54+O52+O48+O40+O38+O32+O20+O15+O4+O50+O28+O44+O9+O42+O30+O13+O61+O11+O46</f>
        <v>24677319</v>
      </c>
      <c r="P66" s="454">
        <f>P54+P52+P48+P40+P38+P32+P20+P15+P4+P50+P28+P44+P9+P42+P30+P13+P61+P11+P46</f>
        <v>22708164</v>
      </c>
      <c r="Q66" s="389">
        <f>(O66-P66)/P66</f>
        <v>8.6715729197657729E-2</v>
      </c>
      <c r="R66" s="347">
        <f>+Q66/Q66</f>
        <v>1</v>
      </c>
      <c r="S66" s="3"/>
      <c r="T66" s="163" t="s">
        <v>133</v>
      </c>
      <c r="U66" s="322">
        <f>U54+U52+U48+U40+U38+U32+U20+U15+U4+U50+U28+U44+U9+U42+U30+U13+U61+U11+U46</f>
        <v>7513925.7999999998</v>
      </c>
      <c r="V66" s="454">
        <f>V54+V52+V48+V40+V38+V32+V20+V15+V4+V50+V28+V44+V9+V42+V30+V13+V61+V11+V46</f>
        <v>5915370.2999999998</v>
      </c>
      <c r="W66" s="323">
        <f>(U66-V66)/V66</f>
        <v>0.27023760456720691</v>
      </c>
      <c r="X66" s="322">
        <f>X54+X52+X48+X40+X38+X32+X20+X15+X4+X50+X28+X44+X9+X42+X30+X13+X61+X11+X46</f>
        <v>53410936.210000001</v>
      </c>
      <c r="Y66" s="454">
        <f>Y54+Y52+Y48+Y40+Y38+Y32+Y20+Y15+Y4+Y50+Y28+Y44+Y9+Y42+Y30+Y13+Y61+Y11+Y46</f>
        <v>54764913.200000003</v>
      </c>
      <c r="Z66" s="389">
        <f>(X66-Y66)/Y66</f>
        <v>-2.4723438984652714E-2</v>
      </c>
      <c r="AA66" s="347">
        <f>+Z66/Z66</f>
        <v>1</v>
      </c>
      <c r="AB66" s="3"/>
      <c r="AC66" s="163" t="s">
        <v>133</v>
      </c>
      <c r="AD66" s="322">
        <f>AD54+AD52+AD48+AD40+AD38+AD32+AD20+AD15+AD4+AD50+AD28+AD44+AD9+AD42+AD30+AD13+AD61+AD11+AD46</f>
        <v>3620484</v>
      </c>
      <c r="AE66" s="454">
        <f>AE54+AE52+AE48+AE40+AE38+AE32+AE20+AE15+AE4+AE50+AE28+AE44+AE9+AE42+AE30+AE13+AE61+AE11+AE46</f>
        <v>3343039</v>
      </c>
      <c r="AF66" s="347">
        <f>(AD66-AE66)/AE66</f>
        <v>8.2991852622718437E-2</v>
      </c>
      <c r="AG66" s="322">
        <f>AG54+AG52+AG48+AG40+AG38+AG32+AG20+AG15+AG4+AG50+AG28+AG44+AG9+AG42+AG30+AG13+AG61+AG11+AG46</f>
        <v>25347224</v>
      </c>
      <c r="AH66" s="454">
        <f>AH54+AH52+AH48+AH40+AH38+AH32+AH20+AH15+AH4+AH50+AH28+AH44+AH9+AH42+AH30+AH13+AH61+AH11+AH46</f>
        <v>23351510</v>
      </c>
      <c r="AI66" s="347">
        <f>(AG66-AH66)/AH66</f>
        <v>8.5464023525673505E-2</v>
      </c>
      <c r="AJ66" s="347">
        <f>+AI66/AI66</f>
        <v>1</v>
      </c>
    </row>
    <row r="67" spans="2:36" x14ac:dyDescent="0.2">
      <c r="D67" s="3"/>
      <c r="F67" s="2"/>
      <c r="G67"/>
      <c r="H67"/>
      <c r="I67"/>
      <c r="J67"/>
      <c r="K67"/>
      <c r="M67"/>
      <c r="N67"/>
    </row>
    <row r="68" spans="2:36" x14ac:dyDescent="0.2">
      <c r="B68" s="163"/>
      <c r="E68"/>
      <c r="F68" s="2"/>
      <c r="H68"/>
      <c r="I68"/>
      <c r="J68"/>
      <c r="K68"/>
      <c r="N68"/>
      <c r="O68" s="2"/>
      <c r="P68" s="2"/>
      <c r="U68" s="89"/>
      <c r="V68" s="89"/>
      <c r="W68" s="89"/>
    </row>
    <row r="69" spans="2:36" x14ac:dyDescent="0.2">
      <c r="E69"/>
      <c r="F69" s="2"/>
      <c r="H69"/>
      <c r="I69"/>
      <c r="J69"/>
      <c r="K69"/>
      <c r="N69"/>
      <c r="O69" s="2"/>
      <c r="P69" s="2"/>
      <c r="U69" s="89"/>
      <c r="V69" s="89"/>
      <c r="W69" s="89"/>
      <c r="AD69" s="2"/>
      <c r="AE69" s="2"/>
      <c r="AG69" s="2"/>
      <c r="AH69" s="2"/>
    </row>
    <row r="70" spans="2:36" x14ac:dyDescent="0.2">
      <c r="E70"/>
      <c r="F70" s="2"/>
      <c r="H70"/>
      <c r="I70"/>
      <c r="J70"/>
      <c r="K70"/>
      <c r="N70"/>
      <c r="O70" s="2"/>
      <c r="P70" s="2"/>
      <c r="U70" s="89"/>
      <c r="AD70" s="2"/>
      <c r="AE70" s="2"/>
      <c r="AG70" s="2"/>
      <c r="AH70" s="2"/>
    </row>
    <row r="71" spans="2:36" x14ac:dyDescent="0.2">
      <c r="E71"/>
      <c r="F71" s="2"/>
      <c r="H71"/>
      <c r="I71"/>
      <c r="J71"/>
      <c r="K71"/>
      <c r="N71"/>
      <c r="O71" s="2"/>
      <c r="P71" s="2"/>
      <c r="AG71" s="89"/>
      <c r="AH71" s="89"/>
    </row>
    <row r="72" spans="2:36" x14ac:dyDescent="0.2">
      <c r="E72"/>
      <c r="F72" s="2"/>
      <c r="H72"/>
      <c r="I72"/>
      <c r="J72"/>
      <c r="K72"/>
      <c r="N72"/>
      <c r="O72" s="2"/>
      <c r="P72" s="2"/>
    </row>
    <row r="73" spans="2:36" x14ac:dyDescent="0.2">
      <c r="E73"/>
      <c r="F73" s="2"/>
      <c r="H73"/>
      <c r="I73"/>
      <c r="J73"/>
      <c r="K73"/>
      <c r="N73"/>
      <c r="O73" s="2"/>
      <c r="P73" s="2"/>
      <c r="AD73" s="2"/>
      <c r="AE73" s="2"/>
      <c r="AG73" s="2"/>
      <c r="AH73" s="2"/>
    </row>
    <row r="74" spans="2:36" x14ac:dyDescent="0.2">
      <c r="D74" s="3"/>
      <c r="F74"/>
      <c r="G74"/>
      <c r="H74"/>
      <c r="I74"/>
      <c r="J74"/>
      <c r="K74"/>
      <c r="M74"/>
      <c r="N74"/>
    </row>
    <row r="75" spans="2:36" x14ac:dyDescent="0.2">
      <c r="D75" s="3"/>
      <c r="F75"/>
      <c r="G75"/>
      <c r="H75"/>
      <c r="I75"/>
      <c r="J75"/>
      <c r="K75"/>
      <c r="L75"/>
      <c r="M75"/>
      <c r="N75"/>
      <c r="AD75" s="2"/>
      <c r="AE75" s="2"/>
      <c r="AG75" s="2"/>
      <c r="AH75" s="2"/>
    </row>
    <row r="76" spans="2:36" x14ac:dyDescent="0.2">
      <c r="D76" s="3"/>
      <c r="F76"/>
      <c r="G76"/>
      <c r="H76"/>
      <c r="I76"/>
      <c r="J76"/>
      <c r="K76"/>
      <c r="L76"/>
      <c r="M76"/>
      <c r="N76"/>
    </row>
    <row r="77" spans="2:36" x14ac:dyDescent="0.2">
      <c r="D77" s="3"/>
      <c r="F77"/>
      <c r="G77"/>
      <c r="H77"/>
      <c r="I77"/>
      <c r="J77"/>
      <c r="K77"/>
      <c r="L77"/>
      <c r="M77"/>
      <c r="N77"/>
    </row>
    <row r="78" spans="2:36" x14ac:dyDescent="0.2">
      <c r="D78" s="3"/>
      <c r="F78"/>
      <c r="G78"/>
      <c r="H78"/>
      <c r="I78"/>
      <c r="J78"/>
      <c r="K78"/>
      <c r="L78"/>
      <c r="M78"/>
      <c r="N78"/>
    </row>
    <row r="79" spans="2:36" x14ac:dyDescent="0.2">
      <c r="D79" s="3"/>
      <c r="F79"/>
      <c r="G79"/>
      <c r="H79"/>
      <c r="I79"/>
      <c r="J79"/>
      <c r="K79"/>
      <c r="L79"/>
      <c r="M79"/>
      <c r="N79"/>
    </row>
    <row r="80" spans="2:36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F138" s="165"/>
      <c r="K138"/>
    </row>
    <row r="139" spans="4:14" x14ac:dyDescent="0.2">
      <c r="F139" s="165"/>
      <c r="K139"/>
    </row>
    <row r="140" spans="4:14" x14ac:dyDescent="0.2">
      <c r="F140" s="165"/>
      <c r="K140"/>
    </row>
    <row r="141" spans="4:14" x14ac:dyDescent="0.2">
      <c r="F141" s="165"/>
      <c r="K141"/>
    </row>
    <row r="142" spans="4:14" x14ac:dyDescent="0.2">
      <c r="F142" s="165"/>
      <c r="K142"/>
    </row>
    <row r="143" spans="4:14" x14ac:dyDescent="0.2">
      <c r="F143" s="165"/>
      <c r="K143"/>
    </row>
    <row r="144" spans="4:14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  <row r="4696" spans="6:11" x14ac:dyDescent="0.2">
      <c r="F4696" s="165"/>
      <c r="K4696"/>
    </row>
    <row r="4697" spans="6:11" x14ac:dyDescent="0.2">
      <c r="F4697" s="165"/>
      <c r="K4697"/>
    </row>
    <row r="4698" spans="6:11" x14ac:dyDescent="0.2">
      <c r="F4698" s="165"/>
      <c r="K4698"/>
    </row>
    <row r="4699" spans="6:11" x14ac:dyDescent="0.2">
      <c r="F4699" s="165"/>
      <c r="K4699"/>
    </row>
    <row r="4700" spans="6:11" x14ac:dyDescent="0.2">
      <c r="F4700" s="165"/>
      <c r="K4700"/>
    </row>
    <row r="4701" spans="6:11" x14ac:dyDescent="0.2">
      <c r="F4701" s="165"/>
      <c r="K4701"/>
    </row>
    <row r="4702" spans="6:11" x14ac:dyDescent="0.2">
      <c r="F4702" s="165"/>
      <c r="K4702"/>
    </row>
    <row r="4703" spans="6:11" x14ac:dyDescent="0.2">
      <c r="F4703" s="165"/>
      <c r="K4703"/>
    </row>
    <row r="4704" spans="6:11" x14ac:dyDescent="0.2">
      <c r="F4704" s="165"/>
      <c r="K4704"/>
    </row>
    <row r="4705" spans="6:11" x14ac:dyDescent="0.2">
      <c r="F4705" s="165"/>
      <c r="K4705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3" fitToWidth="0" orientation="portrait" r:id="rId1"/>
  <headerFooter alignWithMargins="0">
    <oddHeader>&amp;L
Schedule 10
&amp;CMinneapolis-St. Paul International Airport
&amp;"Arial,Bold"&amp;A
August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30" zoomScaleNormal="130" zoomScaleSheetLayoutView="100" workbookViewId="0">
      <selection activeCell="J50" sqref="J50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8">
        <v>45505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95" t="s">
        <v>250</v>
      </c>
      <c r="K1" s="318" t="s">
        <v>20</v>
      </c>
      <c r="L1" s="317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48"/>
      <c r="K2" s="39"/>
      <c r="L2" s="196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[3]American!$JA$22</f>
        <v>65910</v>
      </c>
      <c r="C4" s="11">
        <f>[3]Delta!$JA$22+[3]Delta!$JA$32</f>
        <v>1071056</v>
      </c>
      <c r="D4" s="11">
        <f>[3]United!$JA$22</f>
        <v>70769</v>
      </c>
      <c r="E4" s="11">
        <f>[3]Spirit!$JA$22</f>
        <v>15104</v>
      </c>
      <c r="F4" s="11">
        <f>[3]Condor!$JA$22+[3]Condor!$JA$32</f>
        <v>3183</v>
      </c>
      <c r="G4" s="11">
        <f>'[3]Air France'!$JA$32</f>
        <v>7728</v>
      </c>
      <c r="H4" s="11">
        <f>'[3]Jet Blue'!$JA$22</f>
        <v>3920</v>
      </c>
      <c r="I4" s="11">
        <f>[3]KLM!$JA$22+[3]KLM!$JA$32</f>
        <v>3793</v>
      </c>
      <c r="J4" s="11">
        <f>[3]Lufthansa!$JA$22+[3]Lufthansa!$JA$32</f>
        <v>5934</v>
      </c>
      <c r="K4" s="11">
        <f>'Other Major Airline Stats'!K5</f>
        <v>339410</v>
      </c>
      <c r="L4" s="197">
        <f>SUM(B4:K4)</f>
        <v>1586807</v>
      </c>
    </row>
    <row r="5" spans="1:21" x14ac:dyDescent="0.2">
      <c r="A5" s="43" t="s">
        <v>31</v>
      </c>
      <c r="B5" s="7">
        <f>[3]American!$JA$23</f>
        <v>63116</v>
      </c>
      <c r="C5" s="7">
        <f>[3]Delta!$JA$23+[3]Delta!$JA$33</f>
        <v>1059513</v>
      </c>
      <c r="D5" s="7">
        <f>[3]United!$JA$23</f>
        <v>67414</v>
      </c>
      <c r="E5" s="7">
        <f>[3]Spirit!$JA$23</f>
        <v>14869</v>
      </c>
      <c r="F5" s="7">
        <f>[3]Condor!$JA$23+[3]Condor!$JA$33</f>
        <v>2587</v>
      </c>
      <c r="G5" s="7">
        <f>'[3]Air France'!$JA$33</f>
        <v>5881</v>
      </c>
      <c r="H5" s="7">
        <f>'[3]Jet Blue'!$JA$23</f>
        <v>3777</v>
      </c>
      <c r="I5" s="7">
        <f>[3]KLM!$JA$23+[3]KLM!$JA$33</f>
        <v>3570</v>
      </c>
      <c r="J5" s="7">
        <f>[3]Lufthansa!$JA$23+[3]Lufthansa!$JA$33</f>
        <v>4719</v>
      </c>
      <c r="K5" s="7">
        <f>'Other Major Airline Stats'!K6</f>
        <v>335904</v>
      </c>
      <c r="L5" s="198">
        <f>SUM(B5:K5)</f>
        <v>1561350</v>
      </c>
      <c r="N5" s="222"/>
      <c r="O5" s="222"/>
      <c r="P5" s="222"/>
      <c r="Q5" s="222"/>
      <c r="R5" s="222"/>
      <c r="S5" s="222"/>
      <c r="T5" s="222"/>
      <c r="U5" s="222"/>
    </row>
    <row r="6" spans="1:21" ht="15" x14ac:dyDescent="0.25">
      <c r="A6" s="41" t="s">
        <v>7</v>
      </c>
      <c r="B6" s="23">
        <f t="shared" ref="B6:E6" si="0">SUM(B4:B5)</f>
        <v>129026</v>
      </c>
      <c r="C6" s="23">
        <f t="shared" si="0"/>
        <v>2130569</v>
      </c>
      <c r="D6" s="23">
        <f t="shared" si="0"/>
        <v>138183</v>
      </c>
      <c r="E6" s="23">
        <f t="shared" si="0"/>
        <v>29973</v>
      </c>
      <c r="F6" s="23">
        <f t="shared" ref="F6:I6" si="1">SUM(F4:F5)</f>
        <v>5770</v>
      </c>
      <c r="G6" s="23">
        <f t="shared" si="1"/>
        <v>13609</v>
      </c>
      <c r="H6" s="23">
        <f t="shared" ref="H6" si="2">SUM(H4:H5)</f>
        <v>7697</v>
      </c>
      <c r="I6" s="23">
        <f t="shared" si="1"/>
        <v>7363</v>
      </c>
      <c r="J6" s="23">
        <f t="shared" ref="J6" si="3">SUM(J4:J5)</f>
        <v>10653</v>
      </c>
      <c r="K6" s="23">
        <f>SUM(K4:K5)</f>
        <v>675314</v>
      </c>
      <c r="L6" s="199">
        <f>SUM(B6:K6)</f>
        <v>3148157</v>
      </c>
      <c r="O6" s="89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7"/>
      <c r="O7" s="222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7">
        <f>SUM(B8:K8)</f>
        <v>0</v>
      </c>
    </row>
    <row r="9" spans="1:21" x14ac:dyDescent="0.2">
      <c r="A9" s="43" t="s">
        <v>30</v>
      </c>
      <c r="B9" s="11">
        <f>[3]American!$JA$27</f>
        <v>2007</v>
      </c>
      <c r="C9" s="11">
        <f>[3]Delta!$JA$27+[3]Delta!$JA$37</f>
        <v>27382</v>
      </c>
      <c r="D9" s="11">
        <f>[3]United!$JA$27</f>
        <v>2387</v>
      </c>
      <c r="E9" s="11">
        <f>[3]Spirit!$JA$27</f>
        <v>140</v>
      </c>
      <c r="F9" s="11">
        <f>[3]Condor!$JA$27+[3]Condor!$JA$37</f>
        <v>12</v>
      </c>
      <c r="G9" s="11">
        <f>'[3]Air France'!$JA$37</f>
        <v>22</v>
      </c>
      <c r="H9" s="11">
        <f>'[3]Jet Blue'!$JA$27</f>
        <v>74</v>
      </c>
      <c r="I9" s="11">
        <f>[3]KLM!$JA$27+[3]KLM!$JA$37</f>
        <v>14</v>
      </c>
      <c r="J9" s="11">
        <f>[3]Lufthansa!$JA$27+[3]Lufthansa!$JA$37</f>
        <v>93</v>
      </c>
      <c r="K9" s="11">
        <f>'Other Major Airline Stats'!K10</f>
        <v>6449</v>
      </c>
      <c r="L9" s="197">
        <f>SUM(B9:K9)</f>
        <v>38580</v>
      </c>
      <c r="O9" s="222"/>
    </row>
    <row r="10" spans="1:21" x14ac:dyDescent="0.2">
      <c r="A10" s="43" t="s">
        <v>33</v>
      </c>
      <c r="B10" s="7">
        <f>[3]American!$JA$28</f>
        <v>2387</v>
      </c>
      <c r="C10" s="7">
        <f>[3]Delta!$JA$28+[3]Delta!$JA$38</f>
        <v>27010</v>
      </c>
      <c r="D10" s="7">
        <f>[3]United!$JA$28</f>
        <v>2615</v>
      </c>
      <c r="E10" s="7">
        <f>[3]Spirit!$JA$28</f>
        <v>158</v>
      </c>
      <c r="F10" s="7">
        <f>[3]Condor!$JA$28+[3]Condor!$JA$38</f>
        <v>19</v>
      </c>
      <c r="G10" s="7">
        <f>'[3]Air France'!$JA$38</f>
        <v>9</v>
      </c>
      <c r="H10" s="7">
        <f>'[3]Jet Blue'!$JA$28</f>
        <v>56</v>
      </c>
      <c r="I10" s="7">
        <f>[3]KLM!$JA$28+[3]KLM!$JA$38</f>
        <v>0</v>
      </c>
      <c r="J10" s="7">
        <f>[3]Lufthansa!$JA$28+[3]Lufthansa!$JA$38</f>
        <v>113</v>
      </c>
      <c r="K10" s="7">
        <f>'Other Major Airline Stats'!K11</f>
        <v>6759</v>
      </c>
      <c r="L10" s="198">
        <f>SUM(B10:K10)</f>
        <v>39126</v>
      </c>
      <c r="O10" s="222"/>
    </row>
    <row r="11" spans="1:21" ht="15.75" thickBot="1" x14ac:dyDescent="0.3">
      <c r="A11" s="44" t="s">
        <v>34</v>
      </c>
      <c r="B11" s="200">
        <f t="shared" ref="B11:K11" si="4">SUM(B9:B10)</f>
        <v>4394</v>
      </c>
      <c r="C11" s="200">
        <f t="shared" si="4"/>
        <v>54392</v>
      </c>
      <c r="D11" s="200">
        <f t="shared" si="4"/>
        <v>5002</v>
      </c>
      <c r="E11" s="200">
        <f t="shared" si="4"/>
        <v>298</v>
      </c>
      <c r="F11" s="200">
        <f t="shared" ref="F11:I11" si="5">SUM(F9:F10)</f>
        <v>31</v>
      </c>
      <c r="G11" s="200">
        <f t="shared" si="5"/>
        <v>31</v>
      </c>
      <c r="H11" s="200">
        <f t="shared" ref="H11" si="6">SUM(H9:H10)</f>
        <v>130</v>
      </c>
      <c r="I11" s="200">
        <f t="shared" si="5"/>
        <v>14</v>
      </c>
      <c r="J11" s="200">
        <f t="shared" ref="J11" si="7">SUM(J9:J10)</f>
        <v>206</v>
      </c>
      <c r="K11" s="200">
        <f t="shared" si="4"/>
        <v>13208</v>
      </c>
      <c r="L11" s="201">
        <f>SUM(B11:K11)</f>
        <v>77706</v>
      </c>
    </row>
    <row r="12" spans="1:21" x14ac:dyDescent="0.2">
      <c r="O12" s="222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[3]American!$JA$4</f>
        <v>465</v>
      </c>
      <c r="C15" s="11">
        <f>[3]Delta!$JA$4+[3]Delta!$JA$15</f>
        <v>7439</v>
      </c>
      <c r="D15" s="11">
        <f>[3]United!$JA$4</f>
        <v>512</v>
      </c>
      <c r="E15" s="11">
        <f>[3]Spirit!$JA$4</f>
        <v>99</v>
      </c>
      <c r="F15" s="11">
        <f>[3]Condor!$JA$15</f>
        <v>13</v>
      </c>
      <c r="G15" s="11">
        <f>'[3]Air France'!$JA$15</f>
        <v>27</v>
      </c>
      <c r="H15" s="11">
        <f>'[3]Jet Blue'!$JA$4</f>
        <v>30</v>
      </c>
      <c r="I15" s="11">
        <f>[3]KLM!$JA$4+[3]KLM!$JA$15</f>
        <v>13</v>
      </c>
      <c r="J15" s="11">
        <f>[3]Lufthansa!$JA$4+[3]Lufthansa!$JA$15</f>
        <v>21</v>
      </c>
      <c r="K15" s="11">
        <f>'Other Major Airline Stats'!K16</f>
        <v>2426</v>
      </c>
      <c r="L15" s="16">
        <f>SUM(B15:K15)</f>
        <v>11045</v>
      </c>
    </row>
    <row r="16" spans="1:21" x14ac:dyDescent="0.2">
      <c r="A16" s="43" t="s">
        <v>23</v>
      </c>
      <c r="B16" s="7">
        <f>[3]American!$JA$5</f>
        <v>464</v>
      </c>
      <c r="C16" s="7">
        <f>[3]Delta!$JA$5+[3]Delta!$JA$16</f>
        <v>7419</v>
      </c>
      <c r="D16" s="7">
        <f>[3]United!$JA$5</f>
        <v>511</v>
      </c>
      <c r="E16" s="7">
        <f>[3]Spirit!$JA$5</f>
        <v>99</v>
      </c>
      <c r="F16" s="7">
        <f>[3]Condor!$JA$5+[3]Condor!$JA$16</f>
        <v>13</v>
      </c>
      <c r="G16" s="7">
        <f>'[3]Air France'!$JA$16</f>
        <v>27</v>
      </c>
      <c r="H16" s="7">
        <f>'[3]Jet Blue'!$JA$5</f>
        <v>30</v>
      </c>
      <c r="I16" s="7">
        <f>[3]KLM!$JA$5+[3]KLM!$JA$16</f>
        <v>13</v>
      </c>
      <c r="J16" s="7">
        <f>[3]Lufthansa!$JA$5+[3]Lufthansa!$JA$16</f>
        <v>21</v>
      </c>
      <c r="K16" s="7">
        <f>'Other Major Airline Stats'!K17</f>
        <v>2423</v>
      </c>
      <c r="L16" s="22">
        <f>SUM(B16:K16)</f>
        <v>11020</v>
      </c>
    </row>
    <row r="17" spans="1:12" x14ac:dyDescent="0.2">
      <c r="A17" s="43" t="s">
        <v>24</v>
      </c>
      <c r="B17" s="204">
        <f t="shared" ref="B17:K17" si="8">SUM(B15:B16)</f>
        <v>929</v>
      </c>
      <c r="C17" s="202">
        <f t="shared" si="8"/>
        <v>14858</v>
      </c>
      <c r="D17" s="202">
        <f t="shared" si="8"/>
        <v>1023</v>
      </c>
      <c r="E17" s="202">
        <f t="shared" si="8"/>
        <v>198</v>
      </c>
      <c r="F17" s="202">
        <f t="shared" ref="F17:I17" si="9">SUM(F15:F16)</f>
        <v>26</v>
      </c>
      <c r="G17" s="202">
        <f t="shared" si="9"/>
        <v>54</v>
      </c>
      <c r="H17" s="202">
        <f t="shared" ref="H17" si="10">SUM(H15:H16)</f>
        <v>60</v>
      </c>
      <c r="I17" s="202">
        <f t="shared" si="9"/>
        <v>26</v>
      </c>
      <c r="J17" s="202">
        <f t="shared" ref="J17" si="11">SUM(J15:J16)</f>
        <v>42</v>
      </c>
      <c r="K17" s="202">
        <f t="shared" si="8"/>
        <v>4849</v>
      </c>
      <c r="L17" s="203">
        <f>SUM(B17:K17)</f>
        <v>22065</v>
      </c>
    </row>
    <row r="18" spans="1:12" x14ac:dyDescent="0.2">
      <c r="A18" s="43"/>
      <c r="B18" s="426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 x14ac:dyDescent="0.2">
      <c r="A19" s="43" t="s">
        <v>25</v>
      </c>
      <c r="B19" s="11">
        <f>[3]American!$JA$8</f>
        <v>0</v>
      </c>
      <c r="C19" s="11">
        <f>[3]Delta!$JA$8</f>
        <v>5</v>
      </c>
      <c r="D19" s="11">
        <f>[3]United!$JA$8</f>
        <v>7</v>
      </c>
      <c r="E19" s="11">
        <f>[3]Spirit!$JA$8</f>
        <v>0</v>
      </c>
      <c r="F19" s="11">
        <f>[3]Condor!$JA$8</f>
        <v>0</v>
      </c>
      <c r="G19" s="11">
        <f>'[3]Air France'!$JA$8</f>
        <v>0</v>
      </c>
      <c r="H19" s="11">
        <f>'[3]Jet Blue'!$JA$8</f>
        <v>0</v>
      </c>
      <c r="I19" s="11">
        <f>[3]KLM!$JA$8</f>
        <v>0</v>
      </c>
      <c r="J19" s="11">
        <f>[3]Lufthansa!$JA$8</f>
        <v>0</v>
      </c>
      <c r="K19" s="11">
        <f>'Other Major Airline Stats'!K20</f>
        <v>39</v>
      </c>
      <c r="L19" s="16">
        <f>SUM(B19:K19)</f>
        <v>51</v>
      </c>
    </row>
    <row r="20" spans="1:12" x14ac:dyDescent="0.2">
      <c r="A20" s="43" t="s">
        <v>26</v>
      </c>
      <c r="B20" s="7">
        <f>[3]American!$JA$9</f>
        <v>0</v>
      </c>
      <c r="C20" s="7">
        <f>[3]Delta!$JA$9</f>
        <v>22</v>
      </c>
      <c r="D20" s="7">
        <f>[3]United!$JA$9</f>
        <v>7</v>
      </c>
      <c r="E20" s="7">
        <f>[3]Spirit!$JA$9</f>
        <v>0</v>
      </c>
      <c r="F20" s="7">
        <f>[3]Condor!$JA$9</f>
        <v>0</v>
      </c>
      <c r="G20" s="7">
        <f>'[3]Air France'!$JA$9</f>
        <v>0</v>
      </c>
      <c r="H20" s="7">
        <f>'[3]Jet Blue'!$JA$9</f>
        <v>0</v>
      </c>
      <c r="I20" s="7">
        <f>[3]KLM!$JA$9</f>
        <v>0</v>
      </c>
      <c r="J20" s="7">
        <f>[3]Lufthansa!$JA$9</f>
        <v>0</v>
      </c>
      <c r="K20" s="7">
        <f>'Other Major Airline Stats'!K21</f>
        <v>57</v>
      </c>
      <c r="L20" s="22">
        <f>SUM(B20:K20)</f>
        <v>86</v>
      </c>
    </row>
    <row r="21" spans="1:12" x14ac:dyDescent="0.2">
      <c r="A21" s="43" t="s">
        <v>27</v>
      </c>
      <c r="B21" s="204">
        <f t="shared" ref="B21:K21" si="12">SUM(B19:B20)</f>
        <v>0</v>
      </c>
      <c r="C21" s="202">
        <f t="shared" si="12"/>
        <v>27</v>
      </c>
      <c r="D21" s="202">
        <f t="shared" si="12"/>
        <v>14</v>
      </c>
      <c r="E21" s="202">
        <f t="shared" si="12"/>
        <v>0</v>
      </c>
      <c r="F21" s="202">
        <f t="shared" ref="F21:I21" si="13">SUM(F19:F20)</f>
        <v>0</v>
      </c>
      <c r="G21" s="202">
        <f t="shared" si="13"/>
        <v>0</v>
      </c>
      <c r="H21" s="202">
        <f t="shared" ref="H21" si="14">SUM(H19:H20)</f>
        <v>0</v>
      </c>
      <c r="I21" s="202">
        <f t="shared" si="13"/>
        <v>0</v>
      </c>
      <c r="J21" s="202">
        <f t="shared" ref="J21" si="15">SUM(J19:J20)</f>
        <v>0</v>
      </c>
      <c r="K21" s="202">
        <f t="shared" si="12"/>
        <v>96</v>
      </c>
      <c r="L21" s="139">
        <f>SUM(B21:K21)</f>
        <v>137</v>
      </c>
    </row>
    <row r="22" spans="1:12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5.75" thickBot="1" x14ac:dyDescent="0.3">
      <c r="A23" s="44" t="s">
        <v>28</v>
      </c>
      <c r="B23" s="17">
        <f t="shared" ref="B23:K23" si="16">B17+B21</f>
        <v>929</v>
      </c>
      <c r="C23" s="17">
        <f t="shared" si="16"/>
        <v>14885</v>
      </c>
      <c r="D23" s="17">
        <f t="shared" si="16"/>
        <v>1037</v>
      </c>
      <c r="E23" s="17">
        <f>E17+E21</f>
        <v>198</v>
      </c>
      <c r="F23" s="17">
        <f t="shared" ref="F23:I23" si="17">F17+F21</f>
        <v>26</v>
      </c>
      <c r="G23" s="17">
        <f t="shared" si="17"/>
        <v>54</v>
      </c>
      <c r="H23" s="17">
        <f t="shared" ref="H23" si="18">H17+H21</f>
        <v>60</v>
      </c>
      <c r="I23" s="17">
        <f t="shared" si="17"/>
        <v>26</v>
      </c>
      <c r="J23" s="17">
        <f t="shared" ref="J23" si="19">J17+J21</f>
        <v>42</v>
      </c>
      <c r="K23" s="17">
        <f t="shared" si="16"/>
        <v>4945</v>
      </c>
      <c r="L23" s="18">
        <f>SUM(B23:K23)</f>
        <v>22202</v>
      </c>
    </row>
    <row r="25" spans="1:12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  <c r="K25" s="303"/>
    </row>
    <row r="26" spans="1:12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 x14ac:dyDescent="0.2">
      <c r="A28" s="43" t="s">
        <v>37</v>
      </c>
      <c r="B28" s="11">
        <f>[3]American!$JA$47</f>
        <v>35922</v>
      </c>
      <c r="C28" s="11">
        <f>[3]Delta!$JA$47</f>
        <v>3431843</v>
      </c>
      <c r="D28" s="11">
        <f>[3]United!$JA$47</f>
        <v>73682</v>
      </c>
      <c r="E28" s="11">
        <f>[3]Spirit!$JA$47</f>
        <v>0</v>
      </c>
      <c r="F28" s="11">
        <f>[3]Condor!$JA$47</f>
        <v>103389</v>
      </c>
      <c r="G28" s="11">
        <f>'[3]Air France'!$JA$47</f>
        <v>324022</v>
      </c>
      <c r="H28" s="11">
        <f>'[3]Jet Blue'!$JA$47</f>
        <v>0</v>
      </c>
      <c r="I28" s="11">
        <f>[3]KLM!$JA$47</f>
        <v>268472</v>
      </c>
      <c r="J28" s="11">
        <f>[3]Lufthansa!$JA$47</f>
        <v>358643</v>
      </c>
      <c r="K28" s="11">
        <f>'Other Major Airline Stats'!K28</f>
        <v>236127</v>
      </c>
      <c r="L28" s="16">
        <f>SUM(B28:K28)</f>
        <v>4832100</v>
      </c>
    </row>
    <row r="29" spans="1:12" x14ac:dyDescent="0.2">
      <c r="A29" s="43" t="s">
        <v>38</v>
      </c>
      <c r="B29" s="7">
        <f>[3]American!$JA$48</f>
        <v>912</v>
      </c>
      <c r="C29" s="7">
        <f>[3]Delta!$JA$48</f>
        <v>70359</v>
      </c>
      <c r="D29" s="7">
        <f>[3]United!$JA$48</f>
        <v>0</v>
      </c>
      <c r="E29" s="7">
        <f>[3]Spirit!$JA$48</f>
        <v>0</v>
      </c>
      <c r="F29" s="7">
        <f>[3]Condor!$JA$48</f>
        <v>0</v>
      </c>
      <c r="G29" s="7">
        <f>'[3]Air France'!$JA$48</f>
        <v>0</v>
      </c>
      <c r="H29" s="7">
        <f>'[3]Jet Blue'!$JA$48</f>
        <v>0</v>
      </c>
      <c r="I29" s="7">
        <f>[3]KLM!$JA$48</f>
        <v>0</v>
      </c>
      <c r="J29" s="7">
        <f>[3]Lufthansa!$JA$48</f>
        <v>0</v>
      </c>
      <c r="K29" s="7">
        <f>'Other Major Airline Stats'!K29</f>
        <v>280</v>
      </c>
      <c r="L29" s="22">
        <f>SUM(B29:K29)</f>
        <v>71551</v>
      </c>
    </row>
    <row r="30" spans="1:12" x14ac:dyDescent="0.2">
      <c r="A30" s="47" t="s">
        <v>39</v>
      </c>
      <c r="B30" s="204">
        <f t="shared" ref="B30:K30" si="20">SUM(B28:B29)</f>
        <v>36834</v>
      </c>
      <c r="C30" s="204">
        <f t="shared" si="20"/>
        <v>3502202</v>
      </c>
      <c r="D30" s="204">
        <f t="shared" si="20"/>
        <v>73682</v>
      </c>
      <c r="E30" s="204">
        <f t="shared" si="20"/>
        <v>0</v>
      </c>
      <c r="F30" s="204">
        <f t="shared" ref="F30:I30" si="21">SUM(F28:F29)</f>
        <v>103389</v>
      </c>
      <c r="G30" s="204">
        <f t="shared" si="21"/>
        <v>324022</v>
      </c>
      <c r="H30" s="204">
        <f t="shared" ref="H30" si="22">SUM(H28:H29)</f>
        <v>0</v>
      </c>
      <c r="I30" s="204">
        <f t="shared" si="21"/>
        <v>268472</v>
      </c>
      <c r="J30" s="204">
        <f t="shared" ref="J30" si="23">SUM(J28:J29)</f>
        <v>358643</v>
      </c>
      <c r="K30" s="204">
        <f t="shared" si="20"/>
        <v>236407</v>
      </c>
      <c r="L30" s="16">
        <f>SUM(B30:K30)</f>
        <v>4903651</v>
      </c>
    </row>
    <row r="31" spans="1:12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[3]American!$JA$52</f>
        <v>4014</v>
      </c>
      <c r="C33" s="11">
        <f>[3]Delta!$JA$52</f>
        <v>2338071</v>
      </c>
      <c r="D33" s="11">
        <f>[3]United!$JA$52</f>
        <v>57960</v>
      </c>
      <c r="E33" s="11">
        <f>[3]Spirit!$JA$52</f>
        <v>0</v>
      </c>
      <c r="F33" s="11">
        <f>[3]Condor!$JA$52</f>
        <v>3148</v>
      </c>
      <c r="G33" s="11">
        <f>'[3]Air France'!$JA$52</f>
        <v>18905</v>
      </c>
      <c r="H33" s="11">
        <f>'[3]Jet Blue'!$JA$52</f>
        <v>0</v>
      </c>
      <c r="I33" s="11">
        <f>[3]KLM!$JA$52</f>
        <v>37809</v>
      </c>
      <c r="J33" s="11">
        <f>[3]Lufthansa!$JA$52</f>
        <v>25710</v>
      </c>
      <c r="K33" s="11">
        <f>'Other Major Airline Stats'!K33</f>
        <v>52369</v>
      </c>
      <c r="L33" s="16">
        <f t="shared" si="24"/>
        <v>2537986</v>
      </c>
    </row>
    <row r="34" spans="1:12" x14ac:dyDescent="0.2">
      <c r="A34" s="43" t="s">
        <v>38</v>
      </c>
      <c r="B34" s="7">
        <f>[3]American!$JA$53</f>
        <v>323</v>
      </c>
      <c r="C34" s="7">
        <f>[3]Delta!$JA$53</f>
        <v>67222</v>
      </c>
      <c r="D34" s="7">
        <f>[3]United!$JA$53</f>
        <v>0</v>
      </c>
      <c r="E34" s="7">
        <f>[3]Spirit!$JA$53</f>
        <v>0</v>
      </c>
      <c r="F34" s="7">
        <f>[3]Condor!$JA$53</f>
        <v>0</v>
      </c>
      <c r="G34" s="7">
        <f>'[3]Air France'!$JA$53</f>
        <v>0</v>
      </c>
      <c r="H34" s="7">
        <f>'[3]Jet Blue'!$JA$53</f>
        <v>0</v>
      </c>
      <c r="I34" s="7">
        <f>[3]KLM!$JA$53</f>
        <v>0</v>
      </c>
      <c r="J34" s="7">
        <f>[3]Lufthansa!$JA$53</f>
        <v>0</v>
      </c>
      <c r="K34" s="7">
        <f>'Other Major Airline Stats'!K34</f>
        <v>0</v>
      </c>
      <c r="L34" s="22">
        <f t="shared" si="24"/>
        <v>67545</v>
      </c>
    </row>
    <row r="35" spans="1:12" x14ac:dyDescent="0.2">
      <c r="A35" s="47" t="s">
        <v>41</v>
      </c>
      <c r="B35" s="204">
        <f t="shared" ref="B35:K35" si="25">SUM(B33:B34)</f>
        <v>4337</v>
      </c>
      <c r="C35" s="204">
        <f t="shared" si="25"/>
        <v>2405293</v>
      </c>
      <c r="D35" s="204">
        <f t="shared" si="25"/>
        <v>57960</v>
      </c>
      <c r="E35" s="204">
        <f t="shared" si="25"/>
        <v>0</v>
      </c>
      <c r="F35" s="204">
        <f t="shared" ref="F35:I35" si="26">SUM(F33:F34)</f>
        <v>3148</v>
      </c>
      <c r="G35" s="204">
        <f t="shared" si="26"/>
        <v>18905</v>
      </c>
      <c r="H35" s="204">
        <f t="shared" ref="H35" si="27">SUM(H33:H34)</f>
        <v>0</v>
      </c>
      <c r="I35" s="204">
        <f t="shared" si="26"/>
        <v>37809</v>
      </c>
      <c r="J35" s="204">
        <f t="shared" ref="J35" si="28">SUM(J33:J34)</f>
        <v>25710</v>
      </c>
      <c r="K35" s="204">
        <f t="shared" si="25"/>
        <v>52369</v>
      </c>
      <c r="L35" s="16">
        <f t="shared" si="24"/>
        <v>2605531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[3]American!$JA$57</f>
        <v>0</v>
      </c>
      <c r="C38" s="11">
        <f>[3]Delta!$JA$57</f>
        <v>0</v>
      </c>
      <c r="D38" s="11">
        <f>[3]United!$JA$57</f>
        <v>0</v>
      </c>
      <c r="E38" s="11">
        <f>[3]Spirit!$JA$57</f>
        <v>0</v>
      </c>
      <c r="F38" s="11">
        <f>[3]Condor!$JA$57</f>
        <v>0</v>
      </c>
      <c r="G38" s="11">
        <f>'[3]Air France'!$JA$57</f>
        <v>0</v>
      </c>
      <c r="H38" s="11">
        <f>'[3]Jet Blue'!$JA$57</f>
        <v>0</v>
      </c>
      <c r="I38" s="11">
        <f>[3]KLM!$JA$57</f>
        <v>0</v>
      </c>
      <c r="J38" s="11">
        <f>[3]Lufthansa!$JA$57</f>
        <v>0</v>
      </c>
      <c r="K38" s="11">
        <f>'Other Major Airline Stats'!K38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[3]American!$JA$58</f>
        <v>0</v>
      </c>
      <c r="C39" s="7">
        <f>[3]Delta!$JA$58</f>
        <v>0</v>
      </c>
      <c r="D39" s="7">
        <f>[3]United!$JA$58</f>
        <v>0</v>
      </c>
      <c r="E39" s="7">
        <f>[3]Spirit!$JA$58</f>
        <v>0</v>
      </c>
      <c r="F39" s="7">
        <f>[3]Condor!$JA$58</f>
        <v>0</v>
      </c>
      <c r="G39" s="7">
        <f>'[3]Air France'!$JA$58</f>
        <v>0</v>
      </c>
      <c r="H39" s="7">
        <f>'[3]Jet Blue'!$JA$58</f>
        <v>0</v>
      </c>
      <c r="I39" s="7">
        <f>[3]KLM!$JA$58</f>
        <v>0</v>
      </c>
      <c r="J39" s="7">
        <f>[3]Lufthansa!$JA$58</f>
        <v>0</v>
      </c>
      <c r="K39" s="7">
        <f>'Other Major Airline Stats'!K39</f>
        <v>0</v>
      </c>
      <c r="L39" s="22">
        <f t="shared" si="24"/>
        <v>0</v>
      </c>
    </row>
    <row r="40" spans="1:12" hidden="1" x14ac:dyDescent="0.2">
      <c r="A40" s="47" t="s">
        <v>43</v>
      </c>
      <c r="B40" s="204">
        <f t="shared" ref="B40:K40" si="29">SUM(B38:B39)</f>
        <v>0</v>
      </c>
      <c r="C40" s="204">
        <f t="shared" si="29"/>
        <v>0</v>
      </c>
      <c r="D40" s="204">
        <f t="shared" si="29"/>
        <v>0</v>
      </c>
      <c r="E40" s="204">
        <f t="shared" si="29"/>
        <v>0</v>
      </c>
      <c r="F40" s="204">
        <f t="shared" ref="F40:I40" si="30">SUM(F38:F39)</f>
        <v>0</v>
      </c>
      <c r="G40" s="204">
        <f t="shared" si="30"/>
        <v>0</v>
      </c>
      <c r="H40" s="204">
        <f t="shared" ref="H40" si="31">SUM(H38:H39)</f>
        <v>0</v>
      </c>
      <c r="I40" s="204">
        <f t="shared" si="30"/>
        <v>0</v>
      </c>
      <c r="J40" s="204">
        <f t="shared" ref="J40" si="32">SUM(J38:J39)</f>
        <v>0</v>
      </c>
      <c r="K40" s="204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39936</v>
      </c>
      <c r="C43" s="11">
        <f t="shared" si="33"/>
        <v>5769914</v>
      </c>
      <c r="D43" s="11">
        <f t="shared" si="33"/>
        <v>131642</v>
      </c>
      <c r="E43" s="11">
        <f>E28+E33+E38</f>
        <v>0</v>
      </c>
      <c r="F43" s="11">
        <f t="shared" ref="F43:I43" si="34">F28+F33+F38</f>
        <v>106537</v>
      </c>
      <c r="G43" s="11">
        <f t="shared" si="34"/>
        <v>342927</v>
      </c>
      <c r="H43" s="11">
        <f t="shared" ref="H43" si="35">H28+H33+H38</f>
        <v>0</v>
      </c>
      <c r="I43" s="11">
        <f t="shared" si="34"/>
        <v>306281</v>
      </c>
      <c r="J43" s="11">
        <f t="shared" ref="J43" si="36">J28+J33+J38</f>
        <v>384353</v>
      </c>
      <c r="K43" s="11">
        <f t="shared" si="33"/>
        <v>288496</v>
      </c>
      <c r="L43" s="16">
        <f>SUM(B43:K43)</f>
        <v>7370086</v>
      </c>
    </row>
    <row r="44" spans="1:12" x14ac:dyDescent="0.2">
      <c r="A44" s="43" t="s">
        <v>38</v>
      </c>
      <c r="B44" s="7">
        <f t="shared" si="33"/>
        <v>1235</v>
      </c>
      <c r="C44" s="7">
        <f t="shared" si="33"/>
        <v>137581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280</v>
      </c>
      <c r="L44" s="16">
        <f>SUM(B44:K44)</f>
        <v>139096</v>
      </c>
    </row>
    <row r="45" spans="1:12" ht="15.75" thickBot="1" x14ac:dyDescent="0.3">
      <c r="A45" s="44" t="s">
        <v>46</v>
      </c>
      <c r="B45" s="205">
        <f t="shared" ref="B45:K45" si="40">SUM(B43:B44)</f>
        <v>41171</v>
      </c>
      <c r="C45" s="205">
        <f t="shared" si="40"/>
        <v>5907495</v>
      </c>
      <c r="D45" s="205">
        <f t="shared" si="40"/>
        <v>131642</v>
      </c>
      <c r="E45" s="205">
        <f t="shared" si="40"/>
        <v>0</v>
      </c>
      <c r="F45" s="205">
        <f t="shared" ref="F45:I45" si="41">SUM(F43:F44)</f>
        <v>106537</v>
      </c>
      <c r="G45" s="205">
        <f t="shared" si="41"/>
        <v>342927</v>
      </c>
      <c r="H45" s="205">
        <f t="shared" ref="H45" si="42">SUM(H43:H44)</f>
        <v>0</v>
      </c>
      <c r="I45" s="205">
        <f t="shared" si="41"/>
        <v>306281</v>
      </c>
      <c r="J45" s="205">
        <f t="shared" ref="J45" si="43">SUM(J43:J44)</f>
        <v>384353</v>
      </c>
      <c r="K45" s="205">
        <f t="shared" si="40"/>
        <v>288776</v>
      </c>
      <c r="L45" s="206">
        <f>SUM(B45:K45)</f>
        <v>7509182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8" t="s">
        <v>120</v>
      </c>
      <c r="C47" s="231">
        <f>[3]Delta!$JA$70+[3]Delta!$JA$73</f>
        <v>606305</v>
      </c>
      <c r="D47" s="219"/>
      <c r="E47" s="219"/>
      <c r="F47" s="219"/>
      <c r="G47" s="219"/>
      <c r="H47" s="219"/>
      <c r="I47" s="219"/>
      <c r="J47" s="219"/>
      <c r="K47" s="219"/>
      <c r="L47" s="220">
        <f>SUM(B47:K47)</f>
        <v>606305</v>
      </c>
    </row>
    <row r="48" spans="1:12" hidden="1" x14ac:dyDescent="0.2">
      <c r="A48" s="269" t="s">
        <v>121</v>
      </c>
      <c r="C48" s="231">
        <f>[3]Delta!$JA$71+[3]Delta!$JA$74</f>
        <v>453208</v>
      </c>
      <c r="D48" s="219"/>
      <c r="E48" s="219"/>
      <c r="F48" s="219"/>
      <c r="G48" s="219"/>
      <c r="H48" s="219"/>
      <c r="I48" s="219"/>
      <c r="J48" s="219"/>
      <c r="K48" s="219"/>
      <c r="L48" s="220">
        <f>SUM(B48:K48)</f>
        <v>453208</v>
      </c>
    </row>
    <row r="49" spans="1:12" hidden="1" x14ac:dyDescent="0.2">
      <c r="A49" s="270" t="s">
        <v>122</v>
      </c>
      <c r="C49" s="232">
        <f>SUM(C47:C48)</f>
        <v>1059513</v>
      </c>
      <c r="L49" s="220">
        <f>SUM(B49:K49)</f>
        <v>1059513</v>
      </c>
    </row>
    <row r="50" spans="1:12" x14ac:dyDescent="0.2">
      <c r="A50" s="268" t="s">
        <v>120</v>
      </c>
      <c r="B50" s="279"/>
      <c r="C50" s="234">
        <f>[3]Delta!$JA$70+[3]Delta!$JA$73</f>
        <v>606305</v>
      </c>
      <c r="D50" s="279"/>
      <c r="E50" s="234">
        <f>[3]Spirit!$JA$70+[3]Spirit!$JA$73</f>
        <v>0</v>
      </c>
      <c r="F50" s="279"/>
      <c r="G50" s="279"/>
      <c r="H50" s="279"/>
      <c r="I50" s="279"/>
      <c r="J50" s="279"/>
      <c r="K50" s="233">
        <f>'Other Major Airline Stats'!K48</f>
        <v>267567</v>
      </c>
      <c r="L50" s="223">
        <f>SUM(B50:K50)</f>
        <v>873872</v>
      </c>
    </row>
    <row r="51" spans="1:12" x14ac:dyDescent="0.2">
      <c r="A51" s="281" t="s">
        <v>121</v>
      </c>
      <c r="B51" s="279"/>
      <c r="C51" s="234">
        <f>[3]Delta!$JA$71+[3]Delta!$JA$74</f>
        <v>453208</v>
      </c>
      <c r="D51" s="279"/>
      <c r="E51" s="234">
        <f>[3]Spirit!$JA$71+[3]Spirit!$JA$74</f>
        <v>0</v>
      </c>
      <c r="F51" s="279"/>
      <c r="G51" s="279"/>
      <c r="H51" s="279"/>
      <c r="I51" s="279"/>
      <c r="J51" s="279"/>
      <c r="K51" s="233">
        <f>+'Other Major Airline Stats'!K49</f>
        <v>260</v>
      </c>
      <c r="L51" s="223">
        <f>SUM(B51:K51)</f>
        <v>453468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M15" sqref="M1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14062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8">
        <v>45505</v>
      </c>
      <c r="B2" s="318" t="s">
        <v>47</v>
      </c>
      <c r="C2" s="317" t="s">
        <v>216</v>
      </c>
      <c r="D2" s="317" t="s">
        <v>194</v>
      </c>
      <c r="E2" s="317" t="s">
        <v>209</v>
      </c>
      <c r="F2" s="317" t="s">
        <v>231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[3]Frontier!$JA$22+[3]Frontier!$JA$32</f>
        <v>23923</v>
      </c>
      <c r="C5" s="89">
        <f>'[3]Allegiant '!$JA$22</f>
        <v>1290</v>
      </c>
      <c r="D5" s="89">
        <f>'[3]Aer Lingus'!$JA$22+'[3]Aer Lingus'!$JA$32</f>
        <v>3068</v>
      </c>
      <c r="E5" s="89">
        <f>'[3]Denver Air'!$JA$22+'[3]Denver Air'!$JA$32</f>
        <v>1048</v>
      </c>
      <c r="F5" s="89">
        <f>[3]WestJet!$JA$22+[3]WestJet!$JA$32</f>
        <v>11832</v>
      </c>
      <c r="G5" s="89">
        <f>[3]Icelandair!$JA$32</f>
        <v>6052</v>
      </c>
      <c r="H5" s="89">
        <f>[3]Southwest!$JA$22</f>
        <v>80027</v>
      </c>
      <c r="I5" s="89">
        <f>'[3]Sun Country'!$JA$22+'[3]Sun Country'!$JA$32</f>
        <v>189277</v>
      </c>
      <c r="J5" s="89">
        <f>[3]Alaska!$JA$22</f>
        <v>22893</v>
      </c>
      <c r="K5" s="112">
        <f>SUM(B5:J5)</f>
        <v>339410</v>
      </c>
      <c r="N5" s="89"/>
    </row>
    <row r="6" spans="1:14" x14ac:dyDescent="0.2">
      <c r="A6" s="43" t="s">
        <v>31</v>
      </c>
      <c r="B6" s="89">
        <f>[3]Frontier!$JA$23+[3]Frontier!$JA$33</f>
        <v>23247</v>
      </c>
      <c r="C6" s="89">
        <f>'[3]Allegiant '!$JA$23</f>
        <v>1213</v>
      </c>
      <c r="D6" s="89">
        <f>'[3]Aer Lingus'!$JA$23+'[3]Aer Lingus'!$JA$33</f>
        <v>2721</v>
      </c>
      <c r="E6" s="89">
        <f>'[3]Denver Air'!$JA$23+'[3]Denver Air'!$JA$33</f>
        <v>1083</v>
      </c>
      <c r="F6" s="89">
        <f>[3]WestJet!$JA$23+[3]WestJet!$JA$33</f>
        <v>12070</v>
      </c>
      <c r="G6" s="89">
        <f>[3]Icelandair!$JA$33</f>
        <v>5862</v>
      </c>
      <c r="H6" s="89">
        <f>[3]Southwest!$JA$23</f>
        <v>79988</v>
      </c>
      <c r="I6" s="89">
        <f>'[3]Sun Country'!$JA$23+'[3]Sun Country'!$JA$33</f>
        <v>187839</v>
      </c>
      <c r="J6" s="89">
        <f>[3]Alaska!$JA$23</f>
        <v>21881</v>
      </c>
      <c r="K6" s="112">
        <f>SUM(B6:J6)</f>
        <v>335904</v>
      </c>
    </row>
    <row r="7" spans="1:14" ht="15" x14ac:dyDescent="0.25">
      <c r="A7" s="41" t="s">
        <v>7</v>
      </c>
      <c r="B7" s="120">
        <f>SUM(B5:B6)</f>
        <v>47170</v>
      </c>
      <c r="C7" s="120">
        <f t="shared" ref="C7:F7" si="0">SUM(C5:C6)</f>
        <v>2503</v>
      </c>
      <c r="D7" s="120">
        <f>SUM(D5:D6)</f>
        <v>5789</v>
      </c>
      <c r="E7" s="120">
        <f>SUM(E5:E6)</f>
        <v>2131</v>
      </c>
      <c r="F7" s="120">
        <f t="shared" si="0"/>
        <v>23902</v>
      </c>
      <c r="G7" s="120">
        <f t="shared" ref="G7:J7" si="1">SUM(G5:G6)</f>
        <v>11914</v>
      </c>
      <c r="H7" s="120">
        <f t="shared" si="1"/>
        <v>160015</v>
      </c>
      <c r="I7" s="120">
        <f>SUM(I5:I6)</f>
        <v>377116</v>
      </c>
      <c r="J7" s="120">
        <f t="shared" si="1"/>
        <v>44774</v>
      </c>
      <c r="K7" s="121">
        <f>SUM(B7:J7)</f>
        <v>675314</v>
      </c>
    </row>
    <row r="8" spans="1:14" x14ac:dyDescent="0.2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[3]Frontier!$JA$27+[3]Frontier!$JA$37</f>
        <v>209</v>
      </c>
      <c r="C10" s="119">
        <f>'[3]Allegiant '!$JA$27</f>
        <v>0</v>
      </c>
      <c r="D10" s="351">
        <f>'[3]Aer Lingus'!$JA$27+'[3]Aer Lingus'!$JA$37</f>
        <v>28</v>
      </c>
      <c r="E10" s="119">
        <f>'[3]Denver Air'!$JA$27+'[3]Denver Air'!$JA$37</f>
        <v>47</v>
      </c>
      <c r="F10" s="119">
        <f>[3]WestJet!$JA$27+[3]WestJet!$JA$37</f>
        <v>1</v>
      </c>
      <c r="G10" s="119">
        <f>[3]Icelandair!$JA$37</f>
        <v>57</v>
      </c>
      <c r="H10" s="119">
        <f>[3]Southwest!$JA$27</f>
        <v>2079</v>
      </c>
      <c r="I10" s="119">
        <f>'[3]Sun Country'!$JA$27+'[3]Sun Country'!$JA$37</f>
        <v>3224</v>
      </c>
      <c r="J10" s="119">
        <f>[3]Alaska!$JA$27</f>
        <v>804</v>
      </c>
      <c r="K10" s="112">
        <f>SUM(B10:J10)</f>
        <v>6449</v>
      </c>
    </row>
    <row r="11" spans="1:14" x14ac:dyDescent="0.2">
      <c r="A11" s="43" t="s">
        <v>33</v>
      </c>
      <c r="B11" s="122">
        <f>[3]Frontier!$JA$28+[3]Frontier!$JA$38</f>
        <v>161</v>
      </c>
      <c r="C11" s="122">
        <f>'[3]Allegiant '!$JA$28</f>
        <v>0</v>
      </c>
      <c r="D11" s="122">
        <f>'[3]Aer Lingus'!$JA$28+'[3]Aer Lingus'!$JA$38</f>
        <v>32</v>
      </c>
      <c r="E11" s="122">
        <f>'[3]Denver Air'!$JA$28+'[3]Denver Air'!$JA$38</f>
        <v>41</v>
      </c>
      <c r="F11" s="122">
        <f>[3]WestJet!$JA$28+[3]WestJet!$JA$38</f>
        <v>1</v>
      </c>
      <c r="G11" s="122">
        <f>[3]Icelandair!$JA$38</f>
        <v>50</v>
      </c>
      <c r="H11" s="122">
        <f>[3]Southwest!$JA$28</f>
        <v>2184</v>
      </c>
      <c r="I11" s="122">
        <f>'[3]Sun Country'!$JA$28+'[3]Sun Country'!$JA$38</f>
        <v>3488</v>
      </c>
      <c r="J11" s="122">
        <f>[3]Alaska!$JA$28</f>
        <v>802</v>
      </c>
      <c r="K11" s="112">
        <f>SUM(B11:J11)</f>
        <v>6759</v>
      </c>
    </row>
    <row r="12" spans="1:14" ht="15.75" thickBot="1" x14ac:dyDescent="0.3">
      <c r="A12" s="44" t="s">
        <v>34</v>
      </c>
      <c r="B12" s="115">
        <f>SUM(B10:B11)</f>
        <v>370</v>
      </c>
      <c r="C12" s="115">
        <f t="shared" ref="C12:F12" si="2">SUM(C10:C11)</f>
        <v>0</v>
      </c>
      <c r="D12" s="115">
        <f>SUM(D10:D11)</f>
        <v>60</v>
      </c>
      <c r="E12" s="115">
        <f>SUM(E10:E11)</f>
        <v>88</v>
      </c>
      <c r="F12" s="115">
        <f t="shared" si="2"/>
        <v>2</v>
      </c>
      <c r="G12" s="115">
        <f t="shared" ref="G12:J12" si="3">SUM(G10:G11)</f>
        <v>107</v>
      </c>
      <c r="H12" s="115">
        <f t="shared" si="3"/>
        <v>4263</v>
      </c>
      <c r="I12" s="115">
        <f>SUM(I10:I11)</f>
        <v>6712</v>
      </c>
      <c r="J12" s="115">
        <f t="shared" si="3"/>
        <v>1606</v>
      </c>
      <c r="K12" s="123">
        <f>SUM(B12:J12)</f>
        <v>13208</v>
      </c>
      <c r="N12" s="89"/>
    </row>
    <row r="13" spans="1:14" ht="15" x14ac:dyDescent="0.25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[3]Frontier!$JA$4+[3]Frontier!$JA$15</f>
        <v>150</v>
      </c>
      <c r="C16" s="79">
        <f>'[3]Allegiant '!$JA$4</f>
        <v>8</v>
      </c>
      <c r="D16" s="89">
        <f>'[3]Aer Lingus'!$JA$4+'[3]Aer Lingus'!$JA$15</f>
        <v>17</v>
      </c>
      <c r="E16" s="89">
        <f>'[3]Denver Air'!$JA$4+'[3]Denver Air'!$JA$15</f>
        <v>82</v>
      </c>
      <c r="F16" s="79">
        <f>[3]WestJet!$JA$4+[3]WestJet!$JA$15</f>
        <v>111</v>
      </c>
      <c r="G16" s="89">
        <f>[3]Icelandair!$JA$15</f>
        <v>31</v>
      </c>
      <c r="H16" s="79">
        <f>[3]Southwest!$JA$4</f>
        <v>617</v>
      </c>
      <c r="I16" s="89">
        <f>'[3]Sun Country'!$JA$4+'[3]Sun Country'!$JA$15</f>
        <v>1245</v>
      </c>
      <c r="J16" s="89">
        <f>[3]Alaska!$JA$4</f>
        <v>165</v>
      </c>
      <c r="K16" s="112">
        <f>SUM(B16:J16)</f>
        <v>2426</v>
      </c>
    </row>
    <row r="17" spans="1:258" x14ac:dyDescent="0.2">
      <c r="A17" s="43" t="s">
        <v>23</v>
      </c>
      <c r="B17" s="89">
        <f>[3]Frontier!$JA$5+[3]Frontier!$JA$16</f>
        <v>150</v>
      </c>
      <c r="C17" s="79">
        <f>'[3]Allegiant '!$JA$5</f>
        <v>8</v>
      </c>
      <c r="D17" s="89">
        <f>'[3]Aer Lingus'!$JA$5+'[3]Aer Lingus'!$JA$16</f>
        <v>17</v>
      </c>
      <c r="E17" s="89">
        <f>'[3]Denver Air'!$JA$5+'[3]Denver Air'!$JA$16</f>
        <v>82</v>
      </c>
      <c r="F17" s="79">
        <f>[3]WestJet!$JA$5+[3]WestJet!$JA$16</f>
        <v>111</v>
      </c>
      <c r="G17" s="89">
        <f>[3]Icelandair!$JA$16</f>
        <v>31</v>
      </c>
      <c r="H17" s="79">
        <f>[3]Southwest!$JA$5</f>
        <v>615</v>
      </c>
      <c r="I17" s="89">
        <f>'[3]Sun Country'!$JA$5+'[3]Sun Country'!$JA$16</f>
        <v>1245</v>
      </c>
      <c r="J17" s="89">
        <f>[3]Alaska!$JA$5</f>
        <v>164</v>
      </c>
      <c r="K17" s="112">
        <f>SUM(B17:J17)</f>
        <v>2423</v>
      </c>
    </row>
    <row r="18" spans="1:258" x14ac:dyDescent="0.2">
      <c r="A18" s="47" t="s">
        <v>24</v>
      </c>
      <c r="B18" s="113">
        <f t="shared" ref="B18" si="4">SUM(B16:B17)</f>
        <v>300</v>
      </c>
      <c r="C18" s="113">
        <f t="shared" ref="C18:F18" si="5">SUM(C16:C17)</f>
        <v>16</v>
      </c>
      <c r="D18" s="113">
        <f t="shared" si="5"/>
        <v>34</v>
      </c>
      <c r="E18" s="113">
        <f t="shared" si="5"/>
        <v>164</v>
      </c>
      <c r="F18" s="113">
        <f t="shared" si="5"/>
        <v>222</v>
      </c>
      <c r="G18" s="113">
        <f t="shared" ref="G18:J18" si="6">SUM(G16:G17)</f>
        <v>62</v>
      </c>
      <c r="H18" s="113">
        <f t="shared" si="6"/>
        <v>1232</v>
      </c>
      <c r="I18" s="113">
        <f t="shared" si="6"/>
        <v>2490</v>
      </c>
      <c r="J18" s="113">
        <f t="shared" si="6"/>
        <v>329</v>
      </c>
      <c r="K18" s="114">
        <f>SUM(B18:J18)</f>
        <v>4849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[3]Frontier!$JA$8</f>
        <v>0</v>
      </c>
      <c r="C20" s="89">
        <f>'[3]Allegiant '!$JA$8</f>
        <v>0</v>
      </c>
      <c r="D20" s="89">
        <f>'[3]Aer Lingus'!$JA$8</f>
        <v>0</v>
      </c>
      <c r="E20" s="89">
        <f>'[3]Denver Air'!$JA$8</f>
        <v>0</v>
      </c>
      <c r="F20" s="89">
        <f>[3]WestJet!$JA$8</f>
        <v>0</v>
      </c>
      <c r="G20" s="89">
        <f>[3]Icelandair!$JA$8</f>
        <v>0</v>
      </c>
      <c r="H20" s="89">
        <f>[3]Southwest!$JA$8</f>
        <v>0</v>
      </c>
      <c r="I20" s="89">
        <f>'[3]Sun Country'!$JA$8</f>
        <v>39</v>
      </c>
      <c r="J20" s="89">
        <f>[3]Alaska!$JA$8</f>
        <v>0</v>
      </c>
      <c r="K20" s="112">
        <f>SUM(B20:J20)</f>
        <v>39</v>
      </c>
    </row>
    <row r="21" spans="1:258" x14ac:dyDescent="0.2">
      <c r="A21" s="43" t="s">
        <v>26</v>
      </c>
      <c r="B21" s="89">
        <f>[3]Frontier!$JA$9</f>
        <v>0</v>
      </c>
      <c r="C21" s="89">
        <f>'[3]Allegiant '!$JA$9</f>
        <v>0</v>
      </c>
      <c r="D21" s="89">
        <f>'[3]Aer Lingus'!$JA$9</f>
        <v>0</v>
      </c>
      <c r="E21" s="89">
        <f>'[3]Denver Air'!$JA$9</f>
        <v>0</v>
      </c>
      <c r="F21" s="89">
        <f>[3]WestJet!$JA$9</f>
        <v>0</v>
      </c>
      <c r="G21" s="89">
        <f>[3]Icelandair!$JA$9</f>
        <v>0</v>
      </c>
      <c r="H21" s="89">
        <f>[3]Southwest!$JA$9</f>
        <v>0</v>
      </c>
      <c r="I21" s="89">
        <f>'[3]Sun Country'!$JA$9</f>
        <v>57</v>
      </c>
      <c r="J21" s="89">
        <f>[3]Alaska!$JA$9</f>
        <v>0</v>
      </c>
      <c r="K21" s="112">
        <f>SUM(B21:J21)</f>
        <v>57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96</v>
      </c>
      <c r="J22" s="113">
        <f t="shared" si="9"/>
        <v>0</v>
      </c>
      <c r="K22" s="114">
        <f>SUM(B22:J22)</f>
        <v>96</v>
      </c>
    </row>
    <row r="23" spans="1:258" ht="15.75" thickBot="1" x14ac:dyDescent="0.3">
      <c r="A23" s="44" t="s">
        <v>28</v>
      </c>
      <c r="B23" s="115">
        <f t="shared" ref="B23" si="10">B22+B18</f>
        <v>300</v>
      </c>
      <c r="C23" s="115">
        <f t="shared" ref="C23:F23" si="11">C22+C18</f>
        <v>16</v>
      </c>
      <c r="D23" s="115">
        <f t="shared" si="11"/>
        <v>34</v>
      </c>
      <c r="E23" s="115">
        <f t="shared" si="11"/>
        <v>164</v>
      </c>
      <c r="F23" s="115">
        <f t="shared" si="11"/>
        <v>222</v>
      </c>
      <c r="G23" s="115">
        <f t="shared" ref="G23:J23" si="12">G22+G18</f>
        <v>62</v>
      </c>
      <c r="H23" s="115">
        <f t="shared" si="12"/>
        <v>1232</v>
      </c>
      <c r="I23" s="115">
        <f>I22+I18</f>
        <v>2586</v>
      </c>
      <c r="J23" s="115">
        <f t="shared" si="12"/>
        <v>329</v>
      </c>
      <c r="K23" s="116">
        <f>SUM(B23:J23)</f>
        <v>4945</v>
      </c>
      <c r="O23" s="89"/>
    </row>
    <row r="24" spans="1:258" x14ac:dyDescent="0.2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[3]Frontier!$JA$47</f>
        <v>0</v>
      </c>
      <c r="C28" s="89">
        <f>'[3]Allegiant '!$JA$47</f>
        <v>0</v>
      </c>
      <c r="D28" s="89">
        <f>'[3]Aer Lingus'!$JA$47</f>
        <v>0</v>
      </c>
      <c r="E28" s="89">
        <f>'[3]Denver Air'!$JA$47</f>
        <v>0</v>
      </c>
      <c r="F28" s="89">
        <f>[3]WestJet!$JA$47</f>
        <v>0</v>
      </c>
      <c r="G28" s="89">
        <f>[3]Icelandair!$JA$47</f>
        <v>238</v>
      </c>
      <c r="H28" s="89">
        <f>[3]Southwest!$JA$47</f>
        <v>199359</v>
      </c>
      <c r="I28" s="89">
        <f>'[3]Sun Country'!$JA$47</f>
        <v>0</v>
      </c>
      <c r="J28" s="89">
        <f>[3]Alaska!$JA$47</f>
        <v>36530</v>
      </c>
      <c r="K28" s="112">
        <f>SUM(B28:J28)</f>
        <v>236127</v>
      </c>
    </row>
    <row r="29" spans="1:258" x14ac:dyDescent="0.2">
      <c r="A29" s="43" t="s">
        <v>38</v>
      </c>
      <c r="B29" s="89">
        <f>[3]Frontier!$JA$48</f>
        <v>0</v>
      </c>
      <c r="C29" s="89">
        <f>'[3]Allegiant '!$JA$48</f>
        <v>0</v>
      </c>
      <c r="D29" s="89">
        <f>'[3]Aer Lingus'!$JA$48</f>
        <v>0</v>
      </c>
      <c r="E29" s="89">
        <f>'[3]Denver Air'!$JA$48</f>
        <v>0</v>
      </c>
      <c r="F29" s="89">
        <f>[3]WestJet!$JA$48</f>
        <v>0</v>
      </c>
      <c r="G29" s="89">
        <f>[3]Icelandair!$JA$48</f>
        <v>0</v>
      </c>
      <c r="H29" s="89">
        <f>[3]Southwest!$JA$48</f>
        <v>0</v>
      </c>
      <c r="I29" s="89">
        <f>'[3]Sun Country'!$JA$48</f>
        <v>0</v>
      </c>
      <c r="J29" s="89">
        <f>[3]Alaska!$JA$48</f>
        <v>280</v>
      </c>
      <c r="K29" s="112">
        <f>SUM(B29:J29)</f>
        <v>280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238</v>
      </c>
      <c r="H30" s="127">
        <f t="shared" si="15"/>
        <v>199359</v>
      </c>
      <c r="I30" s="127">
        <f t="shared" si="15"/>
        <v>0</v>
      </c>
      <c r="J30" s="127">
        <f t="shared" si="15"/>
        <v>36810</v>
      </c>
      <c r="K30" s="129">
        <f>SUM(B30:J30)</f>
        <v>236407</v>
      </c>
    </row>
    <row r="31" spans="1:258" x14ac:dyDescent="0.2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[3]Frontier!$JA$52</f>
        <v>0</v>
      </c>
      <c r="C33" s="89">
        <f>'[3]Allegiant '!$JA$52</f>
        <v>0</v>
      </c>
      <c r="D33" s="89">
        <f>'[3]Aer Lingus'!$JA$52</f>
        <v>0</v>
      </c>
      <c r="E33" s="89">
        <f>'[3]Denver Air'!$JA$52</f>
        <v>0</v>
      </c>
      <c r="F33" s="89">
        <f>[3]WestJet!$JA$52</f>
        <v>0</v>
      </c>
      <c r="G33" s="89">
        <f>[3]Icelandair!$JA$52</f>
        <v>0</v>
      </c>
      <c r="H33" s="89">
        <f>[3]Southwest!$JA$52</f>
        <v>38378</v>
      </c>
      <c r="I33" s="89">
        <f>'[3]Sun Country'!$JA$52</f>
        <v>0</v>
      </c>
      <c r="J33" s="89">
        <f>[3]Alaska!$JA$52</f>
        <v>13991</v>
      </c>
      <c r="K33" s="112">
        <f>SUM(B33:J33)</f>
        <v>52369</v>
      </c>
    </row>
    <row r="34" spans="1:11" x14ac:dyDescent="0.2">
      <c r="A34" s="43" t="s">
        <v>38</v>
      </c>
      <c r="B34" s="89">
        <f>[3]Frontier!$JA$53</f>
        <v>0</v>
      </c>
      <c r="C34" s="89">
        <f>'[3]Allegiant '!$JA$53</f>
        <v>0</v>
      </c>
      <c r="D34" s="89">
        <f>'[3]Aer Lingus'!$JA$53</f>
        <v>0</v>
      </c>
      <c r="E34" s="89">
        <f>'[3]Denver Air'!$JA$53</f>
        <v>0</v>
      </c>
      <c r="F34" s="89">
        <f>[3]WestJet!$JA$53</f>
        <v>0</v>
      </c>
      <c r="G34" s="89">
        <f>[3]Icelandair!$JA$53</f>
        <v>0</v>
      </c>
      <c r="H34" s="89">
        <f>[3]Southwest!$JA$53</f>
        <v>0</v>
      </c>
      <c r="I34" s="89">
        <f>'[3]Sun Country'!$JA$53</f>
        <v>0</v>
      </c>
      <c r="J34" s="89">
        <f>[3]Alaska!$JA$53</f>
        <v>0</v>
      </c>
      <c r="K34" s="128">
        <f>SUM(B34:J34)</f>
        <v>0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38378</v>
      </c>
      <c r="I35" s="113">
        <f t="shared" si="18"/>
        <v>0</v>
      </c>
      <c r="J35" s="113">
        <f t="shared" si="18"/>
        <v>13991</v>
      </c>
      <c r="K35" s="129">
        <f>SUM(B35:J35)</f>
        <v>52369</v>
      </c>
    </row>
    <row r="36" spans="1:11" hidden="1" x14ac:dyDescent="0.2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[3]Frontier!$JA$57</f>
        <v>0</v>
      </c>
      <c r="C38" s="119">
        <f>'[3]Allegiant '!$JA$57</f>
        <v>0</v>
      </c>
      <c r="D38" s="351">
        <f>'[3]Aer Lingus'!$JA$57</f>
        <v>0</v>
      </c>
      <c r="E38" s="119">
        <f>'[3]Denver Air'!$JA$57</f>
        <v>0</v>
      </c>
      <c r="F38" s="119">
        <f>[3]WestJet!$JA$57</f>
        <v>0</v>
      </c>
      <c r="G38" s="119">
        <f>[3]Icelandair!$JA$57</f>
        <v>0</v>
      </c>
      <c r="H38" s="119">
        <f>[3]Southwest!$JA$57</f>
        <v>0</v>
      </c>
      <c r="I38" s="119">
        <f>'[3]Sun Country'!$JA$57</f>
        <v>0</v>
      </c>
      <c r="J38" s="119">
        <f>[3]Alaska!$JA$57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[3]Frontier!$JA$58</f>
        <v>0</v>
      </c>
      <c r="C39" s="122">
        <f>'[3]Allegiant '!$JA$58</f>
        <v>0</v>
      </c>
      <c r="D39" s="122">
        <f>'[3]Aer Lingus'!$JA$58</f>
        <v>0</v>
      </c>
      <c r="E39" s="122">
        <f>'[3]Denver Air'!$JA$58</f>
        <v>0</v>
      </c>
      <c r="F39" s="122">
        <f>[3]WestJet!$JA$58</f>
        <v>0</v>
      </c>
      <c r="G39" s="122">
        <f>[3]Icelandair!$JA$58</f>
        <v>0</v>
      </c>
      <c r="H39" s="122">
        <f>[3]Southwest!$JA$58</f>
        <v>0</v>
      </c>
      <c r="I39" s="122">
        <f>'[3]Sun Country'!$JA$58</f>
        <v>0</v>
      </c>
      <c r="J39" s="122">
        <f>[3]Alaska!$JA$58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238</v>
      </c>
      <c r="H43" s="119">
        <f t="shared" si="24"/>
        <v>237737</v>
      </c>
      <c r="I43" s="119">
        <f t="shared" si="24"/>
        <v>0</v>
      </c>
      <c r="J43" s="119">
        <f t="shared" si="24"/>
        <v>50521</v>
      </c>
      <c r="K43" s="112">
        <f>SUM(B43:J43)</f>
        <v>288496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280</v>
      </c>
      <c r="K44" s="112">
        <f>SUM(B44:J44)</f>
        <v>280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238</v>
      </c>
      <c r="H45" s="131">
        <f t="shared" si="30"/>
        <v>237737</v>
      </c>
      <c r="I45" s="131">
        <f t="shared" si="30"/>
        <v>0</v>
      </c>
      <c r="J45" s="131">
        <f t="shared" si="30"/>
        <v>50801</v>
      </c>
      <c r="K45" s="132">
        <f>SUM(B45:J45)</f>
        <v>288776</v>
      </c>
    </row>
    <row r="48" spans="1:11" x14ac:dyDescent="0.2">
      <c r="A48" s="268" t="s">
        <v>120</v>
      </c>
      <c r="B48" s="279"/>
      <c r="C48" s="279"/>
      <c r="D48" s="279"/>
      <c r="E48" s="279"/>
      <c r="F48" s="279"/>
      <c r="H48" s="234">
        <f>[3]Southwest!$JA$70+[3]Southwest!$JA$73</f>
        <v>79728</v>
      </c>
      <c r="I48" s="234">
        <f>'[3]Sun Country'!$JA$70+'[3]Sun Country'!$JA$73</f>
        <v>187839</v>
      </c>
      <c r="J48" s="279"/>
      <c r="K48" s="223">
        <f>SUM(B48:J48)</f>
        <v>267567</v>
      </c>
    </row>
    <row r="49" spans="1:11" x14ac:dyDescent="0.2">
      <c r="A49" s="281" t="s">
        <v>121</v>
      </c>
      <c r="B49" s="279"/>
      <c r="C49" s="279"/>
      <c r="D49" s="279"/>
      <c r="E49" s="279"/>
      <c r="F49" s="279"/>
      <c r="H49" s="234">
        <f>[3]Southwest!$JA$71+[3]Southwest!$JA$74</f>
        <v>260</v>
      </c>
      <c r="I49" s="234">
        <f>'[3]Sun Country'!$JA$71+'[3]Sun Country'!$JA$74</f>
        <v>0</v>
      </c>
      <c r="J49" s="279"/>
      <c r="K49" s="223">
        <f>SUM(B49:J49)</f>
        <v>260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&amp;"Arial,Bold"&amp;[Tab
August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30" zoomScaleNormal="130" zoomScaleSheetLayoutView="115" workbookViewId="0">
      <selection activeCell="G15" sqref="G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8" width="10.140625" bestFit="1" customWidth="1"/>
    <col min="9" max="9" width="9.5703125" bestFit="1" customWidth="1"/>
    <col min="10" max="10" width="10.7109375" customWidth="1"/>
    <col min="11" max="11" width="9.7109375" bestFit="1" customWidth="1"/>
    <col min="12" max="12" width="9.42578125" bestFit="1" customWidth="1"/>
    <col min="13" max="13" width="10.5703125" bestFit="1" customWidth="1"/>
  </cols>
  <sheetData>
    <row r="1" spans="1:16" x14ac:dyDescent="0.2">
      <c r="A1" s="277"/>
    </row>
    <row r="2" spans="1:16" ht="51.75" thickBot="1" x14ac:dyDescent="0.25">
      <c r="A2" s="388">
        <v>45505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 x14ac:dyDescent="0.2">
      <c r="A5" s="43" t="s">
        <v>30</v>
      </c>
      <c r="B5" s="81">
        <f>[3]Pinnacle!$JA$22+[3]Pinnacle!$JA$32</f>
        <v>41899</v>
      </c>
      <c r="C5" s="81">
        <f>[3]MESA_UA!$JA$22</f>
        <v>7376</v>
      </c>
      <c r="D5" s="89">
        <f>'[3]Sky West'!$JA$22+'[3]Sky West'!$JA$32</f>
        <v>119821</v>
      </c>
      <c r="E5" s="89">
        <f>'[3]Sky West_UA'!$JA$22</f>
        <v>718</v>
      </c>
      <c r="F5" s="89">
        <f>'[3]Sky West_AS'!$JA$22</f>
        <v>0</v>
      </c>
      <c r="G5" s="89">
        <f>'[3]Sky West_AA'!$JA$22</f>
        <v>0</v>
      </c>
      <c r="H5" s="89">
        <f>[3]Republic!$JA$22</f>
        <v>3377</v>
      </c>
      <c r="I5" s="89">
        <f>[3]Republic_UA!$JA$22</f>
        <v>1007</v>
      </c>
      <c r="J5" s="89">
        <f>'[3]Sky Regional'!$JA$32</f>
        <v>0</v>
      </c>
      <c r="K5" s="89">
        <f>'[3]American Eagle'!$JA$22</f>
        <v>6683</v>
      </c>
      <c r="L5" s="89">
        <f>'Other Regional'!L5</f>
        <v>12414</v>
      </c>
      <c r="M5" s="82">
        <f>SUM(B5:L5)</f>
        <v>193295</v>
      </c>
    </row>
    <row r="6" spans="1:16" s="6" customFormat="1" x14ac:dyDescent="0.2">
      <c r="A6" s="43" t="s">
        <v>31</v>
      </c>
      <c r="B6" s="81">
        <f>[3]Pinnacle!$JA$23+[3]Pinnacle!$JA$33</f>
        <v>42248</v>
      </c>
      <c r="C6" s="81">
        <f>[3]MESA_UA!$JA$23</f>
        <v>7225</v>
      </c>
      <c r="D6" s="89">
        <f>'[3]Sky West'!$JA$23+'[3]Sky West'!$JA$33</f>
        <v>118414</v>
      </c>
      <c r="E6" s="89">
        <f>'[3]Sky West_UA'!$JA$23</f>
        <v>703</v>
      </c>
      <c r="F6" s="89">
        <f>'[3]Sky West_AS'!$JA$23</f>
        <v>0</v>
      </c>
      <c r="G6" s="89">
        <f>'[3]Sky West_AA'!$JA$23</f>
        <v>0</v>
      </c>
      <c r="H6" s="89">
        <f>[3]Republic!$JA$23</f>
        <v>3420</v>
      </c>
      <c r="I6" s="89">
        <f>[3]Republic_UA!$JA$23</f>
        <v>992</v>
      </c>
      <c r="J6" s="89">
        <f>'[3]Sky Regional'!$JA$33</f>
        <v>0</v>
      </c>
      <c r="K6" s="89">
        <f>'[3]American Eagle'!$JA$23</f>
        <v>7205</v>
      </c>
      <c r="L6" s="89">
        <f>'Other Regional'!L6</f>
        <v>11355</v>
      </c>
      <c r="M6" s="86">
        <f>SUM(B6:L6)</f>
        <v>191562</v>
      </c>
    </row>
    <row r="7" spans="1:16" ht="15" thickBot="1" x14ac:dyDescent="0.25">
      <c r="A7" s="52" t="s">
        <v>7</v>
      </c>
      <c r="B7" s="99">
        <f>SUM(B5:B6)</f>
        <v>84147</v>
      </c>
      <c r="C7" s="99">
        <f t="shared" ref="C7:L7" si="0">SUM(C5:C6)</f>
        <v>14601</v>
      </c>
      <c r="D7" s="99">
        <f t="shared" si="0"/>
        <v>238235</v>
      </c>
      <c r="E7" s="99">
        <f t="shared" si="0"/>
        <v>1421</v>
      </c>
      <c r="F7" s="99">
        <f t="shared" ref="F7:G7" si="1">SUM(F5:F6)</f>
        <v>0</v>
      </c>
      <c r="G7" s="99">
        <f t="shared" si="1"/>
        <v>0</v>
      </c>
      <c r="H7" s="99">
        <f t="shared" si="0"/>
        <v>6797</v>
      </c>
      <c r="I7" s="99">
        <f t="shared" si="0"/>
        <v>1999</v>
      </c>
      <c r="J7" s="99">
        <f t="shared" si="0"/>
        <v>0</v>
      </c>
      <c r="K7" s="99">
        <f t="shared" si="0"/>
        <v>13888</v>
      </c>
      <c r="L7" s="99">
        <f t="shared" si="0"/>
        <v>23769</v>
      </c>
      <c r="M7" s="100">
        <f>SUM(B7:L7)</f>
        <v>384857</v>
      </c>
    </row>
    <row r="8" spans="1:16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 x14ac:dyDescent="0.2">
      <c r="A10" s="43" t="s">
        <v>30</v>
      </c>
      <c r="B10" s="81">
        <f>[3]Pinnacle!$JA$27+[3]Pinnacle!$JA$37</f>
        <v>969</v>
      </c>
      <c r="C10" s="81">
        <f>[3]MESA_UA!$JA$27</f>
        <v>251</v>
      </c>
      <c r="D10" s="89">
        <f>'[3]Sky West'!$JA$27+'[3]Sky West'!$JA$37</f>
        <v>2383</v>
      </c>
      <c r="E10" s="89">
        <f>'[3]Sky West_UA'!$JA$27</f>
        <v>24</v>
      </c>
      <c r="F10" s="89">
        <f>'[3]Sky West_AS'!$JA$27</f>
        <v>0</v>
      </c>
      <c r="G10" s="89">
        <f>'[3]Sky West_AA'!$JA$27</f>
        <v>0</v>
      </c>
      <c r="H10" s="89">
        <f>[3]Republic!$JA$27</f>
        <v>71</v>
      </c>
      <c r="I10" s="89">
        <f>[3]Republic_UA!$JA$27</f>
        <v>24</v>
      </c>
      <c r="J10" s="89">
        <f>'[3]Sky Regional'!$JA$37</f>
        <v>0</v>
      </c>
      <c r="K10" s="89">
        <f>'[3]American Eagle'!$JA$27</f>
        <v>401</v>
      </c>
      <c r="L10" s="89">
        <f>'Other Regional'!L10</f>
        <v>248</v>
      </c>
      <c r="M10" s="82">
        <f>SUM(B10:L10)</f>
        <v>4371</v>
      </c>
    </row>
    <row r="11" spans="1:16" x14ac:dyDescent="0.2">
      <c r="A11" s="43" t="s">
        <v>33</v>
      </c>
      <c r="B11" s="81">
        <f>[3]Pinnacle!$JA$28+[3]Pinnacle!$JA$38</f>
        <v>992</v>
      </c>
      <c r="C11" s="81">
        <f>[3]MESA_UA!$JA$28</f>
        <v>251</v>
      </c>
      <c r="D11" s="89">
        <f>'[3]Sky West'!$JA$28+'[3]Sky West'!$JA$38</f>
        <v>3558</v>
      </c>
      <c r="E11" s="89">
        <f>'[3]Sky West_UA'!$JA$28</f>
        <v>25</v>
      </c>
      <c r="F11" s="89">
        <f>'[3]Sky West_AS'!$JA$28</f>
        <v>0</v>
      </c>
      <c r="G11" s="89">
        <f>'[3]Sky West_AA'!$JA$28</f>
        <v>0</v>
      </c>
      <c r="H11" s="89">
        <f>[3]Republic!$JA$28</f>
        <v>68</v>
      </c>
      <c r="I11" s="89">
        <f>[3]Republic_UA!$JA$28</f>
        <v>21</v>
      </c>
      <c r="J11" s="89">
        <f>'[3]Sky Regional'!$JA$38</f>
        <v>0</v>
      </c>
      <c r="K11" s="89">
        <f>'[3]American Eagle'!$JA$28</f>
        <v>242</v>
      </c>
      <c r="L11" s="89">
        <f>'Other Regional'!L11</f>
        <v>236</v>
      </c>
      <c r="M11" s="86">
        <f>SUM(B11:L11)</f>
        <v>5393</v>
      </c>
    </row>
    <row r="12" spans="1:16" ht="15" thickBot="1" x14ac:dyDescent="0.25">
      <c r="A12" s="53" t="s">
        <v>34</v>
      </c>
      <c r="B12" s="102">
        <f t="shared" ref="B12:L12" si="2">SUM(B10:B11)</f>
        <v>1961</v>
      </c>
      <c r="C12" s="102">
        <f t="shared" si="2"/>
        <v>502</v>
      </c>
      <c r="D12" s="102">
        <f t="shared" si="2"/>
        <v>5941</v>
      </c>
      <c r="E12" s="102">
        <f t="shared" si="2"/>
        <v>49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139</v>
      </c>
      <c r="I12" s="102">
        <f t="shared" si="2"/>
        <v>45</v>
      </c>
      <c r="J12" s="102">
        <f t="shared" si="2"/>
        <v>0</v>
      </c>
      <c r="K12" s="102">
        <f t="shared" si="2"/>
        <v>643</v>
      </c>
      <c r="L12" s="102">
        <f t="shared" si="2"/>
        <v>484</v>
      </c>
      <c r="M12" s="103">
        <f>SUM(B12:L12)</f>
        <v>9764</v>
      </c>
    </row>
    <row r="13" spans="1:16" ht="13.5" thickBot="1" x14ac:dyDescent="0.25">
      <c r="B13" s="89"/>
    </row>
    <row r="14" spans="1:16" ht="15.75" thickTop="1" x14ac:dyDescent="0.25">
      <c r="A14" s="42" t="s">
        <v>9</v>
      </c>
      <c r="B14" s="428" t="s">
        <v>233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 x14ac:dyDescent="0.2">
      <c r="A15" s="43" t="s">
        <v>53</v>
      </c>
      <c r="B15" s="11">
        <f>[3]Pinnacle!$JA$4+[3]Pinnacle!$JA$15</f>
        <v>644</v>
      </c>
      <c r="C15" s="80">
        <f>[3]MESA_UA!$JA$4</f>
        <v>110</v>
      </c>
      <c r="D15" s="79">
        <f>'[3]Sky West'!$JA$4+'[3]Sky West'!$JA$15</f>
        <v>2077</v>
      </c>
      <c r="E15" s="79">
        <f>'[3]Sky West_UA'!$JA$4</f>
        <v>11</v>
      </c>
      <c r="F15" s="79">
        <f>'[3]Sky West_AS'!$JA$4</f>
        <v>0</v>
      </c>
      <c r="G15" s="79">
        <f>'[3]Sky West_AA'!$JA$4</f>
        <v>1</v>
      </c>
      <c r="H15" s="81">
        <f>[3]Republic!$JA$4</f>
        <v>48</v>
      </c>
      <c r="I15" s="325">
        <f>[3]Republic_UA!$JA$4</f>
        <v>15</v>
      </c>
      <c r="J15" s="325">
        <f>'[3]Sky Regional'!$JA$15</f>
        <v>0</v>
      </c>
      <c r="K15" s="81">
        <f>'[3]American Eagle'!$JA$4</f>
        <v>116</v>
      </c>
      <c r="L15" s="80">
        <f>'Other Regional'!L15</f>
        <v>199</v>
      </c>
      <c r="M15" s="82">
        <f t="shared" ref="M15:M20" si="5">SUM(B15:L15)</f>
        <v>3221</v>
      </c>
    </row>
    <row r="16" spans="1:16" x14ac:dyDescent="0.2">
      <c r="A16" s="43" t="s">
        <v>54</v>
      </c>
      <c r="B16" s="7">
        <f>[3]Pinnacle!$JA$5+[3]Pinnacle!$JA$16</f>
        <v>644</v>
      </c>
      <c r="C16" s="84">
        <f>[3]MESA_UA!$JA$5</f>
        <v>110</v>
      </c>
      <c r="D16" s="83">
        <f>'[3]Sky West'!$JA$5+'[3]Sky West'!$JA$16</f>
        <v>2077</v>
      </c>
      <c r="E16" s="83">
        <f>'[3]Sky West_UA'!$JA$5</f>
        <v>11</v>
      </c>
      <c r="F16" s="83">
        <f>'[3]Sky West_AS'!$JA$5</f>
        <v>0</v>
      </c>
      <c r="G16" s="83">
        <f>'[3]Sky West_AA'!$JA$5</f>
        <v>1</v>
      </c>
      <c r="H16" s="85">
        <f>[3]Republic!$JA$5</f>
        <v>47</v>
      </c>
      <c r="I16" s="210">
        <f>[3]Republic_UA!$JA$5</f>
        <v>15</v>
      </c>
      <c r="J16" s="210">
        <f>'[3]Sky Regional'!$JA$16</f>
        <v>0</v>
      </c>
      <c r="K16" s="85">
        <f>'[3]American Eagle'!$JA$5</f>
        <v>115</v>
      </c>
      <c r="L16" s="84">
        <f>'Other Regional'!L16</f>
        <v>200</v>
      </c>
      <c r="M16" s="86">
        <f t="shared" si="5"/>
        <v>3220</v>
      </c>
      <c r="O16" s="89"/>
      <c r="P16" s="89"/>
    </row>
    <row r="17" spans="1:13" x14ac:dyDescent="0.2">
      <c r="A17" s="47" t="s">
        <v>55</v>
      </c>
      <c r="B17" s="87">
        <f t="shared" ref="B17:E17" si="6">SUM(B15:B16)</f>
        <v>1288</v>
      </c>
      <c r="C17" s="87">
        <f t="shared" si="6"/>
        <v>220</v>
      </c>
      <c r="D17" s="87">
        <f t="shared" si="6"/>
        <v>4154</v>
      </c>
      <c r="E17" s="87">
        <f t="shared" si="6"/>
        <v>22</v>
      </c>
      <c r="F17" s="87">
        <f t="shared" ref="F17:G17" si="7">SUM(F15:F16)</f>
        <v>0</v>
      </c>
      <c r="G17" s="87">
        <f t="shared" si="7"/>
        <v>2</v>
      </c>
      <c r="H17" s="87">
        <f>SUM(H15:H16)</f>
        <v>95</v>
      </c>
      <c r="I17" s="87">
        <f t="shared" ref="I17:J17" si="8">SUM(I15:I16)</f>
        <v>30</v>
      </c>
      <c r="J17" s="87">
        <f t="shared" si="8"/>
        <v>0</v>
      </c>
      <c r="K17" s="87">
        <f>SUM(K15:K16)</f>
        <v>231</v>
      </c>
      <c r="L17" s="87">
        <f>SUM(L15:L16)</f>
        <v>399</v>
      </c>
      <c r="M17" s="88">
        <f t="shared" si="5"/>
        <v>6441</v>
      </c>
    </row>
    <row r="18" spans="1:13" x14ac:dyDescent="0.2">
      <c r="A18" s="43" t="s">
        <v>56</v>
      </c>
      <c r="B18" s="89">
        <f>[3]Pinnacle!$JA$8</f>
        <v>0</v>
      </c>
      <c r="C18" s="81">
        <f>[3]MESA_UA!$JA$8</f>
        <v>0</v>
      </c>
      <c r="D18" s="89">
        <f>'[3]Sky West'!$JA$8</f>
        <v>0</v>
      </c>
      <c r="E18" s="89">
        <f>'[3]Sky West_UA'!$JA$8</f>
        <v>0</v>
      </c>
      <c r="F18" s="89">
        <f>'[3]Sky West_AS'!$JA$8</f>
        <v>0</v>
      </c>
      <c r="G18" s="89">
        <f>'[3]Sky West_AA'!$JA$8</f>
        <v>0</v>
      </c>
      <c r="H18" s="89">
        <f>[3]Republic!$JA$8</f>
        <v>0</v>
      </c>
      <c r="I18" s="89">
        <f>[3]Republic_UA!$JA$8</f>
        <v>0</v>
      </c>
      <c r="J18" s="89">
        <f>'[3]Sky Regional'!$JA$8</f>
        <v>0</v>
      </c>
      <c r="K18" s="89">
        <f>'[3]American Eagle'!$JA$8</f>
        <v>0</v>
      </c>
      <c r="L18" s="89">
        <f>'Other Regional'!L18</f>
        <v>0</v>
      </c>
      <c r="M18" s="82">
        <f t="shared" si="5"/>
        <v>0</v>
      </c>
    </row>
    <row r="19" spans="1:13" x14ac:dyDescent="0.2">
      <c r="A19" s="43" t="s">
        <v>57</v>
      </c>
      <c r="B19" s="90">
        <f>[3]Pinnacle!$JA$9</f>
        <v>1</v>
      </c>
      <c r="C19" s="85">
        <f>[3]MESA_UA!$JA$9</f>
        <v>0</v>
      </c>
      <c r="D19" s="90">
        <f>'[3]Sky West'!$JA$9</f>
        <v>2</v>
      </c>
      <c r="E19" s="90">
        <f>'[3]Sky West_UA'!$JA$9</f>
        <v>0</v>
      </c>
      <c r="F19" s="90">
        <f>'[3]Sky West_AS'!$JA$9</f>
        <v>0</v>
      </c>
      <c r="G19" s="90">
        <f>'[3]Sky West_AA'!$JA$9</f>
        <v>0</v>
      </c>
      <c r="H19" s="90">
        <f>[3]Republic!$JA$9</f>
        <v>0</v>
      </c>
      <c r="I19" s="90">
        <f>[3]Republic_UA!$JA$9</f>
        <v>0</v>
      </c>
      <c r="J19" s="90">
        <f>'[3]Sky Regional'!$JA$9</f>
        <v>0</v>
      </c>
      <c r="K19" s="90">
        <f>'[3]American Eagle'!$JA$9</f>
        <v>0</v>
      </c>
      <c r="L19" s="90">
        <f>'Other Regional'!L19</f>
        <v>0</v>
      </c>
      <c r="M19" s="86">
        <f t="shared" si="5"/>
        <v>3</v>
      </c>
    </row>
    <row r="20" spans="1:13" x14ac:dyDescent="0.2">
      <c r="A20" s="47" t="s">
        <v>58</v>
      </c>
      <c r="B20" s="87">
        <f t="shared" ref="B20:L20" si="9">SUM(B18:B19)</f>
        <v>1</v>
      </c>
      <c r="C20" s="87">
        <f t="shared" si="9"/>
        <v>0</v>
      </c>
      <c r="D20" s="87">
        <f t="shared" si="9"/>
        <v>2</v>
      </c>
      <c r="E20" s="87">
        <f t="shared" si="9"/>
        <v>0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3</v>
      </c>
    </row>
    <row r="21" spans="1:13" ht="15.75" thickBot="1" x14ac:dyDescent="0.3">
      <c r="A21" s="51" t="s">
        <v>28</v>
      </c>
      <c r="B21" s="91">
        <f>SUM(B20,B17)</f>
        <v>1289</v>
      </c>
      <c r="C21" s="91">
        <f t="shared" ref="C21:K21" si="11">SUM(C20,C17)</f>
        <v>220</v>
      </c>
      <c r="D21" s="91">
        <f t="shared" si="11"/>
        <v>4156</v>
      </c>
      <c r="E21" s="91">
        <f t="shared" si="11"/>
        <v>22</v>
      </c>
      <c r="F21" s="91">
        <f t="shared" ref="F21:G21" si="12">SUM(F20,F17)</f>
        <v>0</v>
      </c>
      <c r="G21" s="91">
        <f t="shared" si="12"/>
        <v>2</v>
      </c>
      <c r="H21" s="91">
        <f t="shared" si="11"/>
        <v>95</v>
      </c>
      <c r="I21" s="91">
        <f t="shared" si="11"/>
        <v>30</v>
      </c>
      <c r="J21" s="91">
        <f t="shared" si="11"/>
        <v>0</v>
      </c>
      <c r="K21" s="91">
        <f t="shared" si="11"/>
        <v>231</v>
      </c>
      <c r="L21" s="91">
        <f>SUM(L20,L17)</f>
        <v>399</v>
      </c>
      <c r="M21" s="92">
        <f>SUM(B21:L21)</f>
        <v>6444</v>
      </c>
    </row>
    <row r="22" spans="1:13" ht="13.5" thickBot="1" x14ac:dyDescent="0.25"/>
    <row r="23" spans="1:13" ht="15.75" thickTop="1" x14ac:dyDescent="0.25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 x14ac:dyDescent="0.2">
      <c r="A25" s="43" t="s">
        <v>37</v>
      </c>
      <c r="B25" s="89">
        <f>[3]Pinnacle!$JA$47</f>
        <v>0</v>
      </c>
      <c r="C25" s="81">
        <f>[3]MESA_UA!$JA$47</f>
        <v>0</v>
      </c>
      <c r="D25" s="89">
        <f>'[3]Sky West'!$JA$47</f>
        <v>0</v>
      </c>
      <c r="E25" s="89">
        <f>'[3]Sky West_UA'!$JA$47</f>
        <v>0</v>
      </c>
      <c r="F25" s="89">
        <f>'[3]Sky West_AS'!$JA$47</f>
        <v>0</v>
      </c>
      <c r="G25" s="89">
        <f>'[3]Sky West_AA'!$JA$47</f>
        <v>0</v>
      </c>
      <c r="H25" s="89">
        <f>[3]Republic!$JA$47</f>
        <v>2746</v>
      </c>
      <c r="I25" s="89">
        <f>[3]Republic_UA!$JA$47</f>
        <v>0</v>
      </c>
      <c r="J25" s="89">
        <f>'[3]Sky Regional'!$JA$47</f>
        <v>0</v>
      </c>
      <c r="K25" s="89">
        <f>'[3]American Eagle'!$JA$47</f>
        <v>685</v>
      </c>
      <c r="L25" s="89">
        <f>'Other Regional'!L25</f>
        <v>165.4</v>
      </c>
      <c r="M25" s="82">
        <f>SUM(B25:L25)</f>
        <v>3596.4</v>
      </c>
    </row>
    <row r="26" spans="1:13" x14ac:dyDescent="0.2">
      <c r="A26" s="43" t="s">
        <v>38</v>
      </c>
      <c r="B26" s="89">
        <f>[3]Pinnacle!$JA$48</f>
        <v>0</v>
      </c>
      <c r="C26" s="81">
        <f>[3]MESA_UA!$JA$48</f>
        <v>0</v>
      </c>
      <c r="D26" s="89">
        <f>'[3]Sky West'!$JA$48</f>
        <v>0</v>
      </c>
      <c r="E26" s="89">
        <f>'[3]Sky West_UA'!$JA$48</f>
        <v>0</v>
      </c>
      <c r="F26" s="89">
        <f>'[3]Sky West_AS'!$JA$48</f>
        <v>0</v>
      </c>
      <c r="G26" s="89">
        <f>'[3]Sky West_AA'!$JA$48</f>
        <v>0</v>
      </c>
      <c r="H26" s="89">
        <f>[3]Republic!$JA$48</f>
        <v>0</v>
      </c>
      <c r="I26" s="89">
        <f>[3]Republic_UA!$JA$48</f>
        <v>0</v>
      </c>
      <c r="J26" s="89">
        <f>'[3]Sky Regional'!$JA$48</f>
        <v>0</v>
      </c>
      <c r="K26" s="89">
        <f>'[3]American Eagle'!$JA$48</f>
        <v>0</v>
      </c>
      <c r="L26" s="89">
        <f>'Other Regional'!L26</f>
        <v>0</v>
      </c>
      <c r="M26" s="82">
        <f>SUM(B26:L26)</f>
        <v>0</v>
      </c>
    </row>
    <row r="27" spans="1:13" ht="15" thickBot="1" x14ac:dyDescent="0.25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2746</v>
      </c>
      <c r="I27" s="99">
        <f t="shared" si="13"/>
        <v>0</v>
      </c>
      <c r="J27" s="99">
        <f t="shared" si="13"/>
        <v>0</v>
      </c>
      <c r="K27" s="99">
        <f t="shared" si="13"/>
        <v>685</v>
      </c>
      <c r="L27" s="99">
        <f t="shared" si="13"/>
        <v>165.4</v>
      </c>
      <c r="M27" s="100">
        <f>SUM(B27:L27)</f>
        <v>3596.4</v>
      </c>
    </row>
    <row r="28" spans="1:13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 x14ac:dyDescent="0.2">
      <c r="A30" s="43" t="s">
        <v>59</v>
      </c>
      <c r="B30" s="89">
        <f>[3]Pinnacle!$JA$52</f>
        <v>0</v>
      </c>
      <c r="C30" s="81">
        <f>[3]MESA_UA!$JA$52</f>
        <v>0</v>
      </c>
      <c r="D30" s="89">
        <f>'[3]Sky West'!$JA$52</f>
        <v>0</v>
      </c>
      <c r="E30" s="89">
        <f>'[3]Sky West_UA'!$JA$52</f>
        <v>0</v>
      </c>
      <c r="F30" s="89">
        <f>'[3]Sky West_AS'!$JA$52</f>
        <v>0</v>
      </c>
      <c r="G30" s="89">
        <f>'[3]Sky West_AA'!$JA$52</f>
        <v>0</v>
      </c>
      <c r="H30" s="89">
        <f>[3]Republic!$JA$52</f>
        <v>100</v>
      </c>
      <c r="I30" s="89">
        <f>[3]Republic_UA!$JA$52</f>
        <v>0</v>
      </c>
      <c r="J30" s="89">
        <f>'[3]Sky Regional'!$JA$52</f>
        <v>0</v>
      </c>
      <c r="K30" s="89">
        <f>'[3]American Eagle'!$JA$52</f>
        <v>575</v>
      </c>
      <c r="L30" s="89">
        <f>'Other Regional'!L30</f>
        <v>472.4</v>
      </c>
      <c r="M30" s="82">
        <f t="shared" ref="M30:M37" si="15">SUM(B30:L30)</f>
        <v>1147.4000000000001</v>
      </c>
    </row>
    <row r="31" spans="1:13" x14ac:dyDescent="0.2">
      <c r="A31" s="43" t="s">
        <v>60</v>
      </c>
      <c r="B31" s="89">
        <f>[3]Pinnacle!$JA$53</f>
        <v>0</v>
      </c>
      <c r="C31" s="81">
        <f>[3]MESA_UA!$JA$53</f>
        <v>0</v>
      </c>
      <c r="D31" s="89">
        <f>'[3]Sky West'!$JA$53</f>
        <v>0</v>
      </c>
      <c r="E31" s="89">
        <f>'[3]Sky West_UA'!$JA$53</f>
        <v>0</v>
      </c>
      <c r="F31" s="89">
        <f>'[3]Sky West_AS'!$JA$53</f>
        <v>0</v>
      </c>
      <c r="G31" s="89">
        <f>'[3]Sky West_AA'!$JA$53</f>
        <v>0</v>
      </c>
      <c r="H31" s="89">
        <f>[3]Republic!$JA$53</f>
        <v>0</v>
      </c>
      <c r="I31" s="89">
        <f>[3]Republic_UA!$JA$53</f>
        <v>0</v>
      </c>
      <c r="J31" s="89">
        <f>'[3]Sky Regional'!$JA$53</f>
        <v>0</v>
      </c>
      <c r="K31" s="89">
        <f>'[3]American Eagle'!$JA$53</f>
        <v>0</v>
      </c>
      <c r="L31" s="89">
        <f>'Other Regional'!L31</f>
        <v>0</v>
      </c>
      <c r="M31" s="82">
        <f t="shared" si="15"/>
        <v>0</v>
      </c>
    </row>
    <row r="32" spans="1:13" ht="15" thickBot="1" x14ac:dyDescent="0.25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100</v>
      </c>
      <c r="I32" s="99">
        <f t="shared" si="16"/>
        <v>0</v>
      </c>
      <c r="J32" s="99">
        <f t="shared" si="16"/>
        <v>0</v>
      </c>
      <c r="K32" s="99">
        <f t="shared" si="16"/>
        <v>575</v>
      </c>
      <c r="L32" s="99">
        <f>SUM(L30:L31)</f>
        <v>472.4</v>
      </c>
      <c r="M32" s="100">
        <f>SUM(B32:L32)</f>
        <v>1147.4000000000001</v>
      </c>
    </row>
    <row r="33" spans="1:13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.5" hidden="1" thickTop="1" x14ac:dyDescent="0.2">
      <c r="A35" s="43" t="s">
        <v>37</v>
      </c>
      <c r="B35" s="89">
        <f>[3]Pinnacle!$JA$57</f>
        <v>0</v>
      </c>
      <c r="C35" s="81">
        <f>[3]MESA_UA!$JA$57</f>
        <v>0</v>
      </c>
      <c r="D35" s="89">
        <f>'[3]Sky West'!$JA$57</f>
        <v>0</v>
      </c>
      <c r="E35" s="89">
        <f>'[3]Sky West_UA'!$JA$57</f>
        <v>0</v>
      </c>
      <c r="F35" s="89">
        <f>'[3]Sky West_AS'!$JA$57</f>
        <v>0</v>
      </c>
      <c r="G35" s="89">
        <f>'[3]Sky West_AA'!$JA$57</f>
        <v>0</v>
      </c>
      <c r="H35" s="89">
        <f>[3]Republic!$JA$57</f>
        <v>0</v>
      </c>
      <c r="I35" s="89">
        <f>[3]Republic!$JA$57</f>
        <v>0</v>
      </c>
      <c r="J35" s="89">
        <f>[3]Republic!$JA$57</f>
        <v>0</v>
      </c>
      <c r="K35" s="89">
        <f>'[3]American Eagle'!$JA$57</f>
        <v>0</v>
      </c>
      <c r="L35" s="89">
        <f>'Other Regional'!L35</f>
        <v>0</v>
      </c>
      <c r="M35" s="82">
        <f t="shared" si="15"/>
        <v>0</v>
      </c>
    </row>
    <row r="36" spans="1:13" ht="13.5" hidden="1" thickTop="1" x14ac:dyDescent="0.2">
      <c r="A36" s="43" t="s">
        <v>38</v>
      </c>
      <c r="B36" s="89">
        <f>[3]Pinnacle!$JA$58</f>
        <v>0</v>
      </c>
      <c r="C36" s="81">
        <f>[3]MESA_UA!$JA$58</f>
        <v>0</v>
      </c>
      <c r="D36" s="89">
        <f>'[3]Sky West'!$JA$58</f>
        <v>0</v>
      </c>
      <c r="E36" s="89">
        <f>'[3]Sky West_UA'!$JA$58</f>
        <v>0</v>
      </c>
      <c r="F36" s="89">
        <f>'[3]Sky West_AS'!$JA$58</f>
        <v>0</v>
      </c>
      <c r="G36" s="89">
        <f>'[3]Sky West_AA'!$JA$58</f>
        <v>0</v>
      </c>
      <c r="H36" s="89">
        <f>[3]Republic!$JA$58</f>
        <v>0</v>
      </c>
      <c r="I36" s="89">
        <f>[3]Republic!$JA$58</f>
        <v>0</v>
      </c>
      <c r="J36" s="89">
        <f>[3]Republic!$JA$58</f>
        <v>0</v>
      </c>
      <c r="K36" s="89">
        <f>'[3]American Eagle'!$JA$58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 x14ac:dyDescent="0.2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 x14ac:dyDescent="0.2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2846</v>
      </c>
      <c r="I40" s="89">
        <f t="shared" si="20"/>
        <v>0</v>
      </c>
      <c r="J40" s="89">
        <f t="shared" si="20"/>
        <v>0</v>
      </c>
      <c r="K40" s="89">
        <f>SUM(K35,K30,K25)</f>
        <v>1260</v>
      </c>
      <c r="L40" s="89">
        <f>L35+L30+L25</f>
        <v>637.79999999999995</v>
      </c>
      <c r="M40" s="82">
        <f>SUM(B40:L40)</f>
        <v>4743.8</v>
      </c>
    </row>
    <row r="41" spans="1:13" x14ac:dyDescent="0.2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5" thickBot="1" x14ac:dyDescent="0.25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2846</v>
      </c>
      <c r="I42" s="102">
        <f t="shared" si="20"/>
        <v>0</v>
      </c>
      <c r="J42" s="102">
        <f t="shared" si="20"/>
        <v>0</v>
      </c>
      <c r="K42" s="102">
        <f>SUM(K37,K32,K27)</f>
        <v>1260</v>
      </c>
      <c r="L42" s="102">
        <f>SUM(L37,L32,L27)</f>
        <v>637.79999999999995</v>
      </c>
      <c r="M42" s="103">
        <f>SUM(B42:L42)</f>
        <v>4743.8</v>
      </c>
    </row>
    <row r="44" spans="1:13" x14ac:dyDescent="0.2">
      <c r="A44" s="268" t="s">
        <v>120</v>
      </c>
      <c r="B44" s="233">
        <f>[3]Pinnacle!$JA$70+[3]Pinnacle!$JA$73</f>
        <v>12977</v>
      </c>
      <c r="D44" s="234">
        <f>'[3]Sky West'!$JA$70+'[3]Sky West'!$JA$73</f>
        <v>35283</v>
      </c>
      <c r="E44" s="2"/>
      <c r="F44" s="2"/>
      <c r="G44" s="2"/>
      <c r="L44" s="234">
        <f>+'Other Regional'!L46</f>
        <v>0</v>
      </c>
      <c r="M44" s="223">
        <f>SUM(B44:L44)</f>
        <v>48260</v>
      </c>
    </row>
    <row r="45" spans="1:13" x14ac:dyDescent="0.2">
      <c r="A45" s="281" t="s">
        <v>121</v>
      </c>
      <c r="B45" s="233">
        <f>[3]Pinnacle!$JA$71+[3]Pinnacle!$JA$74</f>
        <v>29271</v>
      </c>
      <c r="D45" s="234">
        <f>'[3]Sky West'!$JA$71+'[3]Sky West'!$JA$74</f>
        <v>83131</v>
      </c>
      <c r="E45" s="2"/>
      <c r="F45" s="2"/>
      <c r="G45" s="2"/>
      <c r="L45" s="234">
        <f>+'Other Regional'!L47</f>
        <v>0</v>
      </c>
      <c r="M45" s="223">
        <f>SUM(B45:L45)</f>
        <v>112402</v>
      </c>
    </row>
    <row r="46" spans="1:13" x14ac:dyDescent="0.2">
      <c r="A46" s="224" t="s">
        <v>122</v>
      </c>
      <c r="B46" s="225">
        <f>SUM(B44:B45)</f>
        <v>42248</v>
      </c>
      <c r="L46" s="2"/>
      <c r="M46" s="209"/>
    </row>
    <row r="47" spans="1:13" x14ac:dyDescent="0.2">
      <c r="A47" s="226"/>
      <c r="B47" s="227" t="b">
        <f>IF(B46=B6,TRUE,FALSE)</f>
        <v>1</v>
      </c>
    </row>
    <row r="50" spans="13:13" x14ac:dyDescent="0.2">
      <c r="M50" s="89"/>
    </row>
  </sheetData>
  <phoneticPr fontId="6" type="noConversion"/>
  <pageMargins left="0.75" right="0.75" top="1" bottom="1" header="0.5" footer="0.5"/>
  <pageSetup scale="82" orientation="landscape" r:id="rId1"/>
  <headerFooter alignWithMargins="0">
    <oddHeader>&amp;L
Schedule 4
&amp;CMinneapolis-St. Paul International Airport
&amp;"Arial,Bold"Regional Major
August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="130" zoomScaleNormal="130" zoomScaleSheetLayoutView="100" workbookViewId="0">
      <selection activeCell="I4" sqref="I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77"/>
    </row>
    <row r="2" spans="1:12" ht="55.5" customHeight="1" thickBot="1" x14ac:dyDescent="0.25">
      <c r="A2" s="388">
        <v>45505</v>
      </c>
      <c r="B2" s="397" t="s">
        <v>169</v>
      </c>
      <c r="C2" s="397" t="s">
        <v>168</v>
      </c>
      <c r="D2" s="397" t="s">
        <v>188</v>
      </c>
      <c r="E2" s="397" t="s">
        <v>234</v>
      </c>
      <c r="F2" s="397" t="s">
        <v>214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5" x14ac:dyDescent="0.25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 x14ac:dyDescent="0.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 x14ac:dyDescent="0.2">
      <c r="A5" s="43" t="s">
        <v>30</v>
      </c>
      <c r="B5" s="81">
        <f>'[3]Shuttle America'!$JA$22</f>
        <v>0</v>
      </c>
      <c r="C5" s="81">
        <f>'[3]Shuttle America_Delta'!$JA$22</f>
        <v>0</v>
      </c>
      <c r="D5" s="325">
        <f>[3]Horizon_AS!$JA$22+[3]Horizon_AS!$JA$32</f>
        <v>0</v>
      </c>
      <c r="E5" s="325">
        <f>'[3]Air Wisconsin'!$JA$22</f>
        <v>0</v>
      </c>
      <c r="F5" s="325">
        <f>[3]Jazz_AC!$JA$22+[3]Jazz_AC!$JA$32</f>
        <v>8837</v>
      </c>
      <c r="G5" s="325">
        <f>[3]PSA!$JA$22</f>
        <v>3577</v>
      </c>
      <c r="H5" s="81">
        <f>'[3]Atlantic Southeast'!$JA$22+'[3]Atlantic Southeast'!$JA$32</f>
        <v>0</v>
      </c>
      <c r="I5" s="81">
        <f>'[3]Continental Express'!$JA$22</f>
        <v>0</v>
      </c>
      <c r="J5" s="89">
        <f>'[3]Go Jet_UA'!$JA$22</f>
        <v>0</v>
      </c>
      <c r="K5" s="11">
        <f>'[3]Go Jet'!$JA$22+'[3]Go Jet'!$JA$32</f>
        <v>0</v>
      </c>
      <c r="L5" s="82">
        <f>SUM(B5:K5)</f>
        <v>12414</v>
      </c>
    </row>
    <row r="6" spans="1:12" s="6" customFormat="1" x14ac:dyDescent="0.2">
      <c r="A6" s="43" t="s">
        <v>31</v>
      </c>
      <c r="B6" s="81">
        <f>'[3]Shuttle America'!$JA$23</f>
        <v>0</v>
      </c>
      <c r="C6" s="81">
        <f>'[3]Shuttle America_Delta'!$JA$23</f>
        <v>0</v>
      </c>
      <c r="D6" s="325">
        <f>[3]Horizon_AS!$JA$23+[3]Horizon_AS!$JA$33</f>
        <v>0</v>
      </c>
      <c r="E6" s="325">
        <f>'[3]Air Wisconsin'!$JA$23</f>
        <v>0</v>
      </c>
      <c r="F6" s="325">
        <f>[3]Jazz_AC!$JA$23+[3]Jazz_AC!$JA$33</f>
        <v>8010</v>
      </c>
      <c r="G6" s="325">
        <f>[3]PSA!$JA$23</f>
        <v>3345</v>
      </c>
      <c r="H6" s="81">
        <f>'[3]Atlantic Southeast'!$JA$23+'[3]Atlantic Southeast'!$JA$33</f>
        <v>0</v>
      </c>
      <c r="I6" s="81">
        <f>'[3]Continental Express'!$JA$23</f>
        <v>0</v>
      </c>
      <c r="J6" s="89">
        <f>'[3]Go Jet_UA'!$JA$23</f>
        <v>0</v>
      </c>
      <c r="K6" s="7">
        <f>'[3]Go Jet'!$JA$23+'[3]Go Jet'!$JA$33</f>
        <v>0</v>
      </c>
      <c r="L6" s="86">
        <f>SUM(B6:K6)</f>
        <v>11355</v>
      </c>
    </row>
    <row r="7" spans="1:12" ht="15" thickBot="1" x14ac:dyDescent="0.25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0</v>
      </c>
      <c r="F7" s="99">
        <f t="shared" si="1"/>
        <v>16847</v>
      </c>
      <c r="G7" s="99">
        <f t="shared" si="0"/>
        <v>6922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23769</v>
      </c>
    </row>
    <row r="8" spans="1:12" ht="13.5" thickTop="1" x14ac:dyDescent="0.2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 x14ac:dyDescent="0.2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 x14ac:dyDescent="0.2">
      <c r="A10" s="43" t="s">
        <v>30</v>
      </c>
      <c r="B10" s="81">
        <f>'[3]Shuttle America'!$JA$27</f>
        <v>0</v>
      </c>
      <c r="C10" s="81">
        <f>'[3]Shuttle America_Delta'!$JA$27</f>
        <v>0</v>
      </c>
      <c r="D10" s="325">
        <f>[3]Horizon_AS!$JA$27+[3]Horizon_AS!$JA$37</f>
        <v>0</v>
      </c>
      <c r="E10" s="325">
        <f>'[3]Air Wisconsin'!$JA$27</f>
        <v>0</v>
      </c>
      <c r="F10" s="325">
        <f>[3]Jazz_AC!$JA$27+[3]Jazz_AC!$JA$37</f>
        <v>185</v>
      </c>
      <c r="G10" s="325">
        <f>[3]PSA!$JA$27</f>
        <v>63</v>
      </c>
      <c r="H10" s="11">
        <f>'[3]Atlantic Southeast'!$JA$27+'[3]Atlantic Southeast'!$JA$37</f>
        <v>0</v>
      </c>
      <c r="I10" s="81">
        <f>'[3]Continental Express'!$JA$27</f>
        <v>0</v>
      </c>
      <c r="J10" s="89">
        <f>'[3]Go Jet_UA'!$JA$27</f>
        <v>0</v>
      </c>
      <c r="K10" s="11">
        <f>'[3]Go Jet'!$JA$27+'[3]Go Jet'!$JA$37</f>
        <v>0</v>
      </c>
      <c r="L10" s="82">
        <f>SUM(B10:K10)</f>
        <v>248</v>
      </c>
    </row>
    <row r="11" spans="1:12" x14ac:dyDescent="0.2">
      <c r="A11" s="43" t="s">
        <v>33</v>
      </c>
      <c r="B11" s="81">
        <f>'[3]Shuttle America'!$JA$28</f>
        <v>0</v>
      </c>
      <c r="C11" s="81">
        <f>'[3]Shuttle America_Delta'!$JA$28</f>
        <v>0</v>
      </c>
      <c r="D11" s="325">
        <f>[3]Horizon_AS!$JA$28+[3]Horizon_AS!$JA$38</f>
        <v>0</v>
      </c>
      <c r="E11" s="325">
        <f>'[3]Air Wisconsin'!$JA$28</f>
        <v>0</v>
      </c>
      <c r="F11" s="325">
        <f>[3]Jazz_AC!$JA$28+[3]Jazz_AC!$JA$38</f>
        <v>163</v>
      </c>
      <c r="G11" s="325">
        <f>[3]PSA!$JA$28</f>
        <v>73</v>
      </c>
      <c r="H11" s="7">
        <f>'[3]Atlantic Southeast'!$JA$28+'[3]Atlantic Southeast'!$JA$38</f>
        <v>0</v>
      </c>
      <c r="I11" s="81">
        <f>'[3]Continental Express'!$JA$28</f>
        <v>0</v>
      </c>
      <c r="J11" s="89">
        <f>'[3]Go Jet_UA'!$JA$28</f>
        <v>0</v>
      </c>
      <c r="K11" s="7">
        <f>'[3]Go Jet'!$JA$28+'[3]Go Jet'!$JA$38</f>
        <v>0</v>
      </c>
      <c r="L11" s="86">
        <f>SUM(B11:K11)</f>
        <v>236</v>
      </c>
    </row>
    <row r="12" spans="1:12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0</v>
      </c>
      <c r="F12" s="102">
        <f t="shared" si="3"/>
        <v>348</v>
      </c>
      <c r="G12" s="102">
        <f t="shared" si="2"/>
        <v>136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484</v>
      </c>
    </row>
    <row r="13" spans="1:12" ht="6" customHeight="1" thickBot="1" x14ac:dyDescent="0.25"/>
    <row r="14" spans="1:12" ht="15.75" thickTop="1" x14ac:dyDescent="0.25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 x14ac:dyDescent="0.2">
      <c r="A15" s="43" t="s">
        <v>53</v>
      </c>
      <c r="B15" s="79">
        <f>'[3]Shuttle America'!$JA$4</f>
        <v>0</v>
      </c>
      <c r="C15" s="79">
        <f>'[3]Shuttle America_Delta'!$JA$4</f>
        <v>0</v>
      </c>
      <c r="D15" s="326">
        <f>[3]Horizon_AS!$JA$4</f>
        <v>0</v>
      </c>
      <c r="E15" s="326">
        <f>'[3]Air Wisconsin'!$JA$4</f>
        <v>0</v>
      </c>
      <c r="F15" s="326">
        <f>[3]Jazz_AC!$JA$4+[3]Jazz_AC!$JA$15</f>
        <v>142</v>
      </c>
      <c r="G15" s="326">
        <f>[3]PSA!$JA$4</f>
        <v>57</v>
      </c>
      <c r="H15" s="80">
        <f>'[3]Atlantic Southeast'!$JA$4+'[3]Atlantic Southeast'!$JA$15</f>
        <v>0</v>
      </c>
      <c r="I15" s="80">
        <f>'[3]Continental Express'!$JA$4</f>
        <v>0</v>
      </c>
      <c r="J15" s="79">
        <f>'[3]Go Jet_UA'!$JA$4</f>
        <v>0</v>
      </c>
      <c r="K15" s="11">
        <f>'[3]Go Jet'!$JA$4+'[3]Go Jet'!$JA$15</f>
        <v>0</v>
      </c>
      <c r="L15" s="82">
        <f t="shared" ref="L15:L20" si="6">SUM(B15:K15)</f>
        <v>199</v>
      </c>
    </row>
    <row r="16" spans="1:12" x14ac:dyDescent="0.2">
      <c r="A16" s="43" t="s">
        <v>54</v>
      </c>
      <c r="B16" s="83">
        <f>'[3]Shuttle America'!$JA$5</f>
        <v>0</v>
      </c>
      <c r="C16" s="83">
        <f>'[3]Shuttle America_Delta'!$JA$5</f>
        <v>0</v>
      </c>
      <c r="D16" s="327">
        <f>[3]Horizon_AS!$JA$5</f>
        <v>0</v>
      </c>
      <c r="E16" s="327">
        <f>'[3]Air Wisconsin'!$JA$5</f>
        <v>0</v>
      </c>
      <c r="F16" s="327">
        <f>[3]Jazz_AC!$JA$5+[3]Jazz_AC!$JA$16</f>
        <v>142</v>
      </c>
      <c r="G16" s="327">
        <f>[3]PSA!$JA$5</f>
        <v>58</v>
      </c>
      <c r="H16" s="84">
        <f>'[3]Atlantic Southeast'!$JA$5+'[3]Atlantic Southeast'!$JA$16</f>
        <v>0</v>
      </c>
      <c r="I16" s="84">
        <f>'[3]Continental Express'!$JA$5</f>
        <v>0</v>
      </c>
      <c r="J16" s="83">
        <f>'[3]Go Jet_UA'!$JA$5</f>
        <v>0</v>
      </c>
      <c r="K16" s="7">
        <f>'[3]Go Jet'!$JA$5+'[3]Go Jet'!$JA$16</f>
        <v>0</v>
      </c>
      <c r="L16" s="86">
        <f t="shared" si="6"/>
        <v>200</v>
      </c>
    </row>
    <row r="17" spans="1:15" x14ac:dyDescent="0.2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0</v>
      </c>
      <c r="F17" s="87">
        <f t="shared" si="8"/>
        <v>284</v>
      </c>
      <c r="G17" s="87">
        <f t="shared" si="7"/>
        <v>115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399</v>
      </c>
    </row>
    <row r="18" spans="1:15" x14ac:dyDescent="0.2">
      <c r="A18" s="43" t="s">
        <v>56</v>
      </c>
      <c r="B18" s="89">
        <f>'[3]Shuttle America'!$JA$8</f>
        <v>0</v>
      </c>
      <c r="C18" s="89">
        <f>'[3]Shuttle America_Delta'!$JA$8</f>
        <v>0</v>
      </c>
      <c r="D18" s="89">
        <f>[3]Horizon_AS!$JA$8</f>
        <v>0</v>
      </c>
      <c r="E18" s="89">
        <f>'[3]Air Wisconsin'!$JA$8</f>
        <v>0</v>
      </c>
      <c r="F18" s="89">
        <f>[3]Jazz_AC!$JA$8</f>
        <v>0</v>
      </c>
      <c r="G18" s="89">
        <f>[3]PSA!$JA$8</f>
        <v>0</v>
      </c>
      <c r="H18" s="81">
        <f>'[3]Atlantic Southeast'!$JA$8</f>
        <v>0</v>
      </c>
      <c r="I18" s="81">
        <f>'[3]Continental Express'!$JA$8</f>
        <v>0</v>
      </c>
      <c r="J18" s="89">
        <f>'[3]Go Jet_UA'!$JA$8</f>
        <v>0</v>
      </c>
      <c r="K18" s="11">
        <f>'[3]Go Jet'!$JA$8</f>
        <v>0</v>
      </c>
      <c r="L18" s="82">
        <f t="shared" si="6"/>
        <v>0</v>
      </c>
      <c r="O18" s="271"/>
    </row>
    <row r="19" spans="1:15" x14ac:dyDescent="0.2">
      <c r="A19" s="43" t="s">
        <v>57</v>
      </c>
      <c r="B19" s="90">
        <f>'[3]Shuttle America'!$JA$9</f>
        <v>0</v>
      </c>
      <c r="C19" s="90">
        <f>'[3]Shuttle America_Delta'!$JA$9</f>
        <v>0</v>
      </c>
      <c r="D19" s="90">
        <f>[3]Horizon_AS!$JA$9</f>
        <v>0</v>
      </c>
      <c r="E19" s="90">
        <f>'[3]Air Wisconsin'!$JA$9</f>
        <v>0</v>
      </c>
      <c r="F19" s="90">
        <f>[3]Jazz_AC!$JA$9</f>
        <v>0</v>
      </c>
      <c r="G19" s="90">
        <f>[3]PSA!$JA$9</f>
        <v>0</v>
      </c>
      <c r="H19" s="85">
        <f>'[3]Atlantic Southeast'!$JA$9</f>
        <v>0</v>
      </c>
      <c r="I19" s="85">
        <f>'[3]Continental Express'!$JA$9</f>
        <v>0</v>
      </c>
      <c r="J19" s="90">
        <f>'[3]Go Jet_UA'!$JA$9</f>
        <v>0</v>
      </c>
      <c r="K19" s="7">
        <f>'[3]Go Jet'!$JA$9</f>
        <v>0</v>
      </c>
      <c r="L19" s="86">
        <f t="shared" si="6"/>
        <v>0</v>
      </c>
    </row>
    <row r="20" spans="1:15" x14ac:dyDescent="0.2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0</v>
      </c>
      <c r="F21" s="91">
        <f t="shared" si="14"/>
        <v>284</v>
      </c>
      <c r="G21" s="91">
        <f t="shared" si="13"/>
        <v>115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399</v>
      </c>
    </row>
    <row r="22" spans="1:15" ht="3.75" customHeight="1" thickBot="1" x14ac:dyDescent="0.25"/>
    <row r="23" spans="1:15" ht="15.75" thickTop="1" x14ac:dyDescent="0.25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 x14ac:dyDescent="0.2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 x14ac:dyDescent="0.2">
      <c r="A25" s="43" t="s">
        <v>37</v>
      </c>
      <c r="B25" s="89">
        <f>'[3]Shuttle America'!$JA$47</f>
        <v>0</v>
      </c>
      <c r="C25" s="89">
        <f>'[3]Shuttle America_Delta'!$JA$47</f>
        <v>0</v>
      </c>
      <c r="D25" s="89">
        <f>[3]Horizon_AS!$JA$47</f>
        <v>0</v>
      </c>
      <c r="E25" s="89">
        <f>'[3]Air Wisconsin'!$JA$47</f>
        <v>0</v>
      </c>
      <c r="F25" s="89">
        <f>[3]Jazz_AC!$JA$47</f>
        <v>160.4</v>
      </c>
      <c r="G25" s="89">
        <f>[3]PSA!$JA$47</f>
        <v>5</v>
      </c>
      <c r="H25" s="81">
        <f>'[3]Atlantic Southeast'!$JA$47</f>
        <v>0</v>
      </c>
      <c r="I25" s="81">
        <f>'[3]Continental Express'!$JA$47</f>
        <v>0</v>
      </c>
      <c r="J25" s="89">
        <f>'[3]Go Jet_UA'!$JA$47</f>
        <v>0</v>
      </c>
      <c r="K25" s="89">
        <f>'[3]Go Jet'!$JA$47</f>
        <v>0</v>
      </c>
      <c r="L25" s="82">
        <f>SUM(B25:K25)</f>
        <v>165.4</v>
      </c>
    </row>
    <row r="26" spans="1:15" x14ac:dyDescent="0.2">
      <c r="A26" s="43" t="s">
        <v>38</v>
      </c>
      <c r="B26" s="89">
        <f>'[3]Shuttle America'!$JA$48</f>
        <v>0</v>
      </c>
      <c r="C26" s="89">
        <f>'[3]Shuttle America_Delta'!$JA$48</f>
        <v>0</v>
      </c>
      <c r="D26" s="89">
        <f>[3]Horizon_AS!$JA$48</f>
        <v>0</v>
      </c>
      <c r="E26" s="89">
        <f>'[3]Air Wisconsin'!$JA$48</f>
        <v>0</v>
      </c>
      <c r="F26" s="89">
        <f>[3]Jazz_AC!$JA$48</f>
        <v>0</v>
      </c>
      <c r="G26" s="89">
        <f>[3]PSA!$JA$48</f>
        <v>0</v>
      </c>
      <c r="H26" s="81">
        <f>'[3]Atlantic Southeast'!$JA$48</f>
        <v>0</v>
      </c>
      <c r="I26" s="81">
        <f>'[3]Continental Express'!$JA$48</f>
        <v>0</v>
      </c>
      <c r="J26" s="89">
        <f>'[3]Go Jet_UA'!$JA$48</f>
        <v>0</v>
      </c>
      <c r="K26" s="89">
        <f>'[3]Go Jet'!$JA$48</f>
        <v>0</v>
      </c>
      <c r="L26" s="82">
        <f>SUM(B26:K26)</f>
        <v>0</v>
      </c>
    </row>
    <row r="27" spans="1:15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160.4</v>
      </c>
      <c r="G27" s="99">
        <f t="shared" si="17"/>
        <v>5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165.4</v>
      </c>
    </row>
    <row r="28" spans="1:15" ht="7.5" customHeight="1" thickTop="1" x14ac:dyDescent="0.2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 x14ac:dyDescent="0.2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 x14ac:dyDescent="0.2">
      <c r="A30" s="43" t="s">
        <v>59</v>
      </c>
      <c r="B30" s="89">
        <f>'[3]Shuttle America'!$JA$52</f>
        <v>0</v>
      </c>
      <c r="C30" s="89">
        <f>'[3]Shuttle America_Delta'!$JA$52</f>
        <v>0</v>
      </c>
      <c r="D30" s="89">
        <f>[3]Horizon_AS!$JA$52</f>
        <v>0</v>
      </c>
      <c r="E30" s="89">
        <f>'[3]Air Wisconsin'!$JA$52</f>
        <v>0</v>
      </c>
      <c r="F30" s="89">
        <f>[3]Jazz_AC!$JA$52</f>
        <v>472.4</v>
      </c>
      <c r="G30" s="89">
        <f>[3]PSA!$JA$52</f>
        <v>0</v>
      </c>
      <c r="H30" s="81">
        <f>'[3]Atlantic Southeast'!$JA$52</f>
        <v>0</v>
      </c>
      <c r="I30" s="81">
        <f>'[3]Continental Express'!$JA$52</f>
        <v>0</v>
      </c>
      <c r="J30" s="89">
        <f>'[3]Go Jet_UA'!$JA$52</f>
        <v>0</v>
      </c>
      <c r="K30" s="89">
        <f>'[3]Go Jet'!$JA$52</f>
        <v>0</v>
      </c>
      <c r="L30" s="82">
        <f>SUM(B30:K30)</f>
        <v>472.4</v>
      </c>
    </row>
    <row r="31" spans="1:15" x14ac:dyDescent="0.2">
      <c r="A31" s="43" t="s">
        <v>60</v>
      </c>
      <c r="B31" s="89">
        <f>'[3]Shuttle America'!$JA$53</f>
        <v>0</v>
      </c>
      <c r="C31" s="89">
        <f>'[3]Shuttle America_Delta'!$JA$53</f>
        <v>0</v>
      </c>
      <c r="D31" s="89">
        <f>[3]Horizon_AS!$JA$53</f>
        <v>0</v>
      </c>
      <c r="E31" s="89">
        <f>'[3]Air Wisconsin'!$JA$53</f>
        <v>0</v>
      </c>
      <c r="F31" s="89">
        <f>[3]Jazz_AC!$JA$53</f>
        <v>0</v>
      </c>
      <c r="G31" s="89">
        <f>[3]PSA!$JA$53</f>
        <v>0</v>
      </c>
      <c r="H31" s="81">
        <f>'[3]Atlantic Southeast'!$JA$53</f>
        <v>0</v>
      </c>
      <c r="I31" s="81">
        <f>'[3]Continental Express'!$JA$53</f>
        <v>0</v>
      </c>
      <c r="J31" s="89">
        <f>'[3]Go Jet_UA'!$JA$53</f>
        <v>0</v>
      </c>
      <c r="K31" s="89">
        <f>'[3]Go Jet'!$JA$53</f>
        <v>0</v>
      </c>
      <c r="L31" s="82">
        <f>SUM(B31:K31)</f>
        <v>0</v>
      </c>
    </row>
    <row r="32" spans="1:15" ht="15" thickBot="1" x14ac:dyDescent="0.25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472.4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472.4</v>
      </c>
    </row>
    <row r="33" spans="1:12" ht="13.5" hidden="1" thickTop="1" x14ac:dyDescent="0.2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.5" hidden="1" thickTop="1" x14ac:dyDescent="0.2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.5" hidden="1" thickTop="1" x14ac:dyDescent="0.2">
      <c r="A35" s="43" t="s">
        <v>37</v>
      </c>
      <c r="B35" s="89">
        <f>'[3]Shuttle America'!$JA$57</f>
        <v>0</v>
      </c>
      <c r="C35" s="89">
        <f>'[3]Shuttle America_Delta'!$JA$57</f>
        <v>0</v>
      </c>
      <c r="D35" s="89">
        <f>[3]Horizon_AS!$JA$57</f>
        <v>0</v>
      </c>
      <c r="E35" s="89">
        <f>'[3]Air Wisconsin'!$JA$57</f>
        <v>0</v>
      </c>
      <c r="F35" s="89">
        <f>[3]Jazz_AC!$JA$57</f>
        <v>0</v>
      </c>
      <c r="G35" s="89">
        <f>[3]PSA!$JA$57</f>
        <v>0</v>
      </c>
      <c r="H35" s="81">
        <f>'[3]Atlantic Southeast'!$JA$57</f>
        <v>0</v>
      </c>
      <c r="I35" s="81">
        <f>'[3]Continental Express'!$JA$57</f>
        <v>0</v>
      </c>
      <c r="J35" s="89">
        <f>'[3]Go Jet_UA'!$AJ$57</f>
        <v>0</v>
      </c>
      <c r="K35" s="89">
        <f>'[3]Go Jet'!$JA$57</f>
        <v>0</v>
      </c>
      <c r="L35" s="82">
        <f>SUM(B35:K35)</f>
        <v>0</v>
      </c>
    </row>
    <row r="36" spans="1:12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 x14ac:dyDescent="0.2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 x14ac:dyDescent="0.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 x14ac:dyDescent="0.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632.79999999999995</v>
      </c>
      <c r="G40" s="89">
        <f t="shared" si="27"/>
        <v>5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637.79999999999995</v>
      </c>
    </row>
    <row r="41" spans="1:12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632.79999999999995</v>
      </c>
      <c r="G42" s="102">
        <f t="shared" si="33"/>
        <v>5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637.79999999999995</v>
      </c>
    </row>
    <row r="43" spans="1:12" ht="4.5" customHeight="1" x14ac:dyDescent="0.2"/>
    <row r="44" spans="1:12" hidden="1" x14ac:dyDescent="0.2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idden="1" x14ac:dyDescent="0.2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x14ac:dyDescent="0.2">
      <c r="A46" s="268" t="s">
        <v>120</v>
      </c>
      <c r="C46" s="234">
        <f>'[3]Shuttle America_Delta'!$JA$70+'[3]Shuttle America_Delta'!$JA$73</f>
        <v>0</v>
      </c>
      <c r="D46" s="2"/>
      <c r="E46" s="2"/>
      <c r="H46" s="234">
        <f>'[3]Atlantic Southeast'!$JA$70+'[3]Atlantic Southeast'!$JA$73</f>
        <v>0</v>
      </c>
      <c r="K46" s="234">
        <f>'[3]Go Jet'!$JA$70+'[3]Go Jet'!$JA$73</f>
        <v>0</v>
      </c>
      <c r="L46" s="280">
        <f>SUM(B46:K46)</f>
        <v>0</v>
      </c>
    </row>
    <row r="47" spans="1:12" x14ac:dyDescent="0.2">
      <c r="A47" s="281" t="s">
        <v>121</v>
      </c>
      <c r="C47" s="234">
        <f>'[3]Shuttle America_Delta'!$JA$71+'[3]Shuttle America_Delta'!$JA$74</f>
        <v>0</v>
      </c>
      <c r="D47" s="2"/>
      <c r="E47" s="2"/>
      <c r="H47" s="234">
        <f>'[3]Atlantic Southeast'!$JA$71+'[3]Atlantic Southeast'!$JA$74</f>
        <v>0</v>
      </c>
      <c r="K47" s="234">
        <f>'[3]Go Jet'!$JA$71+'[3]Go Jet'!$JA$74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August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B12" sqref="B12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8">
        <v>45505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232</v>
      </c>
      <c r="G2" s="141" t="s">
        <v>129</v>
      </c>
      <c r="H2" s="138" t="s">
        <v>78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5">
        <f>'[3]Charter Misc'!$JA$22</f>
        <v>0</v>
      </c>
      <c r="C5" s="145">
        <f>[3]Ryan!$JA$22</f>
        <v>0</v>
      </c>
      <c r="D5" s="145">
        <f>'[3]Charter Misc'!$JA$32</f>
        <v>0</v>
      </c>
      <c r="E5" s="145">
        <f>[3]Omni!$JA$32+[3]Omni!$JA$22</f>
        <v>0</v>
      </c>
      <c r="F5" s="145">
        <f>'[3]Red Way'!$JA$32+'[3]Red Way'!$JA$22</f>
        <v>0</v>
      </c>
      <c r="G5" s="145">
        <f>[3]Xtra!$JA$32+[3]Xtra!$JA$22</f>
        <v>0</v>
      </c>
      <c r="H5" s="241">
        <f>SUM(B5:G5)</f>
        <v>0</v>
      </c>
    </row>
    <row r="6" spans="1:18" x14ac:dyDescent="0.2">
      <c r="A6" s="43" t="s">
        <v>31</v>
      </c>
      <c r="B6" s="306">
        <f>'[3]Charter Misc'!$JA$23+'[3]Charter Misc'!$JA$28+'[3]Charter Misc'!$JA$38</f>
        <v>0</v>
      </c>
      <c r="C6" s="148">
        <f>[3]Ryan!$JA$23</f>
        <v>0</v>
      </c>
      <c r="D6" s="148">
        <f>'[3]Charter Misc'!$JA$33</f>
        <v>0</v>
      </c>
      <c r="E6" s="148">
        <f>[3]Omni!$JA$23+[3]Omni!$JA$33+[3]Omni!$JA$28+[3]Omni!$JA$38</f>
        <v>0</v>
      </c>
      <c r="F6" s="148">
        <f>'[3]Red Way'!$JA$33+'[3]Red Way'!$JA$23</f>
        <v>0</v>
      </c>
      <c r="G6" s="148">
        <f>[3]Xtra!$JA$33+[3]Xtra!$JA$23</f>
        <v>0</v>
      </c>
      <c r="H6" s="241">
        <f>SUM(B6:G6)</f>
        <v>0</v>
      </c>
    </row>
    <row r="7" spans="1:18" ht="15.75" thickBot="1" x14ac:dyDescent="0.3">
      <c r="A7" s="144" t="s">
        <v>7</v>
      </c>
      <c r="B7" s="307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5" thickBot="1" x14ac:dyDescent="0.25"/>
    <row r="9" spans="1:18" x14ac:dyDescent="0.2">
      <c r="A9" s="142" t="s">
        <v>9</v>
      </c>
      <c r="B9" s="308"/>
      <c r="C9" s="28"/>
      <c r="D9" s="28"/>
      <c r="E9" s="28"/>
      <c r="F9" s="28"/>
      <c r="G9" s="28"/>
      <c r="H9" s="38"/>
    </row>
    <row r="10" spans="1:18" x14ac:dyDescent="0.2">
      <c r="A10" s="143" t="s">
        <v>79</v>
      </c>
      <c r="B10" s="305">
        <f>'[3]Charter Misc'!$JA$4+'[3]Charter Misc'!$JA$8</f>
        <v>0</v>
      </c>
      <c r="C10" s="145">
        <f>[3]Ryan!$JA$4</f>
        <v>0</v>
      </c>
      <c r="D10" s="145">
        <f>'[3]Charter Misc'!$JA$15</f>
        <v>0</v>
      </c>
      <c r="E10" s="145">
        <f>[3]Omni!$JA$15+[3]Omni!$JA$4</f>
        <v>0</v>
      </c>
      <c r="F10" s="145">
        <f>'[3]Red Way'!$JA$15+'[3]Red Way'!$JA$4</f>
        <v>0</v>
      </c>
      <c r="G10" s="145">
        <f>[3]Xtra!$JA$15+[3]Xtra!$JA$4</f>
        <v>0</v>
      </c>
      <c r="H10" s="240">
        <f>SUM(B10:G10)</f>
        <v>0</v>
      </c>
    </row>
    <row r="11" spans="1:18" x14ac:dyDescent="0.2">
      <c r="A11" s="143" t="s">
        <v>80</v>
      </c>
      <c r="B11" s="305">
        <f>'[3]Charter Misc'!$JA$5+'[3]Charter Misc'!$JA$9</f>
        <v>0</v>
      </c>
      <c r="C11" s="145">
        <f>[3]Ryan!$JA$5</f>
        <v>0</v>
      </c>
      <c r="D11" s="145">
        <f>'[3]Charter Misc'!$JA$16</f>
        <v>0</v>
      </c>
      <c r="E11" s="145">
        <f>[3]Omni!$JA$16+[3]Omni!$JA$5</f>
        <v>0</v>
      </c>
      <c r="F11" s="145">
        <f>'[3]Red Way'!$JA$16+'[3]Red Way'!$JA$5</f>
        <v>0</v>
      </c>
      <c r="G11" s="145">
        <f>[3]Xtra!$JA$16+[3]Xtra!$JA$5</f>
        <v>0</v>
      </c>
      <c r="H11" s="240">
        <f>SUM(B11:G11)</f>
        <v>0</v>
      </c>
    </row>
    <row r="12" spans="1:18" ht="15.75" thickBot="1" x14ac:dyDescent="0.3">
      <c r="A12" s="193" t="s">
        <v>28</v>
      </c>
      <c r="B12" s="309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 x14ac:dyDescent="0.25">
      <c r="A18" s="229"/>
      <c r="E18" s="163"/>
      <c r="G18" s="163"/>
      <c r="H18" s="163"/>
      <c r="L18" s="167"/>
      <c r="N18" s="4"/>
    </row>
    <row r="19" spans="1:19" ht="13.5" customHeight="1" thickBot="1" x14ac:dyDescent="0.25">
      <c r="A19" s="295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83"/>
    </row>
    <row r="20" spans="1:19" ht="13.5" thickBot="1" x14ac:dyDescent="0.25">
      <c r="A20" s="169" t="s">
        <v>99</v>
      </c>
      <c r="B20" s="425" t="s">
        <v>100</v>
      </c>
      <c r="C20" s="425" t="s">
        <v>101</v>
      </c>
      <c r="D20" s="425" t="s">
        <v>239</v>
      </c>
      <c r="E20" s="425" t="s">
        <v>223</v>
      </c>
      <c r="F20" s="425" t="s">
        <v>96</v>
      </c>
      <c r="G20" s="425" t="s">
        <v>100</v>
      </c>
      <c r="H20" s="425" t="s">
        <v>101</v>
      </c>
      <c r="I20" s="425" t="s">
        <v>239</v>
      </c>
      <c r="J20" s="425" t="s">
        <v>223</v>
      </c>
      <c r="K20" s="425" t="s">
        <v>96</v>
      </c>
      <c r="L20" s="425" t="s">
        <v>100</v>
      </c>
      <c r="M20" s="425" t="s">
        <v>101</v>
      </c>
      <c r="N20" s="425" t="s">
        <v>239</v>
      </c>
      <c r="O20" s="425" t="s">
        <v>223</v>
      </c>
      <c r="P20" s="425" t="s">
        <v>96</v>
      </c>
      <c r="S20" s="383"/>
    </row>
    <row r="21" spans="1:19" ht="14.1" customHeight="1" x14ac:dyDescent="0.2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4">
        <f>[5]Charter!$D$21</f>
        <v>255954</v>
      </c>
      <c r="F21" s="416">
        <f t="shared" ref="F21:F32" si="3">(D21-E21)/E21</f>
        <v>0.20684576134774219</v>
      </c>
      <c r="G21" s="415">
        <f t="shared" ref="G21:G22" si="4">L21-B21</f>
        <v>1099558</v>
      </c>
      <c r="H21" s="415">
        <f t="shared" ref="H21:H22" si="5">M21-C21</f>
        <v>1135273</v>
      </c>
      <c r="I21" s="415">
        <f t="shared" ref="I21:I22" si="6">SUM(G21:H21)</f>
        <v>2234831</v>
      </c>
      <c r="J21" s="424">
        <f>[5]Charter!I21</f>
        <v>2136976</v>
      </c>
      <c r="K21" s="421">
        <f t="shared" ref="K21:K32" si="7">(I21-J21)/J21</f>
        <v>4.579134253262554E-2</v>
      </c>
      <c r="L21" s="415">
        <f>+[4]Charter!L21</f>
        <v>1255483</v>
      </c>
      <c r="M21" s="415">
        <f>+[4]Charter!M21</f>
        <v>1288245</v>
      </c>
      <c r="N21" s="424">
        <f t="shared" ref="N21" si="8">SUM(L21:M21)</f>
        <v>2543728</v>
      </c>
      <c r="O21" s="424">
        <f>[5]Charter!N21</f>
        <v>2392930</v>
      </c>
      <c r="P21" s="420">
        <f>(N21-O21)/O21</f>
        <v>6.3018140940186304E-2</v>
      </c>
      <c r="S21" s="383"/>
    </row>
    <row r="22" spans="1:19" ht="14.1" customHeight="1" x14ac:dyDescent="0.2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9">SUM(B22:C22)</f>
        <v>330142</v>
      </c>
      <c r="E22" s="415">
        <f>[7]Charter!D22</f>
        <v>251121</v>
      </c>
      <c r="F22" s="451">
        <f t="shared" si="3"/>
        <v>0.31467300624001976</v>
      </c>
      <c r="G22" s="415">
        <f t="shared" si="4"/>
        <v>1107911</v>
      </c>
      <c r="H22" s="415">
        <f t="shared" si="5"/>
        <v>1145758</v>
      </c>
      <c r="I22" s="415">
        <f t="shared" si="6"/>
        <v>2253669</v>
      </c>
      <c r="J22" s="415">
        <f>[7]Charter!I22</f>
        <v>2010512</v>
      </c>
      <c r="K22" s="422">
        <f t="shared" si="7"/>
        <v>0.12094282451435256</v>
      </c>
      <c r="L22" s="415">
        <f>+[6]Charter!L22</f>
        <v>1269571</v>
      </c>
      <c r="M22" s="415">
        <f>+[6]Charter!M22</f>
        <v>1314240</v>
      </c>
      <c r="N22" s="424">
        <f t="shared" ref="N22" si="10">SUM(L22:M22)</f>
        <v>2583811</v>
      </c>
      <c r="O22" s="415">
        <f>[7]Charter!N22</f>
        <v>2261633</v>
      </c>
      <c r="P22" s="452">
        <f t="shared" ref="P22:P32" si="11">(N22-O22)/O22</f>
        <v>0.14245370491145115</v>
      </c>
      <c r="S22" s="383"/>
    </row>
    <row r="23" spans="1:19" ht="14.1" customHeight="1" x14ac:dyDescent="0.2">
      <c r="A23" s="175" t="s">
        <v>104</v>
      </c>
      <c r="B23" s="415">
        <f>+[8]Charter!B23</f>
        <v>207781</v>
      </c>
      <c r="C23" s="415">
        <f>+[8]Charter!C23</f>
        <v>205643</v>
      </c>
      <c r="D23" s="415">
        <f t="shared" ref="D23" si="12">SUM(B23:C23)</f>
        <v>413424</v>
      </c>
      <c r="E23" s="415">
        <f>[9]Charter!D23</f>
        <v>341563</v>
      </c>
      <c r="F23" s="422">
        <f t="shared" si="3"/>
        <v>0.21038871306318307</v>
      </c>
      <c r="G23" s="415">
        <f t="shared" ref="G23" si="13">L23-B23</f>
        <v>1415478</v>
      </c>
      <c r="H23" s="415">
        <f t="shared" ref="H23" si="14">M23-C23</f>
        <v>1419160</v>
      </c>
      <c r="I23" s="415">
        <f t="shared" ref="I23" si="15">SUM(G23:H23)</f>
        <v>2834638</v>
      </c>
      <c r="J23" s="415">
        <f>[9]Charter!I23</f>
        <v>2692997</v>
      </c>
      <c r="K23" s="422">
        <f t="shared" si="7"/>
        <v>5.2596048194632226E-2</v>
      </c>
      <c r="L23" s="415">
        <f>+[8]Charter!L23</f>
        <v>1623259</v>
      </c>
      <c r="M23" s="415">
        <f>+[8]Charter!M23</f>
        <v>1624803</v>
      </c>
      <c r="N23" s="424">
        <f t="shared" ref="N23" si="16">SUM(L23:M23)</f>
        <v>3248062</v>
      </c>
      <c r="O23" s="415">
        <f>[9]Charter!N23</f>
        <v>3034560</v>
      </c>
      <c r="P23" s="452">
        <f t="shared" si="11"/>
        <v>7.0356822735421279E-2</v>
      </c>
      <c r="S23" s="383"/>
    </row>
    <row r="24" spans="1:19" ht="14.1" customHeight="1" x14ac:dyDescent="0.2">
      <c r="A24" s="175" t="s">
        <v>105</v>
      </c>
      <c r="B24" s="415">
        <f>+[10]Charter!B24</f>
        <v>149790</v>
      </c>
      <c r="C24" s="415">
        <f>+[10]Charter!C24</f>
        <v>125929</v>
      </c>
      <c r="D24" s="415">
        <f t="shared" ref="D24" si="17">SUM(B24:C24)</f>
        <v>275719</v>
      </c>
      <c r="E24" s="415">
        <f>[11]Charter!D24</f>
        <v>249458</v>
      </c>
      <c r="F24" s="422">
        <f t="shared" si="3"/>
        <v>0.10527223019506289</v>
      </c>
      <c r="G24" s="415">
        <f t="shared" ref="G24" si="18">L24-B24</f>
        <v>1402982</v>
      </c>
      <c r="H24" s="415">
        <f t="shared" ref="H24" si="19">M24-C24</f>
        <v>1325088</v>
      </c>
      <c r="I24" s="415">
        <f t="shared" ref="I24" si="20">SUM(G24:H24)</f>
        <v>2728070</v>
      </c>
      <c r="J24" s="415">
        <f>[11]Charter!I24</f>
        <v>2532647</v>
      </c>
      <c r="K24" s="422">
        <f t="shared" si="7"/>
        <v>7.7161562586495466E-2</v>
      </c>
      <c r="L24" s="415">
        <f>+[10]Charter!L24</f>
        <v>1552772</v>
      </c>
      <c r="M24" s="415">
        <f>+[10]Charter!M24</f>
        <v>1451017</v>
      </c>
      <c r="N24" s="424">
        <f t="shared" ref="N24" si="21">SUM(L24:M24)</f>
        <v>3003789</v>
      </c>
      <c r="O24" s="415">
        <f>[11]Charter!N24</f>
        <v>2782105</v>
      </c>
      <c r="P24" s="452">
        <f t="shared" si="11"/>
        <v>7.9682111207161482E-2</v>
      </c>
    </row>
    <row r="25" spans="1:19" ht="14.1" customHeight="1" x14ac:dyDescent="0.2">
      <c r="A25" s="168" t="s">
        <v>75</v>
      </c>
      <c r="B25" s="415">
        <f>+[12]Charter!B25</f>
        <v>122093</v>
      </c>
      <c r="C25" s="415">
        <f>+[12]Charter!C25</f>
        <v>135876</v>
      </c>
      <c r="D25" s="415">
        <f t="shared" ref="D25" si="22">SUM(B25:C25)</f>
        <v>257969</v>
      </c>
      <c r="E25" s="415">
        <f>[13]Charter!D25</f>
        <v>214242</v>
      </c>
      <c r="F25" s="423">
        <f t="shared" si="3"/>
        <v>0.20410096993119931</v>
      </c>
      <c r="G25" s="415">
        <f t="shared" ref="G25" si="23">L25-B25</f>
        <v>1491835</v>
      </c>
      <c r="H25" s="415">
        <f t="shared" ref="H25" si="24">M25-C25</f>
        <v>1451735</v>
      </c>
      <c r="I25" s="415">
        <f t="shared" ref="I25" si="25">SUM(G25:H25)</f>
        <v>2943570</v>
      </c>
      <c r="J25" s="415">
        <f>[13]Charter!I25</f>
        <v>2648712</v>
      </c>
      <c r="K25" s="423">
        <f>(I25-J25)/J25</f>
        <v>0.11132127615233366</v>
      </c>
      <c r="L25" s="415">
        <f>+[12]Charter!L25</f>
        <v>1613928</v>
      </c>
      <c r="M25" s="415">
        <f>+[12]Charter!M25</f>
        <v>1587611</v>
      </c>
      <c r="N25" s="424">
        <f t="shared" ref="N25" si="26">SUM(L25:M25)</f>
        <v>3201539</v>
      </c>
      <c r="O25" s="415">
        <f>[13]Charter!N25</f>
        <v>2862954</v>
      </c>
      <c r="P25" s="453">
        <f t="shared" si="11"/>
        <v>0.1182642124183623</v>
      </c>
    </row>
    <row r="26" spans="1:19" ht="14.1" customHeight="1" x14ac:dyDescent="0.2">
      <c r="A26" s="175" t="s">
        <v>106</v>
      </c>
      <c r="B26" s="415">
        <f>+[14]Charter!B26</f>
        <v>152808</v>
      </c>
      <c r="C26" s="415">
        <f>+[14]Charter!C26</f>
        <v>159989</v>
      </c>
      <c r="D26" s="415">
        <f t="shared" ref="D26" si="27">SUM(B26:C26)</f>
        <v>312797</v>
      </c>
      <c r="E26" s="415">
        <f>[15]Charter!D26</f>
        <v>250278</v>
      </c>
      <c r="F26" s="417">
        <f t="shared" si="3"/>
        <v>0.24979822437449556</v>
      </c>
      <c r="G26" s="415">
        <f t="shared" ref="G26" si="28">L26-B26</f>
        <v>1622779</v>
      </c>
      <c r="H26" s="415">
        <f t="shared" ref="H26" si="29">M26-C26</f>
        <v>1601699</v>
      </c>
      <c r="I26" s="415">
        <f t="shared" ref="I26" si="30">SUM(G26:H26)</f>
        <v>3224478</v>
      </c>
      <c r="J26" s="415">
        <f>[15]Charter!I26</f>
        <v>3007302</v>
      </c>
      <c r="K26" s="422">
        <f t="shared" si="7"/>
        <v>7.2216225706630069E-2</v>
      </c>
      <c r="L26" s="415">
        <f>+[14]Charter!L26</f>
        <v>1775587</v>
      </c>
      <c r="M26" s="415">
        <f>+[14]Charter!M26</f>
        <v>1761688</v>
      </c>
      <c r="N26" s="424">
        <f t="shared" ref="N26" si="31">SUM(L26:M26)</f>
        <v>3537275</v>
      </c>
      <c r="O26" s="415">
        <f>[15]Charter!N26</f>
        <v>3257580</v>
      </c>
      <c r="P26" s="412">
        <f t="shared" si="11"/>
        <v>8.5859748647769199E-2</v>
      </c>
    </row>
    <row r="27" spans="1:19" ht="14.1" customHeight="1" x14ac:dyDescent="0.2">
      <c r="A27" s="168" t="s">
        <v>107</v>
      </c>
      <c r="B27" s="415">
        <f>+[2]Charter!B27</f>
        <v>169888</v>
      </c>
      <c r="C27" s="415">
        <f>+[2]Charter!C27</f>
        <v>154468</v>
      </c>
      <c r="D27" s="415">
        <f t="shared" ref="D27" si="32">SUM(B27:C27)</f>
        <v>324356</v>
      </c>
      <c r="E27" s="415">
        <f>[16]Charter!D27</f>
        <v>265615</v>
      </c>
      <c r="F27" s="418">
        <f t="shared" si="3"/>
        <v>0.22115091391675923</v>
      </c>
      <c r="G27" s="415">
        <f t="shared" ref="G27" si="33">L27-B27</f>
        <v>1634650</v>
      </c>
      <c r="H27" s="415">
        <f t="shared" ref="H27" si="34">M27-C27</f>
        <v>1651129</v>
      </c>
      <c r="I27" s="415">
        <f t="shared" ref="I27" si="35">SUM(G27:H27)</f>
        <v>3285779</v>
      </c>
      <c r="J27" s="415">
        <f>[16]Charter!I27</f>
        <v>3154132</v>
      </c>
      <c r="K27" s="423">
        <f t="shared" si="7"/>
        <v>4.1737948823955373E-2</v>
      </c>
      <c r="L27" s="415">
        <f>+[2]Charter!L27</f>
        <v>1804538</v>
      </c>
      <c r="M27" s="415">
        <f>+[2]Charter!M27</f>
        <v>1805597</v>
      </c>
      <c r="N27" s="424">
        <f t="shared" ref="N27" si="36">SUM(L27:M27)</f>
        <v>3610135</v>
      </c>
      <c r="O27" s="415">
        <f>[16]Charter!N27</f>
        <v>3419747</v>
      </c>
      <c r="P27" s="413">
        <f t="shared" si="11"/>
        <v>5.5673124356860317E-2</v>
      </c>
    </row>
    <row r="28" spans="1:19" ht="14.1" customHeight="1" x14ac:dyDescent="0.2">
      <c r="A28" s="175" t="s">
        <v>108</v>
      </c>
      <c r="B28" s="415">
        <f>+'Intl Detail'!$R$4+'Intl Detail'!$R$9</f>
        <v>171238</v>
      </c>
      <c r="C28" s="415">
        <f>+'Intl Detail'!$R$5+'Intl Detail'!$R$10</f>
        <v>159536</v>
      </c>
      <c r="D28" s="415">
        <f t="shared" ref="D28" si="37">SUM(B28:C28)</f>
        <v>330774</v>
      </c>
      <c r="E28" s="415">
        <f>[1]Charter!D28</f>
        <v>261890</v>
      </c>
      <c r="F28" s="417">
        <f t="shared" si="3"/>
        <v>0.26302646149146586</v>
      </c>
      <c r="G28" s="415">
        <f t="shared" ref="G28" si="38">L28-B28</f>
        <v>1651815</v>
      </c>
      <c r="H28" s="415">
        <f t="shared" ref="H28" si="39">M28-C28</f>
        <v>1637895</v>
      </c>
      <c r="I28" s="415">
        <f t="shared" ref="I28" si="40">SUM(G28:H28)</f>
        <v>3289710</v>
      </c>
      <c r="J28" s="415">
        <f>[1]Charter!I28</f>
        <v>3081501</v>
      </c>
      <c r="K28" s="422">
        <f t="shared" si="7"/>
        <v>6.7567396538245492E-2</v>
      </c>
      <c r="L28" s="415">
        <f>+'Monthly Summary'!$B$11</f>
        <v>1823053</v>
      </c>
      <c r="M28" s="415">
        <f>+'Monthly Summary'!$C$11</f>
        <v>1797431</v>
      </c>
      <c r="N28" s="424">
        <f t="shared" ref="N28" si="41">SUM(L28:M28)</f>
        <v>3620484</v>
      </c>
      <c r="O28" s="415">
        <f>[1]Charter!N28</f>
        <v>3343391</v>
      </c>
      <c r="P28" s="412">
        <f t="shared" si="11"/>
        <v>8.2877832715347974E-2</v>
      </c>
    </row>
    <row r="29" spans="1:19" ht="14.1" customHeight="1" x14ac:dyDescent="0.2">
      <c r="A29" s="168" t="s">
        <v>109</v>
      </c>
      <c r="B29" s="424"/>
      <c r="C29" s="424"/>
      <c r="D29" s="415"/>
      <c r="E29" s="415"/>
      <c r="F29" s="418" t="e">
        <f t="shared" si="3"/>
        <v>#DIV/0!</v>
      </c>
      <c r="G29" s="415"/>
      <c r="H29" s="415"/>
      <c r="I29" s="415"/>
      <c r="J29" s="415"/>
      <c r="K29" s="423" t="e">
        <f t="shared" si="7"/>
        <v>#DIV/0!</v>
      </c>
      <c r="L29" s="424"/>
      <c r="M29" s="424"/>
      <c r="N29" s="424"/>
      <c r="O29" s="415"/>
      <c r="P29" s="413" t="e">
        <f t="shared" si="11"/>
        <v>#DIV/0!</v>
      </c>
    </row>
    <row r="30" spans="1:19" ht="14.1" customHeight="1" x14ac:dyDescent="0.2">
      <c r="A30" s="175" t="s">
        <v>110</v>
      </c>
      <c r="B30" s="424"/>
      <c r="C30" s="424"/>
      <c r="D30" s="415"/>
      <c r="E30" s="415"/>
      <c r="F30" s="417" t="e">
        <f t="shared" si="3"/>
        <v>#DIV/0!</v>
      </c>
      <c r="G30" s="415"/>
      <c r="H30" s="415"/>
      <c r="I30" s="415"/>
      <c r="J30" s="415"/>
      <c r="K30" s="422" t="e">
        <f t="shared" si="7"/>
        <v>#DIV/0!</v>
      </c>
      <c r="L30" s="424"/>
      <c r="M30" s="424"/>
      <c r="N30" s="424"/>
      <c r="O30" s="415"/>
      <c r="P30" s="412" t="e">
        <f t="shared" si="11"/>
        <v>#DIV/0!</v>
      </c>
    </row>
    <row r="31" spans="1:19" ht="14.1" customHeight="1" x14ac:dyDescent="0.2">
      <c r="A31" s="168" t="s">
        <v>111</v>
      </c>
      <c r="B31" s="424"/>
      <c r="C31" s="424"/>
      <c r="D31" s="415"/>
      <c r="E31" s="415"/>
      <c r="F31" s="418" t="e">
        <f t="shared" si="3"/>
        <v>#DIV/0!</v>
      </c>
      <c r="G31" s="415"/>
      <c r="H31" s="415"/>
      <c r="I31" s="415"/>
      <c r="J31" s="415"/>
      <c r="K31" s="423" t="e">
        <f t="shared" si="7"/>
        <v>#DIV/0!</v>
      </c>
      <c r="L31" s="424"/>
      <c r="M31" s="424"/>
      <c r="N31" s="424"/>
      <c r="O31" s="415"/>
      <c r="P31" s="413" t="e">
        <f t="shared" si="11"/>
        <v>#DIV/0!</v>
      </c>
    </row>
    <row r="32" spans="1:19" ht="14.1" customHeight="1" x14ac:dyDescent="0.2">
      <c r="A32" s="176" t="s">
        <v>112</v>
      </c>
      <c r="B32" s="415"/>
      <c r="C32" s="415"/>
      <c r="D32" s="415"/>
      <c r="E32" s="415"/>
      <c r="F32" s="419" t="e">
        <f t="shared" si="3"/>
        <v>#DIV/0!</v>
      </c>
      <c r="G32" s="415"/>
      <c r="H32" s="415"/>
      <c r="I32" s="415"/>
      <c r="J32" s="415"/>
      <c r="K32" s="419" t="e">
        <f t="shared" si="7"/>
        <v>#DIV/0!</v>
      </c>
      <c r="L32" s="415"/>
      <c r="M32" s="415"/>
      <c r="N32" s="424"/>
      <c r="O32" s="415"/>
      <c r="P32" s="414" t="e">
        <f t="shared" si="11"/>
        <v>#DIV/0!</v>
      </c>
    </row>
    <row r="33" spans="1:16" ht="13.5" thickBot="1" x14ac:dyDescent="0.25">
      <c r="A33" s="173" t="s">
        <v>76</v>
      </c>
      <c r="B33" s="179">
        <f>SUM(B21:B32)</f>
        <v>1291183</v>
      </c>
      <c r="C33" s="180">
        <f>SUM(C21:C32)</f>
        <v>1262895</v>
      </c>
      <c r="D33" s="180">
        <f>SUM(D21:D32)</f>
        <v>2554078</v>
      </c>
      <c r="E33" s="181">
        <f>SUM(E21:E32)</f>
        <v>2090121</v>
      </c>
      <c r="F33" s="171">
        <f>(D33-E33)/E33</f>
        <v>0.22197614396487092</v>
      </c>
      <c r="G33" s="182">
        <f>SUM(G21:G32)</f>
        <v>11427008</v>
      </c>
      <c r="H33" s="180">
        <f>SUM(H21:H32)</f>
        <v>11367737</v>
      </c>
      <c r="I33" s="180">
        <f>SUM(I21:I32)</f>
        <v>22794745</v>
      </c>
      <c r="J33" s="183">
        <f>SUM(J21:J32)</f>
        <v>21264779</v>
      </c>
      <c r="K33" s="172">
        <f>(I33-J33)/J33</f>
        <v>7.1948361184473161E-2</v>
      </c>
      <c r="L33" s="182">
        <f>SUM(L21:L32)</f>
        <v>12718191</v>
      </c>
      <c r="M33" s="180">
        <f>SUM(M21:M32)</f>
        <v>12630632</v>
      </c>
      <c r="N33" s="180">
        <f>SUM(N21:N32)</f>
        <v>25348823</v>
      </c>
      <c r="O33" s="181">
        <f>SUM(O21:O32)</f>
        <v>23354900</v>
      </c>
      <c r="P33" s="170">
        <f>(N33-O33)/O33</f>
        <v>8.5374932027112077E-2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August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="115" zoomScaleNormal="115" workbookViewId="0">
      <selection activeCell="H7" sqref="H7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710937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2" t="s">
        <v>195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6" customFormat="1" ht="43.5" customHeight="1" thickBot="1" x14ac:dyDescent="0.25">
      <c r="A2" s="388">
        <v>45505</v>
      </c>
      <c r="B2" s="317" t="s">
        <v>191</v>
      </c>
      <c r="C2" s="317" t="s">
        <v>230</v>
      </c>
      <c r="D2" s="317" t="s">
        <v>211</v>
      </c>
      <c r="E2" s="350" t="s">
        <v>213</v>
      </c>
      <c r="F2" s="350" t="s">
        <v>212</v>
      </c>
      <c r="G2" s="317" t="s">
        <v>196</v>
      </c>
      <c r="H2" s="350" t="s">
        <v>227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225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5" x14ac:dyDescent="0.25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x14ac:dyDescent="0.2">
      <c r="A4" s="36" t="s">
        <v>53</v>
      </c>
      <c r="B4" s="177">
        <f>'[3]Atlas Air'!$JA$4</f>
        <v>1</v>
      </c>
      <c r="C4" s="126">
        <f>[3]DHL!$JA$8+[3]DHL!$JA$4</f>
        <v>22</v>
      </c>
      <c r="D4" s="126">
        <f>[3]Airborne!$JA$4+[3]Airborne!$JA$15</f>
        <v>0</v>
      </c>
      <c r="E4" s="89">
        <f>[3]DHL_Bemidji!$JA$4</f>
        <v>40</v>
      </c>
      <c r="F4" s="89">
        <f>[3]Bemidji!$JA$4</f>
        <v>168</v>
      </c>
      <c r="G4" s="126">
        <f>[3]DHL_Encore!$JA$4+[3]DHL_Encore!$JA$15</f>
        <v>0</v>
      </c>
      <c r="H4" s="126">
        <f>[3]DHL_Mesa!$JA$4+[3]DHL_Mesa!$JA$15</f>
        <v>0</v>
      </c>
      <c r="I4" s="126">
        <f>[3]Encore!$JA$4+[3]Encore!$JA$15</f>
        <v>0</v>
      </c>
      <c r="J4" s="126">
        <f>[3]FedEx!$JA$4+[3]FedEx!$JA$15</f>
        <v>90</v>
      </c>
      <c r="K4" s="126">
        <f>[3]IFL!$JA$4+[3]IFL!$JA$15</f>
        <v>17</v>
      </c>
      <c r="L4" s="126">
        <f>[3]DHL_Kalitta!$JA$4+[3]DHL_Kalitta!$JA$15</f>
        <v>0</v>
      </c>
      <c r="M4" s="89">
        <f>'[3]Mountain Cargo'!$JA$4</f>
        <v>23</v>
      </c>
      <c r="N4" s="126">
        <f>[3]DHL_Amerijet!$JA$4+[3]DHL_Amerijet!$JA$15</f>
        <v>0</v>
      </c>
      <c r="O4" s="126">
        <f>[3]DHL_Swift!$JA$4+[3]DHL_Swift!$JA$15</f>
        <v>0</v>
      </c>
      <c r="P4" s="126">
        <f>+'[3]Sun Country Cargo'!$JA$4+'[3]Sun Country Cargo'!$JA$8+'[3]Sun Country Cargo'!$JA$15</f>
        <v>80</v>
      </c>
      <c r="Q4" s="126">
        <f>[3]UPS!$JA$4+[3]UPS!$JA$15</f>
        <v>110</v>
      </c>
      <c r="R4" s="89">
        <f>'[3]Misc Cargo'!$JA$4</f>
        <v>0</v>
      </c>
      <c r="S4" s="360">
        <f>SUM(B4:R4)</f>
        <v>551</v>
      </c>
      <c r="U4" s="332"/>
      <c r="V4" s="332"/>
      <c r="W4" s="209"/>
    </row>
    <row r="5" spans="1:23" x14ac:dyDescent="0.2">
      <c r="A5" s="36" t="s">
        <v>54</v>
      </c>
      <c r="B5" s="361">
        <f>'[3]Atlas Air'!$JA$5</f>
        <v>1</v>
      </c>
      <c r="C5" s="150">
        <f>[3]DHL!$JA$9+[3]DHL!$JA$5</f>
        <v>22</v>
      </c>
      <c r="D5" s="150">
        <f>[3]Airborne!$JA$5</f>
        <v>0</v>
      </c>
      <c r="E5" s="90">
        <f>[3]DHL_Bemidji!$JA$5</f>
        <v>40</v>
      </c>
      <c r="F5" s="90">
        <f>[3]Bemidji!$JA$5</f>
        <v>168</v>
      </c>
      <c r="G5" s="150">
        <f>[3]DHL_Encore!$JA$5</f>
        <v>0</v>
      </c>
      <c r="H5" s="150">
        <f>[3]DHL_Mesa!$JA$5</f>
        <v>0</v>
      </c>
      <c r="I5" s="150">
        <f>[3]Encore!$JA$5</f>
        <v>0</v>
      </c>
      <c r="J5" s="150">
        <f>[3]FedEx!$JA$5</f>
        <v>90</v>
      </c>
      <c r="K5" s="150">
        <f>[3]IFL!$JA$5</f>
        <v>17</v>
      </c>
      <c r="L5" s="150">
        <f>[3]DHL_Kalitta!$JA$5+[3]DHL_Kalitta!$JA$16</f>
        <v>0</v>
      </c>
      <c r="M5" s="90">
        <f>'[3]Mountain Cargo'!$JA$5</f>
        <v>23</v>
      </c>
      <c r="N5" s="150">
        <f>[3]DHL_Amerijet!$JA$5</f>
        <v>0</v>
      </c>
      <c r="O5" s="150">
        <f>[3]DHL_Swift!$JA$5</f>
        <v>0</v>
      </c>
      <c r="P5" s="150">
        <f>+'[3]Sun Country Cargo'!$JA$5+'[3]Sun Country Cargo'!$JA$9+'[3]Sun Country Cargo'!$JA$16</f>
        <v>80</v>
      </c>
      <c r="Q5" s="150">
        <f>[3]UPS!$JA$5+[3]UPS!$JA$16</f>
        <v>110</v>
      </c>
      <c r="R5" s="90">
        <f>'[3]Misc Cargo'!$JA$5</f>
        <v>0</v>
      </c>
      <c r="S5" s="360">
        <f>SUM(B5:R5)</f>
        <v>551</v>
      </c>
      <c r="U5" s="332"/>
      <c r="V5" s="332"/>
      <c r="W5" s="209"/>
    </row>
    <row r="6" spans="1:23" s="149" customFormat="1" x14ac:dyDescent="0.2">
      <c r="A6" s="153" t="s">
        <v>55</v>
      </c>
      <c r="B6" s="362">
        <f t="shared" ref="B6:R6" si="0">SUM(B4:B5)</f>
        <v>2</v>
      </c>
      <c r="C6" s="363">
        <f t="shared" si="0"/>
        <v>44</v>
      </c>
      <c r="D6" s="363">
        <f t="shared" ref="D6:E6" si="1">SUM(D4:D5)</f>
        <v>0</v>
      </c>
      <c r="E6" s="87">
        <f t="shared" si="1"/>
        <v>80</v>
      </c>
      <c r="F6" s="87">
        <f t="shared" si="0"/>
        <v>336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180</v>
      </c>
      <c r="K6" s="363">
        <f t="shared" si="0"/>
        <v>34</v>
      </c>
      <c r="L6" s="363">
        <f t="shared" si="0"/>
        <v>0</v>
      </c>
      <c r="M6" s="87">
        <f t="shared" si="0"/>
        <v>46</v>
      </c>
      <c r="N6" s="363">
        <f t="shared" si="0"/>
        <v>0</v>
      </c>
      <c r="O6" s="363">
        <f t="shared" si="0"/>
        <v>0</v>
      </c>
      <c r="P6" s="363">
        <f t="shared" si="0"/>
        <v>160</v>
      </c>
      <c r="Q6" s="363">
        <f t="shared" si="0"/>
        <v>220</v>
      </c>
      <c r="R6" s="87">
        <f t="shared" si="0"/>
        <v>0</v>
      </c>
      <c r="S6" s="360">
        <f t="shared" ref="S6:S10" si="3">SUM(B6:R6)</f>
        <v>1102</v>
      </c>
      <c r="W6" s="279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x14ac:dyDescent="0.2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Cargo'!$JA$8</f>
        <v>0</v>
      </c>
      <c r="S8" s="360">
        <f t="shared" si="3"/>
        <v>0</v>
      </c>
      <c r="U8" s="332"/>
      <c r="V8" s="332"/>
      <c r="W8" s="209"/>
    </row>
    <row r="9" spans="1:23" ht="15" x14ac:dyDescent="0.25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Cargo'!$JA$9</f>
        <v>0</v>
      </c>
      <c r="S9" s="360">
        <f t="shared" si="3"/>
        <v>0</v>
      </c>
      <c r="U9" s="332"/>
      <c r="V9" s="8"/>
      <c r="W9" s="209"/>
    </row>
    <row r="10" spans="1:23" s="149" customFormat="1" x14ac:dyDescent="0.2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 x14ac:dyDescent="0.25">
      <c r="A12" s="154" t="s">
        <v>28</v>
      </c>
      <c r="B12" s="365">
        <f t="shared" ref="B12:R12" si="7">B6+B10</f>
        <v>2</v>
      </c>
      <c r="C12" s="155">
        <f t="shared" si="7"/>
        <v>44</v>
      </c>
      <c r="D12" s="155">
        <f t="shared" ref="D12:E12" si="8">D6+D10</f>
        <v>0</v>
      </c>
      <c r="E12" s="156">
        <f t="shared" si="8"/>
        <v>80</v>
      </c>
      <c r="F12" s="156">
        <f t="shared" si="7"/>
        <v>336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180</v>
      </c>
      <c r="K12" s="155">
        <f t="shared" si="7"/>
        <v>34</v>
      </c>
      <c r="L12" s="155">
        <f t="shared" si="7"/>
        <v>0</v>
      </c>
      <c r="M12" s="156">
        <f t="shared" si="7"/>
        <v>46</v>
      </c>
      <c r="N12" s="155">
        <f t="shared" si="7"/>
        <v>0</v>
      </c>
      <c r="O12" s="155">
        <f t="shared" si="7"/>
        <v>0</v>
      </c>
      <c r="P12" s="155">
        <f t="shared" si="7"/>
        <v>160</v>
      </c>
      <c r="Q12" s="155">
        <f t="shared" si="7"/>
        <v>220</v>
      </c>
      <c r="R12" s="156">
        <f t="shared" si="7"/>
        <v>0</v>
      </c>
      <c r="S12" s="366">
        <f>SUM(B12:R12)</f>
        <v>1102</v>
      </c>
      <c r="U12" s="332"/>
      <c r="V12" s="332"/>
      <c r="W12" s="209"/>
    </row>
    <row r="13" spans="1:23" ht="18" customHeight="1" thickBot="1" x14ac:dyDescent="0.25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5" x14ac:dyDescent="0.25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 x14ac:dyDescent="0.2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 x14ac:dyDescent="0.2">
      <c r="A16" s="36" t="s">
        <v>37</v>
      </c>
      <c r="B16" s="177">
        <f>'[3]Atlas Air'!$JA$47</f>
        <v>86623</v>
      </c>
      <c r="C16" s="126">
        <f>[3]DHL!$JA$47</f>
        <v>838654</v>
      </c>
      <c r="D16" s="126">
        <f>[3]Airborne!$JA$47</f>
        <v>0</v>
      </c>
      <c r="E16" s="126">
        <f>[3]DHL_Bemidji!$JA$47</f>
        <v>45248</v>
      </c>
      <c r="F16" s="475" t="s">
        <v>86</v>
      </c>
      <c r="G16" s="126">
        <f>[3]DHL_Encore!$JA$47</f>
        <v>0</v>
      </c>
      <c r="H16" s="126">
        <f>[3]DHL_Mesa!$JA$47</f>
        <v>0</v>
      </c>
      <c r="I16" s="126">
        <f>[3]Encore!$JA$47</f>
        <v>0</v>
      </c>
      <c r="J16" s="126">
        <f>[3]FedEx!$JA$47</f>
        <v>7086459</v>
      </c>
      <c r="K16" s="126">
        <f>[3]IFL!$JA$47</f>
        <v>43351</v>
      </c>
      <c r="L16" s="126">
        <f>[3]DHL_Kalitta!$JA$47</f>
        <v>0</v>
      </c>
      <c r="M16" s="89">
        <f>'[3]Mountain Cargo'!$JA$47</f>
        <v>0</v>
      </c>
      <c r="N16" s="126">
        <f>[3]DHL_Amerijet!$JA$47</f>
        <v>0</v>
      </c>
      <c r="O16" s="126">
        <f>[3]DHL_Swift!$JA$47</f>
        <v>0</v>
      </c>
      <c r="P16" s="126">
        <f>+'[3]Sun Country Cargo'!$JA$47</f>
        <v>1828794</v>
      </c>
      <c r="Q16" s="126">
        <f>[3]UPS!$JA$47</f>
        <v>5428341</v>
      </c>
      <c r="R16" s="89">
        <f>'[3]Misc Cargo'!$JA$47</f>
        <v>0</v>
      </c>
      <c r="S16" s="360">
        <f>SUM(B16:E16)+SUM(G16:R16)</f>
        <v>15357470</v>
      </c>
      <c r="U16" s="332"/>
      <c r="V16" s="332"/>
      <c r="W16" s="209"/>
    </row>
    <row r="17" spans="1:23" x14ac:dyDescent="0.2">
      <c r="A17" s="36" t="s">
        <v>38</v>
      </c>
      <c r="B17" s="177">
        <f>'[3]Atlas Air'!$JA$48</f>
        <v>0</v>
      </c>
      <c r="C17" s="126">
        <f>[3]DHL!$JA$48</f>
        <v>0</v>
      </c>
      <c r="D17" s="126">
        <f>[3]Airborne!$JA$48</f>
        <v>0</v>
      </c>
      <c r="E17" s="126">
        <f>[3]DHL_Bemidji!$JA$48</f>
        <v>0</v>
      </c>
      <c r="F17" s="476"/>
      <c r="G17" s="126">
        <f>[3]DHL_Encore!$JA$48</f>
        <v>0</v>
      </c>
      <c r="H17" s="126">
        <f>[3]DHL_Mesa!$JA$48</f>
        <v>0</v>
      </c>
      <c r="I17" s="126">
        <f>[3]Encore!$JA$48</f>
        <v>0</v>
      </c>
      <c r="J17" s="126">
        <f>[3]FedEx!$JA$48</f>
        <v>0</v>
      </c>
      <c r="K17" s="126">
        <f>[3]IFL!$JA$48</f>
        <v>0</v>
      </c>
      <c r="L17" s="126">
        <f>[3]DHL_Kalitta!$JA$48</f>
        <v>0</v>
      </c>
      <c r="M17" s="89">
        <f>'[3]Mountain Cargo'!$JA$48</f>
        <v>53499</v>
      </c>
      <c r="N17" s="126">
        <f>[3]DHL_Amerijet!$JA$48</f>
        <v>0</v>
      </c>
      <c r="O17" s="126">
        <f>[3]DHL_Swift!$JA$48</f>
        <v>0</v>
      </c>
      <c r="P17" s="126">
        <f>+'[3]Sun Country Cargo'!$JA$48</f>
        <v>0</v>
      </c>
      <c r="Q17" s="126">
        <f>[3]UPS!$JA$48</f>
        <v>999693</v>
      </c>
      <c r="R17" s="89">
        <f>'[3]Misc Cargo'!$JA$48</f>
        <v>0</v>
      </c>
      <c r="S17" s="360">
        <f>SUM(B17:E17)+SUM(G17:R17)</f>
        <v>1053192</v>
      </c>
      <c r="U17" s="332"/>
      <c r="V17" s="332"/>
      <c r="W17" s="209"/>
    </row>
    <row r="18" spans="1:23" ht="18" customHeight="1" x14ac:dyDescent="0.2">
      <c r="A18" s="160" t="s">
        <v>39</v>
      </c>
      <c r="B18" s="371">
        <f>SUM(B16:B17)</f>
        <v>86623</v>
      </c>
      <c r="C18" s="215">
        <f>SUM(C16:C17)</f>
        <v>838654</v>
      </c>
      <c r="D18" s="215">
        <f>SUM(D16:D17)</f>
        <v>0</v>
      </c>
      <c r="E18" s="215">
        <f>SUM(E16:E17)</f>
        <v>45248</v>
      </c>
      <c r="F18" s="476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7086459</v>
      </c>
      <c r="K18" s="215">
        <f>SUM(K16:K17)</f>
        <v>43351</v>
      </c>
      <c r="L18" s="215">
        <f t="shared" ref="L18:R18" si="10">SUM(L16:L17)</f>
        <v>0</v>
      </c>
      <c r="M18" s="216">
        <f t="shared" si="10"/>
        <v>53499</v>
      </c>
      <c r="N18" s="215">
        <f t="shared" si="10"/>
        <v>0</v>
      </c>
      <c r="O18" s="215">
        <f t="shared" si="10"/>
        <v>0</v>
      </c>
      <c r="P18" s="215">
        <f t="shared" si="10"/>
        <v>1828794</v>
      </c>
      <c r="Q18" s="215">
        <f t="shared" si="10"/>
        <v>6428034</v>
      </c>
      <c r="R18" s="216">
        <f t="shared" si="10"/>
        <v>0</v>
      </c>
      <c r="S18" s="372">
        <f>SUM(B18:D18)+SUM(G18:R18)</f>
        <v>16365414</v>
      </c>
      <c r="U18" s="332"/>
      <c r="V18" s="332"/>
      <c r="W18" s="209"/>
    </row>
    <row r="19" spans="1:23" x14ac:dyDescent="0.2">
      <c r="A19" s="36"/>
      <c r="B19" s="177"/>
      <c r="C19" s="126"/>
      <c r="D19" s="126"/>
      <c r="E19" s="126"/>
      <c r="F19" s="476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x14ac:dyDescent="0.2">
      <c r="A20" s="159" t="s">
        <v>87</v>
      </c>
      <c r="B20" s="177"/>
      <c r="C20" s="126"/>
      <c r="D20" s="126"/>
      <c r="E20" s="126"/>
      <c r="F20" s="476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x14ac:dyDescent="0.2">
      <c r="A21" s="36" t="s">
        <v>59</v>
      </c>
      <c r="B21" s="177">
        <f>'[3]Atlas Air'!$JA$52</f>
        <v>44019</v>
      </c>
      <c r="C21" s="126">
        <f>[3]DHL!$JA$52</f>
        <v>595533</v>
      </c>
      <c r="D21" s="126">
        <f>[3]Airborne!$JA$52</f>
        <v>0</v>
      </c>
      <c r="E21" s="126">
        <f>[3]DHL_Bemidji!$JA$52</f>
        <v>41143</v>
      </c>
      <c r="F21" s="476"/>
      <c r="G21" s="126">
        <f>[3]DHL_Encore!$JA$52</f>
        <v>0</v>
      </c>
      <c r="H21" s="126">
        <f>[3]DHL_Mesa!$JA$52</f>
        <v>0</v>
      </c>
      <c r="I21" s="126">
        <f>[3]Encore!$JA$52</f>
        <v>0</v>
      </c>
      <c r="J21" s="126">
        <f>[3]FedEx!$JA$52</f>
        <v>6335804</v>
      </c>
      <c r="K21" s="126">
        <f>[3]IFL!$JA$52</f>
        <v>0</v>
      </c>
      <c r="L21" s="126">
        <f>[3]DHL_Kalitta!$JA$52</f>
        <v>0</v>
      </c>
      <c r="M21" s="89">
        <f>'[3]Mountain Cargo'!$JA$52</f>
        <v>0</v>
      </c>
      <c r="N21" s="126">
        <f>[3]DHL_Amerijet!$JA$52</f>
        <v>0</v>
      </c>
      <c r="O21" s="126">
        <f>[3]DHL_Swift!$JA$52</f>
        <v>0</v>
      </c>
      <c r="P21" s="126">
        <f>+'[3]Sun Country Cargo'!$JA$52</f>
        <v>1731271</v>
      </c>
      <c r="Q21" s="126">
        <f>[3]UPS!$JA$52</f>
        <v>4026042</v>
      </c>
      <c r="R21" s="89">
        <f>'[3]Misc Cargo'!$JA$52</f>
        <v>0</v>
      </c>
      <c r="S21" s="360">
        <f>SUM(B21:E21)+SUM(G21:R21)</f>
        <v>12773812</v>
      </c>
      <c r="U21" s="332"/>
      <c r="V21" s="332"/>
      <c r="W21" s="209"/>
    </row>
    <row r="22" spans="1:23" x14ac:dyDescent="0.2">
      <c r="A22" s="36" t="s">
        <v>60</v>
      </c>
      <c r="B22" s="177">
        <f>'[3]Atlas Air'!$JA$53</f>
        <v>0</v>
      </c>
      <c r="C22" s="126">
        <f>[3]DHL!$JA$53</f>
        <v>0</v>
      </c>
      <c r="D22" s="126">
        <f>[3]Airborne!$JA$53</f>
        <v>0</v>
      </c>
      <c r="E22" s="126">
        <f>[3]DHL_Bemidji!$JA$53</f>
        <v>0</v>
      </c>
      <c r="F22" s="476"/>
      <c r="G22" s="126">
        <f>[3]DHL_Encore!$JA$53</f>
        <v>0</v>
      </c>
      <c r="H22" s="126">
        <f>[3]DHL_Mesa!$JA$53</f>
        <v>0</v>
      </c>
      <c r="I22" s="126">
        <f>[3]Encore!$JA$53</f>
        <v>0</v>
      </c>
      <c r="J22" s="126">
        <f>[3]FedEx!$JA$53</f>
        <v>0</v>
      </c>
      <c r="K22" s="126">
        <f>[3]IFL!$JA$53</f>
        <v>0</v>
      </c>
      <c r="L22" s="126">
        <f>[3]DHL_Kalitta!$JA$53</f>
        <v>0</v>
      </c>
      <c r="M22" s="89">
        <f>'[3]Mountain Cargo'!$JA$53</f>
        <v>121128</v>
      </c>
      <c r="N22" s="126">
        <f>[3]DHL_Amerijet!$JA$53</f>
        <v>0</v>
      </c>
      <c r="O22" s="126">
        <f>[3]DHL_Swift!$JA$53</f>
        <v>0</v>
      </c>
      <c r="P22" s="126">
        <f>+'[3]Sun Country Cargo'!$JA$53</f>
        <v>0</v>
      </c>
      <c r="Q22" s="126">
        <f>[3]UPS!$JA$53</f>
        <v>714152</v>
      </c>
      <c r="R22" s="89">
        <f>'[3]Misc Cargo'!$JA$53</f>
        <v>0</v>
      </c>
      <c r="S22" s="360">
        <f>SUM(B22:E22)+SUM(G22:R22)</f>
        <v>835280</v>
      </c>
      <c r="U22" s="332"/>
      <c r="V22" s="332"/>
      <c r="W22" s="209"/>
    </row>
    <row r="23" spans="1:23" ht="18" customHeight="1" x14ac:dyDescent="0.2">
      <c r="A23" s="160" t="s">
        <v>41</v>
      </c>
      <c r="B23" s="371">
        <f>SUM(B21:B22)</f>
        <v>44019</v>
      </c>
      <c r="C23" s="215">
        <f>SUM(C21:C22)</f>
        <v>595533</v>
      </c>
      <c r="D23" s="215">
        <f t="shared" ref="D23:E23" si="11">SUM(D21:D22)</f>
        <v>0</v>
      </c>
      <c r="E23" s="215">
        <f t="shared" si="11"/>
        <v>41143</v>
      </c>
      <c r="F23" s="476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6335804</v>
      </c>
      <c r="K23" s="215">
        <f t="shared" si="12"/>
        <v>0</v>
      </c>
      <c r="L23" s="215">
        <f t="shared" si="12"/>
        <v>0</v>
      </c>
      <c r="M23" s="216">
        <f t="shared" si="12"/>
        <v>121128</v>
      </c>
      <c r="N23" s="215">
        <f t="shared" si="12"/>
        <v>0</v>
      </c>
      <c r="O23" s="215">
        <f t="shared" si="12"/>
        <v>0</v>
      </c>
      <c r="P23" s="215">
        <f t="shared" si="12"/>
        <v>1731271</v>
      </c>
      <c r="Q23" s="215">
        <f t="shared" si="12"/>
        <v>4740194</v>
      </c>
      <c r="R23" s="216">
        <f t="shared" si="12"/>
        <v>0</v>
      </c>
      <c r="S23" s="372">
        <f>SUM(B23:D23)+SUM(G23:R23)</f>
        <v>13567949</v>
      </c>
      <c r="U23" s="332"/>
      <c r="V23" s="332"/>
      <c r="W23" s="209"/>
    </row>
    <row r="24" spans="1:23" x14ac:dyDescent="0.2">
      <c r="A24" s="36"/>
      <c r="B24" s="177"/>
      <c r="C24" s="126"/>
      <c r="D24" s="126"/>
      <c r="E24" s="126"/>
      <c r="F24" s="476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x14ac:dyDescent="0.2">
      <c r="A25" s="159" t="s">
        <v>94</v>
      </c>
      <c r="B25" s="177"/>
      <c r="C25" s="126"/>
      <c r="D25" s="126"/>
      <c r="E25" s="126"/>
      <c r="F25" s="476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x14ac:dyDescent="0.2">
      <c r="A26" s="36" t="s">
        <v>59</v>
      </c>
      <c r="B26" s="177">
        <f>'[3]Atlas Air'!$JA$57</f>
        <v>0</v>
      </c>
      <c r="C26" s="126">
        <f>[3]DHL!$JA$57</f>
        <v>0</v>
      </c>
      <c r="D26" s="126">
        <f>[3]Airborne!$JA$57</f>
        <v>0</v>
      </c>
      <c r="E26" s="126">
        <f>[3]DHL_Bemidji!$JA$57</f>
        <v>0</v>
      </c>
      <c r="F26" s="476"/>
      <c r="G26" s="126">
        <f>[3]DHL_Encore!$JA$57</f>
        <v>0</v>
      </c>
      <c r="H26" s="126">
        <f>[3]DHL_Mesa!$JA$57</f>
        <v>0</v>
      </c>
      <c r="I26" s="126">
        <f>[3]Encore!$JA$57</f>
        <v>0</v>
      </c>
      <c r="J26" s="126">
        <f>[3]FedEx!$JA$57</f>
        <v>0</v>
      </c>
      <c r="K26" s="126">
        <f>[3]IFL!$JA$57</f>
        <v>0</v>
      </c>
      <c r="L26" s="126">
        <f>[3]DHL_Kalitta!$JA$57</f>
        <v>0</v>
      </c>
      <c r="M26" s="89">
        <f>'[3]Mountain Cargo'!$JA$57</f>
        <v>0</v>
      </c>
      <c r="N26" s="126">
        <f>[3]DHL_Amerijet!$JA$57</f>
        <v>0</v>
      </c>
      <c r="O26" s="126">
        <f>[3]DHL_Swift!$JA$57</f>
        <v>0</v>
      </c>
      <c r="P26" s="126">
        <f>+'[3]Sun Country Cargo'!$JA$57</f>
        <v>0</v>
      </c>
      <c r="Q26" s="126">
        <f>[3]UPS!$JA$57</f>
        <v>0</v>
      </c>
      <c r="R26" s="89">
        <f>'[3]Misc Cargo'!$JA$57</f>
        <v>0</v>
      </c>
      <c r="S26" s="360">
        <f>SUM(B26:D26)+SUM(G26:R26)</f>
        <v>0</v>
      </c>
      <c r="U26" s="332"/>
      <c r="V26" s="332"/>
      <c r="W26" s="332"/>
    </row>
    <row r="27" spans="1:23" x14ac:dyDescent="0.2">
      <c r="A27" s="36" t="s">
        <v>60</v>
      </c>
      <c r="B27" s="177">
        <f>'[3]Atlas Air'!$JA$58</f>
        <v>0</v>
      </c>
      <c r="C27" s="126">
        <f>[3]DHL!$JA$58</f>
        <v>0</v>
      </c>
      <c r="D27" s="126">
        <f>[3]Airborne!$JA$58</f>
        <v>0</v>
      </c>
      <c r="E27" s="126">
        <f>[3]DHL_Bemidji!$JA$58</f>
        <v>0</v>
      </c>
      <c r="F27" s="476"/>
      <c r="G27" s="126">
        <f>[3]DHL_Encore!$JA$58</f>
        <v>0</v>
      </c>
      <c r="H27" s="126">
        <f>[3]DHL_Mesa!$JA$58</f>
        <v>0</v>
      </c>
      <c r="I27" s="126">
        <f>[3]Encore!$JA$58</f>
        <v>0</v>
      </c>
      <c r="J27" s="126">
        <f>[3]FedEx!$JA$58</f>
        <v>0</v>
      </c>
      <c r="K27" s="126">
        <f>[3]IFL!$JA$58</f>
        <v>0</v>
      </c>
      <c r="L27" s="126">
        <f>[3]DHL_Kalitta!$JA$58</f>
        <v>0</v>
      </c>
      <c r="M27" s="89">
        <f>'[3]Mountain Cargo'!$JA$58</f>
        <v>0</v>
      </c>
      <c r="N27" s="126">
        <f>[3]DHL_Amerijet!$JA$58</f>
        <v>0</v>
      </c>
      <c r="O27" s="126">
        <f>[3]DHL_Swift!$JA$58</f>
        <v>0</v>
      </c>
      <c r="P27" s="126">
        <f>+'[3]Sun Country Cargo'!$JA$58</f>
        <v>0</v>
      </c>
      <c r="Q27" s="126">
        <f>[3]UPS!$JA$58</f>
        <v>0</v>
      </c>
      <c r="R27" s="89">
        <f>'[3]Misc Cargo'!$JA$58</f>
        <v>0</v>
      </c>
      <c r="S27" s="360">
        <f>SUM(B27:D27)+SUM(G27:R27)</f>
        <v>0</v>
      </c>
      <c r="U27" s="332"/>
      <c r="V27" s="332"/>
      <c r="W27" s="209"/>
    </row>
    <row r="28" spans="1:23" ht="18" customHeight="1" x14ac:dyDescent="0.2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6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x14ac:dyDescent="0.2">
      <c r="A29" s="36"/>
      <c r="B29" s="177"/>
      <c r="C29" s="126"/>
      <c r="D29" s="126"/>
      <c r="E29" s="126"/>
      <c r="F29" s="476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x14ac:dyDescent="0.2">
      <c r="A30" s="161" t="s">
        <v>44</v>
      </c>
      <c r="B30" s="177"/>
      <c r="C30" s="126"/>
      <c r="D30" s="126"/>
      <c r="E30" s="126"/>
      <c r="F30" s="476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x14ac:dyDescent="0.2">
      <c r="A31" s="36" t="s">
        <v>88</v>
      </c>
      <c r="B31" s="177">
        <f>B26+B21+B16</f>
        <v>130642</v>
      </c>
      <c r="C31" s="126">
        <f t="shared" ref="C31:R33" si="17">C26+C21+C16</f>
        <v>1434187</v>
      </c>
      <c r="D31" s="126">
        <f t="shared" si="17"/>
        <v>0</v>
      </c>
      <c r="E31" s="126">
        <f t="shared" si="17"/>
        <v>86391</v>
      </c>
      <c r="F31" s="476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13422263</v>
      </c>
      <c r="K31" s="126">
        <f t="shared" si="18"/>
        <v>43351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3560065</v>
      </c>
      <c r="Q31" s="126">
        <f t="shared" si="17"/>
        <v>9454383</v>
      </c>
      <c r="R31" s="89">
        <f>R26+R21+R16</f>
        <v>0</v>
      </c>
      <c r="S31" s="360">
        <f>SUM(B31:E31)+SUM(G31:R31)</f>
        <v>28131282</v>
      </c>
    </row>
    <row r="32" spans="1:23" x14ac:dyDescent="0.2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7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174627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1713845</v>
      </c>
      <c r="R32" s="89">
        <f>R27+R22+R17</f>
        <v>0</v>
      </c>
      <c r="S32" s="360">
        <f>SUM(B32:E32)+SUM(G32:R32)</f>
        <v>1888472</v>
      </c>
    </row>
    <row r="33" spans="1:19" ht="18" customHeight="1" thickBot="1" x14ac:dyDescent="0.25">
      <c r="A33" s="154" t="s">
        <v>46</v>
      </c>
      <c r="B33" s="365">
        <f>B28+B23+B18</f>
        <v>130642</v>
      </c>
      <c r="C33" s="155">
        <f t="shared" ref="C33:I33" si="21">C28+C23+C18</f>
        <v>1434187</v>
      </c>
      <c r="D33" s="155">
        <f t="shared" si="21"/>
        <v>0</v>
      </c>
      <c r="E33" s="155">
        <f t="shared" si="21"/>
        <v>86391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13422263</v>
      </c>
      <c r="K33" s="155">
        <f t="shared" si="18"/>
        <v>43351</v>
      </c>
      <c r="L33" s="155">
        <f t="shared" si="18"/>
        <v>0</v>
      </c>
      <c r="M33" s="156">
        <f>M28+M23+M18</f>
        <v>174627</v>
      </c>
      <c r="N33" s="155">
        <f t="shared" si="18"/>
        <v>0</v>
      </c>
      <c r="O33" s="155">
        <f t="shared" si="18"/>
        <v>0</v>
      </c>
      <c r="P33" s="155">
        <f t="shared" si="17"/>
        <v>3560065</v>
      </c>
      <c r="Q33" s="155">
        <f t="shared" si="17"/>
        <v>11168228</v>
      </c>
      <c r="R33" s="156">
        <f t="shared" si="17"/>
        <v>0</v>
      </c>
      <c r="S33" s="366">
        <f>SUM(B33:E33)+SUM(G33:R33)</f>
        <v>30019754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August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I20" sqref="I2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83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 x14ac:dyDescent="0.25">
      <c r="A2" s="388">
        <v>45505</v>
      </c>
      <c r="B2" s="55" t="s">
        <v>210</v>
      </c>
      <c r="C2" s="55" t="s">
        <v>63</v>
      </c>
      <c r="D2" s="55" t="s">
        <v>64</v>
      </c>
      <c r="E2" s="228" t="s">
        <v>74</v>
      </c>
      <c r="F2" s="56" t="s">
        <v>240</v>
      </c>
      <c r="G2" s="56" t="s">
        <v>224</v>
      </c>
      <c r="H2" s="57" t="s">
        <v>65</v>
      </c>
      <c r="I2" s="58" t="s">
        <v>237</v>
      </c>
      <c r="J2" s="58" t="s">
        <v>218</v>
      </c>
      <c r="K2" s="67" t="s">
        <v>2</v>
      </c>
      <c r="M2" s="393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68</v>
      </c>
      <c r="B5" s="133">
        <f>'Major Airline Stats'!L28</f>
        <v>4832100</v>
      </c>
      <c r="C5" s="89">
        <f>'Regional Major'!M25</f>
        <v>3596.4</v>
      </c>
      <c r="D5" s="89">
        <f>Cargo!S16</f>
        <v>15357470</v>
      </c>
      <c r="E5" s="89">
        <f>SUM(B5:D5)</f>
        <v>20193166.399999999</v>
      </c>
      <c r="F5" s="89">
        <f>E5*0.00045359237</f>
        <v>9159.466205180368</v>
      </c>
      <c r="G5" s="89">
        <f>'[1]Cargo Summary'!F5</f>
        <v>9468.4471134088981</v>
      </c>
      <c r="H5" s="73">
        <f>(F5-G5)/G5</f>
        <v>-3.2632690928902343E-2</v>
      </c>
      <c r="I5" s="89">
        <f>+F5+'[2]Cargo Summary'!I5</f>
        <v>70197.228208708606</v>
      </c>
      <c r="J5" s="89">
        <f>+'[1]Cargo Summary'!I5</f>
        <v>68911.512289843988</v>
      </c>
      <c r="K5" s="63">
        <f>(I5-J5)/J5</f>
        <v>1.8657490978529926E-2</v>
      </c>
      <c r="M5" s="12"/>
      <c r="O5" s="392"/>
    </row>
    <row r="6" spans="1:18" x14ac:dyDescent="0.2">
      <c r="A6" s="43" t="s">
        <v>16</v>
      </c>
      <c r="B6" s="133">
        <f>'Major Airline Stats'!L29</f>
        <v>71551</v>
      </c>
      <c r="C6" s="89">
        <f>'Regional Major'!M26</f>
        <v>0</v>
      </c>
      <c r="D6" s="89">
        <f>Cargo!S17</f>
        <v>1053192</v>
      </c>
      <c r="E6" s="89">
        <f>SUM(B6:D6)</f>
        <v>1124743</v>
      </c>
      <c r="F6" s="89">
        <f>E6*0.00045359237</f>
        <v>510.17484301090997</v>
      </c>
      <c r="G6" s="89">
        <f>'[1]Cargo Summary'!F6</f>
        <v>205.44468495935999</v>
      </c>
      <c r="H6" s="3">
        <f>(F6-G6)/G6</f>
        <v>1.4832710717818285</v>
      </c>
      <c r="I6" s="89">
        <f>+F6+'[2]Cargo Summary'!I6</f>
        <v>1995.1323897381799</v>
      </c>
      <c r="J6" s="89">
        <f>+'[1]Cargo Summary'!I6</f>
        <v>3981.1321506987802</v>
      </c>
      <c r="K6" s="63">
        <f>(I6-J6)/J6</f>
        <v>-0.49885301109937075</v>
      </c>
      <c r="M6" s="12"/>
    </row>
    <row r="7" spans="1:18" ht="18" customHeight="1" thickBot="1" x14ac:dyDescent="0.25">
      <c r="A7" s="52" t="s">
        <v>71</v>
      </c>
      <c r="B7" s="135">
        <f>SUM(B5:B6)</f>
        <v>4903651</v>
      </c>
      <c r="C7" s="99">
        <f t="shared" ref="C7:J7" si="0">SUM(C5:C6)</f>
        <v>3596.4</v>
      </c>
      <c r="D7" s="99">
        <f t="shared" si="0"/>
        <v>16410662</v>
      </c>
      <c r="E7" s="99">
        <f t="shared" si="0"/>
        <v>21317909.399999999</v>
      </c>
      <c r="F7" s="99">
        <f t="shared" si="0"/>
        <v>9669.6410481912772</v>
      </c>
      <c r="G7" s="99">
        <f t="shared" si="0"/>
        <v>9673.8917983682586</v>
      </c>
      <c r="H7" s="27">
        <f>(F7-G7)/G7</f>
        <v>-4.3940435406755838E-4</v>
      </c>
      <c r="I7" s="99">
        <f t="shared" si="0"/>
        <v>72192.360598446787</v>
      </c>
      <c r="J7" s="99">
        <f t="shared" si="0"/>
        <v>72892.644440542761</v>
      </c>
      <c r="K7" s="230">
        <f>(I7-J7)/J7</f>
        <v>-9.6070577144060591E-3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68</v>
      </c>
      <c r="B10" s="133">
        <f>'Major Airline Stats'!L33</f>
        <v>2537986</v>
      </c>
      <c r="C10" s="89">
        <f>'Regional Major'!M30</f>
        <v>1147.4000000000001</v>
      </c>
      <c r="D10" s="89">
        <f>Cargo!S21</f>
        <v>12773812</v>
      </c>
      <c r="E10" s="89">
        <f>SUM(B10:D10)</f>
        <v>15312945.4</v>
      </c>
      <c r="F10" s="89">
        <f>E10*0.00045359237</f>
        <v>6945.8351956665983</v>
      </c>
      <c r="G10" s="89">
        <f>'[1]Cargo Summary'!F10</f>
        <v>6842.1236589464215</v>
      </c>
      <c r="H10" s="3">
        <f>(F10-G10)/G10</f>
        <v>1.5157799228689582E-2</v>
      </c>
      <c r="I10" s="89">
        <f>+F10+'[2]Cargo Summary'!I10</f>
        <v>53946.868153908501</v>
      </c>
      <c r="J10" s="89">
        <f>+'[1]Cargo Summary'!I10</f>
        <v>56466.584378784042</v>
      </c>
      <c r="K10" s="63">
        <f>(I10-J10)/J10</f>
        <v>-4.4623138668579782E-2</v>
      </c>
      <c r="M10" s="12"/>
      <c r="O10" s="392"/>
    </row>
    <row r="11" spans="1:18" x14ac:dyDescent="0.2">
      <c r="A11" s="43" t="s">
        <v>16</v>
      </c>
      <c r="B11" s="133">
        <f>'Major Airline Stats'!L34</f>
        <v>67545</v>
      </c>
      <c r="C11" s="89">
        <f>'Regional Major'!M31</f>
        <v>0</v>
      </c>
      <c r="D11" s="89">
        <f>Cargo!S22</f>
        <v>835280</v>
      </c>
      <c r="E11" s="89">
        <f>SUM(B11:D11)</f>
        <v>902825</v>
      </c>
      <c r="F11" s="89">
        <f>E11*0.00045359237</f>
        <v>409.51453144524999</v>
      </c>
      <c r="G11" s="89">
        <f>'[1]Cargo Summary'!F11</f>
        <v>212.34382490706</v>
      </c>
      <c r="H11" s="24">
        <f>(F11-G11)/G11</f>
        <v>0.92854457446308558</v>
      </c>
      <c r="I11" s="89">
        <f>+F11+'[2]Cargo Summary'!I11</f>
        <v>1536.6298823329298</v>
      </c>
      <c r="J11" s="89">
        <f>+'[1]Cargo Summary'!I11</f>
        <v>3715.1315235673096</v>
      </c>
      <c r="K11" s="63">
        <f>(I11-J11)/J11</f>
        <v>-0.58638614202884498</v>
      </c>
      <c r="M11" s="12"/>
    </row>
    <row r="12" spans="1:18" ht="18" customHeight="1" thickBot="1" x14ac:dyDescent="0.25">
      <c r="A12" s="52" t="s">
        <v>72</v>
      </c>
      <c r="B12" s="135">
        <f>SUM(B10:B11)</f>
        <v>2605531</v>
      </c>
      <c r="C12" s="99">
        <f t="shared" ref="C12:J12" si="1">SUM(C10:C11)</f>
        <v>1147.4000000000001</v>
      </c>
      <c r="D12" s="99">
        <f t="shared" si="1"/>
        <v>13609092</v>
      </c>
      <c r="E12" s="99">
        <f t="shared" si="1"/>
        <v>16215770.4</v>
      </c>
      <c r="F12" s="99">
        <f t="shared" si="1"/>
        <v>7355.3497271118486</v>
      </c>
      <c r="G12" s="99">
        <f t="shared" si="1"/>
        <v>7054.4674838534811</v>
      </c>
      <c r="H12" s="27">
        <f>(F12-G12)/G12</f>
        <v>4.2651304857104742E-2</v>
      </c>
      <c r="I12" s="99">
        <f>SUM(I10:I11)</f>
        <v>55483.498036241428</v>
      </c>
      <c r="J12" s="99">
        <f t="shared" si="1"/>
        <v>60181.715902351352</v>
      </c>
      <c r="K12" s="230">
        <f>(I12-J12)/J12</f>
        <v>-7.8067196916303955E-2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68</v>
      </c>
      <c r="B15" s="133">
        <f>'Major Airline Stats'!L38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 x14ac:dyDescent="0.2">
      <c r="A16" s="43" t="s">
        <v>16</v>
      </c>
      <c r="B16" s="133">
        <f>'Major Airline Stats'!L39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 x14ac:dyDescent="0.25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68</v>
      </c>
      <c r="B20" s="133">
        <f t="shared" ref="B20:D21" si="3">B15+B10+B5</f>
        <v>7370086</v>
      </c>
      <c r="C20" s="89">
        <f>C15+C10+C5</f>
        <v>4743.8</v>
      </c>
      <c r="D20" s="89">
        <f t="shared" si="3"/>
        <v>28131282</v>
      </c>
      <c r="E20" s="89">
        <f>SUM(B20:D20)</f>
        <v>35506111.799999997</v>
      </c>
      <c r="F20" s="89">
        <f>E20*0.00045359237</f>
        <v>16105.301400846964</v>
      </c>
      <c r="G20" s="89">
        <f>'[1]Cargo Summary'!F20</f>
        <v>16310.570772355319</v>
      </c>
      <c r="H20" s="3">
        <f>(F20-G20)/G20</f>
        <v>-1.2585051398462698E-2</v>
      </c>
      <c r="I20" s="89">
        <f>+F20+'[14]Cargo Summary'!I20</f>
        <v>108651.38292880618</v>
      </c>
      <c r="J20" s="89">
        <f>+'[1]Cargo Summary'!I20</f>
        <v>125378.09666862803</v>
      </c>
      <c r="K20" s="63">
        <f>(I20-J20)/J20</f>
        <v>-0.13341017437862562</v>
      </c>
      <c r="M20" s="12"/>
    </row>
    <row r="21" spans="1:13" x14ac:dyDescent="0.2">
      <c r="A21" s="43" t="s">
        <v>16</v>
      </c>
      <c r="B21" s="133">
        <f t="shared" si="3"/>
        <v>139096</v>
      </c>
      <c r="C21" s="90">
        <f t="shared" si="3"/>
        <v>0</v>
      </c>
      <c r="D21" s="90">
        <f t="shared" si="3"/>
        <v>1888472</v>
      </c>
      <c r="E21" s="89">
        <f>SUM(B21:D21)</f>
        <v>2027568</v>
      </c>
      <c r="F21" s="89">
        <f>E21*0.00045359237</f>
        <v>919.68937445615995</v>
      </c>
      <c r="G21" s="89">
        <f>'[1]Cargo Summary'!F21</f>
        <v>417.78850986641999</v>
      </c>
      <c r="H21" s="3">
        <f>(F21-G21)/G21</f>
        <v>1.2013275921595195</v>
      </c>
      <c r="I21" s="89">
        <f>+F21+'[14]Cargo Summary'!I21</f>
        <v>2955.2363907689696</v>
      </c>
      <c r="J21" s="89">
        <f>+'[1]Cargo Summary'!I21</f>
        <v>7696.2636742660907</v>
      </c>
      <c r="K21" s="63">
        <f>(I21-J21)/J21</f>
        <v>-0.61601674320873911</v>
      </c>
      <c r="M21" s="12"/>
    </row>
    <row r="22" spans="1:13" ht="18" customHeight="1" thickBot="1" x14ac:dyDescent="0.25">
      <c r="A22" s="65" t="s">
        <v>62</v>
      </c>
      <c r="B22" s="136">
        <f>SUM(B20:B21)</f>
        <v>7509182</v>
      </c>
      <c r="C22" s="137">
        <f t="shared" ref="C22:J22" si="4">SUM(C20:C21)</f>
        <v>4743.8</v>
      </c>
      <c r="D22" s="137">
        <f t="shared" si="4"/>
        <v>30019754</v>
      </c>
      <c r="E22" s="137">
        <f t="shared" si="4"/>
        <v>37533679.799999997</v>
      </c>
      <c r="F22" s="137">
        <f t="shared" si="4"/>
        <v>17024.990775303122</v>
      </c>
      <c r="G22" s="137">
        <f t="shared" si="4"/>
        <v>16728.35928222174</v>
      </c>
      <c r="H22" s="236">
        <f>(F22-G22)/G22</f>
        <v>1.7732252642172205E-2</v>
      </c>
      <c r="I22" s="137">
        <f>SUM(I20:I21)</f>
        <v>111606.61931957515</v>
      </c>
      <c r="J22" s="137">
        <f t="shared" si="4"/>
        <v>133074.36034289413</v>
      </c>
      <c r="K22" s="237">
        <f>(I22-J22)/J22</f>
        <v>-0.16132139179931293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August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D15" sqref="D15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25" thickBot="1" x14ac:dyDescent="0.25">
      <c r="A2" s="484" t="s">
        <v>182</v>
      </c>
      <c r="B2" s="485"/>
      <c r="C2" s="328" t="s">
        <v>241</v>
      </c>
      <c r="D2" s="329" t="s">
        <v>219</v>
      </c>
      <c r="E2" s="386" t="s">
        <v>95</v>
      </c>
      <c r="F2" s="331" t="s">
        <v>242</v>
      </c>
      <c r="G2" s="329" t="s">
        <v>220</v>
      </c>
      <c r="H2" s="387" t="s">
        <v>96</v>
      </c>
      <c r="I2" s="330" t="s">
        <v>135</v>
      </c>
      <c r="J2" s="484" t="s">
        <v>178</v>
      </c>
      <c r="K2" s="485"/>
      <c r="L2" s="328" t="s">
        <v>243</v>
      </c>
      <c r="M2" s="329" t="s">
        <v>228</v>
      </c>
      <c r="N2" s="386" t="s">
        <v>95</v>
      </c>
      <c r="O2" s="331" t="s">
        <v>244</v>
      </c>
      <c r="P2" s="329" t="s">
        <v>229</v>
      </c>
      <c r="Q2" s="387" t="s">
        <v>96</v>
      </c>
      <c r="R2" s="330" t="s">
        <v>135</v>
      </c>
      <c r="T2" s="384"/>
    </row>
    <row r="3" spans="1:20" s="9" customFormat="1" ht="13.5" customHeight="1" thickBot="1" x14ac:dyDescent="0.25">
      <c r="A3" s="486">
        <v>45505</v>
      </c>
      <c r="B3" s="487"/>
      <c r="C3" s="488" t="s">
        <v>9</v>
      </c>
      <c r="D3" s="489"/>
      <c r="E3" s="489"/>
      <c r="F3" s="489"/>
      <c r="G3" s="489"/>
      <c r="H3" s="490"/>
      <c r="I3" s="357"/>
      <c r="J3" s="486">
        <f>+A3</f>
        <v>45505</v>
      </c>
      <c r="K3" s="487"/>
      <c r="L3" s="481" t="s">
        <v>179</v>
      </c>
      <c r="M3" s="482"/>
      <c r="N3" s="482"/>
      <c r="O3" s="482"/>
      <c r="P3" s="482"/>
      <c r="Q3" s="482"/>
      <c r="R3" s="483"/>
      <c r="T3" s="384"/>
    </row>
    <row r="4" spans="1:20" x14ac:dyDescent="0.2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" customHeight="1" x14ac:dyDescent="0.2">
      <c r="A5" s="250" t="s">
        <v>200</v>
      </c>
      <c r="B5" s="37"/>
      <c r="C5" s="374">
        <f>SUM(C6:C7)</f>
        <v>162</v>
      </c>
      <c r="D5" s="374">
        <f>SUM(D6:D7)</f>
        <v>186</v>
      </c>
      <c r="E5" s="375">
        <f>(C5-D5)/D5</f>
        <v>-0.12903225806451613</v>
      </c>
      <c r="F5" s="374">
        <f>SUM(F6:F7)</f>
        <v>1620</v>
      </c>
      <c r="G5" s="374">
        <f>SUM(G6:G7)</f>
        <v>1410</v>
      </c>
      <c r="H5" s="376">
        <f>(F5-G5)/G5</f>
        <v>0.14893617021276595</v>
      </c>
      <c r="I5" s="375">
        <f>+F5/$F$34</f>
        <v>0.18453126779815468</v>
      </c>
      <c r="J5" s="250" t="s">
        <v>200</v>
      </c>
      <c r="K5" s="37"/>
      <c r="L5" s="374">
        <f>SUM(L6:L7)</f>
        <v>3690707</v>
      </c>
      <c r="M5" s="374">
        <f>SUM(M6:M7)</f>
        <v>5043831</v>
      </c>
      <c r="N5" s="375">
        <f>(L5-M5)/M5</f>
        <v>-0.26827306466057249</v>
      </c>
      <c r="O5" s="374">
        <f>SUM(O6:O7)</f>
        <v>36904508</v>
      </c>
      <c r="P5" s="374">
        <f>SUM(P6:P7)</f>
        <v>42021016</v>
      </c>
      <c r="Q5" s="376">
        <f>(O5-P5)/P5</f>
        <v>-0.12176069231643519</v>
      </c>
      <c r="R5" s="375">
        <f>O5/$O$34</f>
        <v>0.1618149295719685</v>
      </c>
      <c r="T5" s="383"/>
    </row>
    <row r="6" spans="1:20" ht="14.1" customHeight="1" x14ac:dyDescent="0.2">
      <c r="A6" s="36"/>
      <c r="B6" s="310" t="s">
        <v>201</v>
      </c>
      <c r="C6" s="314">
        <f>+'[3]Atlas Air'!$JA$19</f>
        <v>2</v>
      </c>
      <c r="D6" s="209">
        <f>+'[3]Atlas Air'!$IM$19</f>
        <v>2</v>
      </c>
      <c r="E6" s="316">
        <f>(C6-D6)/D6</f>
        <v>0</v>
      </c>
      <c r="F6" s="314">
        <f>+SUM('[3]Atlas Air'!$IT$19:$JA$19)</f>
        <v>24</v>
      </c>
      <c r="G6" s="209">
        <f>+SUM('[3]Atlas Air'!$IF$19:$IM$19)</f>
        <v>326</v>
      </c>
      <c r="H6" s="315">
        <f>(F6-G6)/G6</f>
        <v>-0.92638036809815949</v>
      </c>
      <c r="I6" s="316">
        <f>+F6/$F$34</f>
        <v>2.7337965599726621E-3</v>
      </c>
      <c r="J6" s="36"/>
      <c r="K6" s="310" t="s">
        <v>201</v>
      </c>
      <c r="L6" s="314">
        <f>+'[3]Atlas Air'!$JA$64</f>
        <v>130642</v>
      </c>
      <c r="M6" s="209">
        <f>+'[3]Atlas Air'!$IM$64</f>
        <v>35040</v>
      </c>
      <c r="N6" s="316">
        <f>(L6-M6)/M6</f>
        <v>2.7283675799086757</v>
      </c>
      <c r="O6" s="209">
        <f>+SUM('[3]Atlas Air'!$IT$64:$JA$64)</f>
        <v>903874</v>
      </c>
      <c r="P6" s="209">
        <f>+SUM('[3]Atlas Air'!$IF$64:$IM$64)</f>
        <v>15552030</v>
      </c>
      <c r="Q6" s="315">
        <f>(O6-P6)/P6</f>
        <v>-0.94188064194835019</v>
      </c>
      <c r="R6" s="316">
        <f>O6/$O$34</f>
        <v>3.96320979680676E-3</v>
      </c>
      <c r="T6" s="383"/>
    </row>
    <row r="7" spans="1:20" ht="14.1" customHeight="1" x14ac:dyDescent="0.2">
      <c r="A7" s="36"/>
      <c r="B7" s="310" t="s">
        <v>49</v>
      </c>
      <c r="C7" s="314">
        <f>+'[3]Sun Country Cargo'!$JA$19</f>
        <v>160</v>
      </c>
      <c r="D7" s="209">
        <f>+'[3]Sun Country Cargo'!$IM$19</f>
        <v>184</v>
      </c>
      <c r="E7" s="316">
        <f>(C7-D7)/D7</f>
        <v>-0.13043478260869565</v>
      </c>
      <c r="F7" s="314">
        <f>+SUM('[3]Sun Country Cargo'!$IT$19:$JA$19)</f>
        <v>1596</v>
      </c>
      <c r="G7" s="209">
        <f>+SUM('[3]Sun Country Cargo'!$IF$19:$IM$19)</f>
        <v>1084</v>
      </c>
      <c r="H7" s="315">
        <f>(F7-G7)/G7</f>
        <v>0.47232472324723246</v>
      </c>
      <c r="I7" s="316">
        <f>+F7/$F$34</f>
        <v>0.18179747123818202</v>
      </c>
      <c r="J7" s="36"/>
      <c r="K7" s="310" t="s">
        <v>49</v>
      </c>
      <c r="L7" s="314">
        <f>+'[3]Sun Country Cargo'!$JA$64</f>
        <v>3560065</v>
      </c>
      <c r="M7" s="209">
        <f>+'[3]Sun Country Cargo'!$IM$64</f>
        <v>5008791</v>
      </c>
      <c r="N7" s="316">
        <f>(L7-M7)/M7</f>
        <v>-0.28923666409718435</v>
      </c>
      <c r="O7" s="209">
        <f>+SUM('[3]Sun Country Cargo'!$IT$64:$JA$64)</f>
        <v>36000634</v>
      </c>
      <c r="P7" s="209">
        <f>+SUM('[3]Sun Country Cargo'!$IF$64:$IM$64)</f>
        <v>26468986</v>
      </c>
      <c r="Q7" s="315">
        <f>(O7-P7)/P7</f>
        <v>0.36010627683281859</v>
      </c>
      <c r="R7" s="316">
        <f>O7/$O$34</f>
        <v>0.15785171977516171</v>
      </c>
      <c r="T7" s="383"/>
    </row>
    <row r="8" spans="1:20" ht="14.1" customHeight="1" x14ac:dyDescent="0.2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" customHeight="1" x14ac:dyDescent="0.2">
      <c r="A9" s="250" t="s">
        <v>202</v>
      </c>
      <c r="B9" s="37"/>
      <c r="C9" s="374">
        <f>SUM(C10:C18)</f>
        <v>124</v>
      </c>
      <c r="D9" s="374">
        <f>SUM(D10:D18)</f>
        <v>146</v>
      </c>
      <c r="E9" s="375">
        <f>(C9-D9)/D9</f>
        <v>-0.15068493150684931</v>
      </c>
      <c r="F9" s="374">
        <f>SUM(F10:F18)</f>
        <v>976</v>
      </c>
      <c r="G9" s="374">
        <f>SUM(G10:G18)</f>
        <v>1116</v>
      </c>
      <c r="H9" s="376">
        <f>(F9-G9)/G9</f>
        <v>-0.12544802867383512</v>
      </c>
      <c r="I9" s="375">
        <f t="shared" ref="I9:I18" si="0">+F9/$F$34</f>
        <v>0.11117439343888826</v>
      </c>
      <c r="J9" s="250" t="s">
        <v>202</v>
      </c>
      <c r="K9" s="37"/>
      <c r="L9" s="374">
        <f>SUM(L10:L18)</f>
        <v>1520578</v>
      </c>
      <c r="M9" s="374">
        <f>SUM(M10:M18)</f>
        <v>1595980</v>
      </c>
      <c r="N9" s="375">
        <f t="shared" ref="N9:N18" si="1">(L9-M9)/M9</f>
        <v>-4.7244952944272486E-2</v>
      </c>
      <c r="O9" s="374">
        <f>SUM(O10:O18)</f>
        <v>11469802</v>
      </c>
      <c r="P9" s="374">
        <f>SUM(P10:P18)</f>
        <v>11611510</v>
      </c>
      <c r="Q9" s="376">
        <f t="shared" ref="Q9:Q18" si="2">(O9-P9)/P9</f>
        <v>-1.2204097486028949E-2</v>
      </c>
      <c r="R9" s="375">
        <f t="shared" ref="R9:R18" si="3">O9/$O$34</f>
        <v>5.029155795369019E-2</v>
      </c>
      <c r="T9" s="383"/>
    </row>
    <row r="10" spans="1:20" ht="14.1" customHeight="1" x14ac:dyDescent="0.2">
      <c r="A10" s="250"/>
      <c r="B10" s="310" t="s">
        <v>203</v>
      </c>
      <c r="C10" s="314">
        <f>+[3]Airborne!$JA$19</f>
        <v>0</v>
      </c>
      <c r="D10" s="209">
        <f>+[3]Airborne!$IM$19</f>
        <v>2</v>
      </c>
      <c r="E10" s="316">
        <f>(C10-D10)/D10</f>
        <v>-1</v>
      </c>
      <c r="F10" s="314">
        <f>+SUM([3]Airborne!$IT$19:$JA$19)</f>
        <v>52</v>
      </c>
      <c r="G10" s="209">
        <f>+SUM([3]Airborne!$IF$19:$IM$19)</f>
        <v>28</v>
      </c>
      <c r="H10" s="315">
        <f>(F10-G10)/G10</f>
        <v>0.8571428571428571</v>
      </c>
      <c r="I10" s="316">
        <f t="shared" si="0"/>
        <v>5.9232258799407677E-3</v>
      </c>
      <c r="J10" s="250"/>
      <c r="K10" s="310" t="s">
        <v>203</v>
      </c>
      <c r="L10" s="314">
        <f>+[3]Airborne!$JA$64</f>
        <v>0</v>
      </c>
      <c r="M10" s="209">
        <f>+[3]Airborne!$IM$64</f>
        <v>73989</v>
      </c>
      <c r="N10" s="316">
        <f t="shared" si="1"/>
        <v>-1</v>
      </c>
      <c r="O10" s="314">
        <f>+SUM([3]Airborne!$IT$64:$JA$64)</f>
        <v>2131215</v>
      </c>
      <c r="P10" s="209">
        <f>+SUM([3]Airborne!$IF$64:$IM$64)</f>
        <v>724505</v>
      </c>
      <c r="Q10" s="315">
        <f t="shared" si="2"/>
        <v>1.9416153097632176</v>
      </c>
      <c r="R10" s="316">
        <f t="shared" si="3"/>
        <v>9.3447230112842262E-3</v>
      </c>
      <c r="T10" s="383"/>
    </row>
    <row r="11" spans="1:20" ht="14.1" customHeight="1" x14ac:dyDescent="0.2">
      <c r="A11" s="250"/>
      <c r="B11" s="37" t="s">
        <v>201</v>
      </c>
      <c r="C11" s="314">
        <f>+[3]DHL_Atlas!$JA$19</f>
        <v>0</v>
      </c>
      <c r="D11" s="209">
        <f>+[3]DHL_Atlas!$IM$19</f>
        <v>0</v>
      </c>
      <c r="E11" s="316" t="e">
        <f t="shared" ref="E11:E18" si="4">(C11-D11)/D11</f>
        <v>#DIV/0!</v>
      </c>
      <c r="F11" s="314">
        <f>+SUM([3]DHL_Atlas!$IT$19:$JA$19)</f>
        <v>0</v>
      </c>
      <c r="G11" s="209">
        <f>+SUM([3]DHL_Atlas!$IF$19:$IM$19)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+[3]DHL_Atlas!$JA$64</f>
        <v>0</v>
      </c>
      <c r="M11" s="209">
        <f>+[3]DHL_Atlas!$IM$64</f>
        <v>0</v>
      </c>
      <c r="N11" s="316" t="e">
        <f t="shared" si="1"/>
        <v>#DIV/0!</v>
      </c>
      <c r="O11" s="314">
        <f>+SUM([3]DHL_Atlas!$IT$64:$JA$64)</f>
        <v>0</v>
      </c>
      <c r="P11" s="209">
        <f>+SUM([3]DHL_Atlas!$IF$64:$IM$64)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" customHeight="1" x14ac:dyDescent="0.2">
      <c r="A12" s="250"/>
      <c r="B12" s="37" t="s">
        <v>252</v>
      </c>
      <c r="C12" s="314">
        <f>+[3]DHL!$JA$19</f>
        <v>44</v>
      </c>
      <c r="D12" s="209">
        <f>+[3]DHL!$IM$19</f>
        <v>0</v>
      </c>
      <c r="E12" s="316" t="e">
        <f t="shared" si="4"/>
        <v>#DIV/0!</v>
      </c>
      <c r="F12" s="314">
        <f>+SUM([3]DHL!$IT$19:$JA$19)</f>
        <v>208</v>
      </c>
      <c r="G12" s="209">
        <f>+SUM([3]DHL!$IF$19:$IM$19)</f>
        <v>12</v>
      </c>
      <c r="H12" s="315">
        <f t="shared" si="5"/>
        <v>16.333333333333332</v>
      </c>
      <c r="I12" s="316">
        <f t="shared" si="0"/>
        <v>2.3692903519763071E-2</v>
      </c>
      <c r="J12" s="250"/>
      <c r="K12" s="37" t="s">
        <v>252</v>
      </c>
      <c r="L12" s="314">
        <f>+[3]DHL!$JA$64</f>
        <v>1434187</v>
      </c>
      <c r="M12" s="209">
        <f>+[3]DHL!$IM$64</f>
        <v>0</v>
      </c>
      <c r="N12" s="316" t="e">
        <f t="shared" si="1"/>
        <v>#DIV/0!</v>
      </c>
      <c r="O12" s="314">
        <f>+SUM([3]DHL!$IT$64:$JA$64)</f>
        <v>5936879</v>
      </c>
      <c r="P12" s="209">
        <f>+SUM([3]DHL!$IF$64:$IM$64)</f>
        <v>326824</v>
      </c>
      <c r="Q12" s="315">
        <f t="shared" si="2"/>
        <v>17.165370352238515</v>
      </c>
      <c r="R12" s="316">
        <f t="shared" si="3"/>
        <v>2.6031390454041514E-2</v>
      </c>
      <c r="T12" s="383"/>
    </row>
    <row r="13" spans="1:20" ht="14.1" customHeight="1" x14ac:dyDescent="0.2">
      <c r="A13" s="250"/>
      <c r="B13" s="310" t="s">
        <v>83</v>
      </c>
      <c r="C13" s="314">
        <f>+[3]DHL_Bemidji!$JA$19</f>
        <v>80</v>
      </c>
      <c r="D13" s="209">
        <f>+[3]DHL_Bemidji!$IM$19</f>
        <v>90</v>
      </c>
      <c r="E13" s="316">
        <f>(C13-D13)/D13</f>
        <v>-0.1111111111111111</v>
      </c>
      <c r="F13" s="314">
        <f>+SUM([3]DHL_Bemidji!$IT$19:$JA$19)</f>
        <v>616</v>
      </c>
      <c r="G13" s="209">
        <f>+SUM([3]DHL_Bemidji!$IF$19:$IM$19)</f>
        <v>588</v>
      </c>
      <c r="H13" s="315">
        <f t="shared" si="5"/>
        <v>4.7619047619047616E-2</v>
      </c>
      <c r="I13" s="316">
        <f t="shared" si="0"/>
        <v>7.0167445039298323E-2</v>
      </c>
      <c r="J13" s="250"/>
      <c r="K13" s="310" t="s">
        <v>83</v>
      </c>
      <c r="L13" s="314">
        <f>+[3]DHL_Bemidji!$JA$64</f>
        <v>86391</v>
      </c>
      <c r="M13" s="209">
        <f>+[3]DHL_Bemidji!$IM$64</f>
        <v>122475</v>
      </c>
      <c r="N13" s="316">
        <f t="shared" ref="N13" si="6">(L13-M13)/M13</f>
        <v>-0.29462339252908759</v>
      </c>
      <c r="O13" s="314">
        <f>+SUM([3]DHL_Bemidji!$IT$64:$JA$64)</f>
        <v>721758</v>
      </c>
      <c r="P13" s="209">
        <f>+SUM([3]DHL_Bemidji!$IF$64:$IM$64)</f>
        <v>757450</v>
      </c>
      <c r="Q13" s="315">
        <f t="shared" ref="Q13" si="7">(O13-P13)/P13</f>
        <v>-4.7121262129513501E-2</v>
      </c>
      <c r="R13" s="316">
        <f t="shared" si="3"/>
        <v>3.1646870874963251E-3</v>
      </c>
      <c r="T13" s="383"/>
    </row>
    <row r="14" spans="1:20" ht="14.1" customHeight="1" x14ac:dyDescent="0.2">
      <c r="A14" s="250"/>
      <c r="B14" s="37" t="s">
        <v>192</v>
      </c>
      <c r="C14" s="314">
        <f>+[3]Encore!$JA$19+[3]DHL_Encore!$JA$12</f>
        <v>0</v>
      </c>
      <c r="D14" s="209">
        <f>+[3]Encore!$IM$19+[3]DHL_Encore!$IM$19</f>
        <v>0</v>
      </c>
      <c r="E14" s="316" t="e">
        <f t="shared" si="4"/>
        <v>#DIV/0!</v>
      </c>
      <c r="F14" s="314">
        <f>+SUM([3]Encore!$IT$19:$JA$19)+SUM([3]DHL_Encore!$IT$19:$JA$19)</f>
        <v>0</v>
      </c>
      <c r="G14" s="209">
        <f>+SUM([3]Encore!$IF$19:$IM$19)+SUM([3]DHL_Encore!$IF$19:$IM$19)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+[3]Encore!$JA$64+[3]DHL_Encore!$JA$64</f>
        <v>0</v>
      </c>
      <c r="M14" s="209">
        <f>+[3]Encore!$IM$64+[3]DHL_Encore!$IM$64</f>
        <v>0</v>
      </c>
      <c r="N14" s="316" t="e">
        <f t="shared" si="1"/>
        <v>#DIV/0!</v>
      </c>
      <c r="O14" s="314">
        <f>+SUM([3]Encore!$IT$64:$JA$64)+SUM([3]DHL_Encore!$IT$64:$JA$64)</f>
        <v>0</v>
      </c>
      <c r="P14" s="209">
        <f>+SUM([3]Encore!$IF$64:$IM$64)+SUM([3]DHL_Encore!$IF$64:$IM$64)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" customHeight="1" x14ac:dyDescent="0.2">
      <c r="A15" s="250"/>
      <c r="B15" s="37" t="s">
        <v>204</v>
      </c>
      <c r="C15" s="314">
        <f>+[3]DHL_Kalitta!$JA$19</f>
        <v>0</v>
      </c>
      <c r="D15" s="209">
        <f>+[3]DHL_Kalitta!$IM$19</f>
        <v>0</v>
      </c>
      <c r="E15" s="316" t="e">
        <f t="shared" si="4"/>
        <v>#DIV/0!</v>
      </c>
      <c r="F15" s="314">
        <f>+SUM([3]DHL_Kalitta!$IT$19:$JA$19)</f>
        <v>96</v>
      </c>
      <c r="G15" s="209">
        <f>+SUM([3]DHL_Kalitta!$IF$19:$IM$19)</f>
        <v>0</v>
      </c>
      <c r="H15" s="315" t="e">
        <f t="shared" si="5"/>
        <v>#DIV/0!</v>
      </c>
      <c r="I15" s="316">
        <f t="shared" si="0"/>
        <v>1.0935186239890649E-2</v>
      </c>
      <c r="J15" s="250"/>
      <c r="K15" s="37" t="s">
        <v>204</v>
      </c>
      <c r="L15" s="314">
        <f>+[3]DHL_Kalitta!$JA$64</f>
        <v>0</v>
      </c>
      <c r="M15" s="209">
        <f>+[3]DHL_Kalitta!$IM$64</f>
        <v>0</v>
      </c>
      <c r="N15" s="316" t="e">
        <f t="shared" si="1"/>
        <v>#DIV/0!</v>
      </c>
      <c r="O15" s="314">
        <f>+SUM([3]DHL_Kalitta!$IT$64:$JA$64)</f>
        <v>2603803</v>
      </c>
      <c r="P15" s="209">
        <f>+SUM([3]DHL_Kalitta!$IF$64:$IM$64)</f>
        <v>0</v>
      </c>
      <c r="Q15" s="315" t="e">
        <f t="shared" si="2"/>
        <v>#DIV/0!</v>
      </c>
      <c r="R15" s="316">
        <f t="shared" si="3"/>
        <v>1.1416876200172626E-2</v>
      </c>
      <c r="T15" s="383"/>
    </row>
    <row r="16" spans="1:20" ht="14.1" customHeight="1" x14ac:dyDescent="0.2">
      <c r="A16" s="250"/>
      <c r="B16" s="37" t="s">
        <v>51</v>
      </c>
      <c r="C16" s="314">
        <f>+[3]DHL_Mesa!$JA$19</f>
        <v>0</v>
      </c>
      <c r="D16" s="209">
        <f>+[3]DHL_Mesa!$IM$19</f>
        <v>54</v>
      </c>
      <c r="E16" s="316">
        <f t="shared" ref="E16" si="8">(C16-D16)/D16</f>
        <v>-1</v>
      </c>
      <c r="F16" s="314">
        <f>+SUM([3]DHL_Mesa!$IT$19:$JA$19)</f>
        <v>2</v>
      </c>
      <c r="G16" s="209">
        <f>+SUM([3]DHL_Mesa!$IF$19:$IM$19)</f>
        <v>224</v>
      </c>
      <c r="H16" s="315">
        <f t="shared" ref="H16" si="9">(F16-G16)/G16</f>
        <v>-0.9910714285714286</v>
      </c>
      <c r="I16" s="316">
        <f t="shared" ref="I16" si="10">+F16/$F$34</f>
        <v>2.2781637999772184E-4</v>
      </c>
      <c r="J16" s="250"/>
      <c r="K16" s="37" t="s">
        <v>51</v>
      </c>
      <c r="L16" s="314">
        <f>+[3]DHL_Mesa!$JA$64</f>
        <v>0</v>
      </c>
      <c r="M16" s="209">
        <f>+[3]DHL_Mesa!$IM$64</f>
        <v>1399516</v>
      </c>
      <c r="N16" s="316">
        <f t="shared" ref="N16" si="11">(L16-M16)/M16</f>
        <v>-1</v>
      </c>
      <c r="O16" s="314">
        <f>+SUM([3]DHL_Mesa!$IT$64:$JA$64)</f>
        <v>22802</v>
      </c>
      <c r="P16" s="209">
        <f>+SUM([3]DHL_Mesa!$IF$64:$IM$64)</f>
        <v>4457248</v>
      </c>
      <c r="Q16" s="315">
        <f t="shared" ref="Q16" si="12">(O16-P16)/P16</f>
        <v>-0.99488428734501644</v>
      </c>
      <c r="R16" s="316">
        <f t="shared" ref="R16" si="13">O16/$O$34</f>
        <v>9.9979764642845948E-5</v>
      </c>
      <c r="T16" s="383"/>
    </row>
    <row r="17" spans="1:20" x14ac:dyDescent="0.2">
      <c r="A17" s="250"/>
      <c r="B17" s="37" t="s">
        <v>226</v>
      </c>
      <c r="C17" s="314">
        <f>+[3]DHL_Amerijet!$JA$19</f>
        <v>0</v>
      </c>
      <c r="D17" s="209">
        <f>+[3]DHL_Amerijet!$IM$19</f>
        <v>0</v>
      </c>
      <c r="E17" s="316" t="e">
        <f t="shared" si="4"/>
        <v>#DIV/0!</v>
      </c>
      <c r="F17" s="314">
        <f>+SUM([3]DHL_Amerijet!$IT$19:$JA$19)</f>
        <v>0</v>
      </c>
      <c r="G17" s="209">
        <f>+SUM([3]DHL_Amerijet!$IF$19:$IM$19)</f>
        <v>82</v>
      </c>
      <c r="H17" s="315">
        <f t="shared" si="5"/>
        <v>-1</v>
      </c>
      <c r="I17" s="316">
        <f t="shared" si="0"/>
        <v>0</v>
      </c>
      <c r="J17" s="250"/>
      <c r="K17" s="37" t="s">
        <v>226</v>
      </c>
      <c r="L17" s="314">
        <f>+[3]DHL_Amerijet!$JA$64</f>
        <v>0</v>
      </c>
      <c r="M17" s="209">
        <f>+[3]DHL_Amerijet!$IM$64</f>
        <v>0</v>
      </c>
      <c r="N17" s="316" t="e">
        <f t="shared" si="1"/>
        <v>#DIV/0!</v>
      </c>
      <c r="O17" s="314">
        <f>+SUM([3]DHL_Amerijet!$IT$64:$JA$64)</f>
        <v>0</v>
      </c>
      <c r="P17" s="209">
        <f>+SUM([3]DHL_Amerijet!$IF$64:$IM$64)</f>
        <v>2347965</v>
      </c>
      <c r="Q17" s="315">
        <f t="shared" si="2"/>
        <v>-1</v>
      </c>
      <c r="R17" s="316">
        <f t="shared" si="3"/>
        <v>0</v>
      </c>
      <c r="T17" s="383"/>
    </row>
    <row r="18" spans="1:20" ht="14.1" customHeight="1" x14ac:dyDescent="0.2">
      <c r="A18" s="250"/>
      <c r="B18" s="37" t="s">
        <v>205</v>
      </c>
      <c r="C18" s="314">
        <f>+[3]DHL_Swift!$JA$19</f>
        <v>0</v>
      </c>
      <c r="D18" s="209">
        <f>+[3]DHL_Swift!$IM$19</f>
        <v>0</v>
      </c>
      <c r="E18" s="316" t="e">
        <f t="shared" si="4"/>
        <v>#DIV/0!</v>
      </c>
      <c r="F18" s="314">
        <f>+SUM([3]DHL_Swift!$IT$19:$JA$19)</f>
        <v>2</v>
      </c>
      <c r="G18" s="209">
        <f>+SUM([3]DHL_Swift!$IF$19:$IM$19)</f>
        <v>182</v>
      </c>
      <c r="H18" s="315">
        <f t="shared" si="5"/>
        <v>-0.98901098901098905</v>
      </c>
      <c r="I18" s="316">
        <f t="shared" si="0"/>
        <v>2.2781637999772184E-4</v>
      </c>
      <c r="J18" s="250"/>
      <c r="K18" s="37" t="s">
        <v>205</v>
      </c>
      <c r="L18" s="314">
        <f>+[3]DHL_Swift!$JA$64</f>
        <v>0</v>
      </c>
      <c r="M18" s="209">
        <f>+[3]DHL_Swift!$IM$64</f>
        <v>0</v>
      </c>
      <c r="N18" s="316" t="e">
        <f t="shared" si="1"/>
        <v>#DIV/0!</v>
      </c>
      <c r="O18" s="314">
        <f>+SUM([3]DHL_Swift!$IT$64:$JA$64)</f>
        <v>53345</v>
      </c>
      <c r="P18" s="209">
        <f>+SUM([3]DHL_Swift!$IF$64:$IM$64)</f>
        <v>2997518</v>
      </c>
      <c r="Q18" s="315">
        <f t="shared" si="2"/>
        <v>-0.98220360978649668</v>
      </c>
      <c r="R18" s="316">
        <f t="shared" si="3"/>
        <v>2.3390143605265401E-4</v>
      </c>
      <c r="T18" s="383"/>
    </row>
    <row r="19" spans="1:20" ht="14.1" customHeight="1" x14ac:dyDescent="0.2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" customHeight="1" x14ac:dyDescent="0.2">
      <c r="A20" s="250" t="s">
        <v>180</v>
      </c>
      <c r="B20" s="37"/>
      <c r="C20" s="378">
        <f>SUM(C21:C24)</f>
        <v>260</v>
      </c>
      <c r="D20" s="374">
        <f>SUM(D21:D24)</f>
        <v>272</v>
      </c>
      <c r="E20" s="375">
        <f>(C20-D20)/D20</f>
        <v>-4.4117647058823532E-2</v>
      </c>
      <c r="F20" s="378">
        <f>SUM(F21:F24)</f>
        <v>2038</v>
      </c>
      <c r="G20" s="374">
        <f>SUM(G21:G24)</f>
        <v>2074</v>
      </c>
      <c r="H20" s="376">
        <f t="shared" ref="H20:H21" si="14">(F20-G20)/G20</f>
        <v>-1.7357762777242044E-2</v>
      </c>
      <c r="I20" s="375">
        <f>+F20/$F$34</f>
        <v>0.23214489121767856</v>
      </c>
      <c r="J20" s="250" t="s">
        <v>180</v>
      </c>
      <c r="K20" s="37"/>
      <c r="L20" s="378">
        <f>SUM(L21:L24)</f>
        <v>13640241</v>
      </c>
      <c r="M20" s="374">
        <f>SUM(M21:M24)</f>
        <v>14106309</v>
      </c>
      <c r="N20" s="375">
        <f>(L20-M20)/M20</f>
        <v>-3.3039684583685218E-2</v>
      </c>
      <c r="O20" s="378">
        <f>SUM(O21:O24)</f>
        <v>104412260</v>
      </c>
      <c r="P20" s="374">
        <f>SUM(P21:P24)</f>
        <v>101749401</v>
      </c>
      <c r="Q20" s="376">
        <f t="shared" ref="Q20:Q22" si="15">(O20-P20)/P20</f>
        <v>2.6170758489280934E-2</v>
      </c>
      <c r="R20" s="375">
        <f>O20/$O$34</f>
        <v>0.45781568198524858</v>
      </c>
      <c r="T20" s="383"/>
    </row>
    <row r="21" spans="1:20" ht="14.1" customHeight="1" x14ac:dyDescent="0.2">
      <c r="A21" s="36"/>
      <c r="B21" s="310" t="s">
        <v>180</v>
      </c>
      <c r="C21" s="314">
        <f>+[3]FedEx!$JA$19</f>
        <v>180</v>
      </c>
      <c r="D21" s="209">
        <f>+[3]FedEx!$IM$19</f>
        <v>186</v>
      </c>
      <c r="E21" s="316">
        <f>(C21-D21)/D21</f>
        <v>-3.2258064516129031E-2</v>
      </c>
      <c r="F21" s="314">
        <f>+SUM([3]FedEx!$IT$19:$JA$19)</f>
        <v>1430</v>
      </c>
      <c r="G21" s="209">
        <f>+SUM([3]FedEx!$IF$19:$IM$19)</f>
        <v>1498</v>
      </c>
      <c r="H21" s="315">
        <f t="shared" si="14"/>
        <v>-4.5393858477970631E-2</v>
      </c>
      <c r="I21" s="316">
        <f>+F21/$F$34</f>
        <v>0.1628887116983711</v>
      </c>
      <c r="J21" s="250"/>
      <c r="K21" s="310" t="s">
        <v>180</v>
      </c>
      <c r="L21" s="314">
        <f>+[3]FedEx!$JA$64</f>
        <v>13422263</v>
      </c>
      <c r="M21" s="209">
        <f>+[3]FedEx!$IM$64</f>
        <v>13850809</v>
      </c>
      <c r="N21" s="316">
        <f>(L21-M21)/M21</f>
        <v>-3.0940142196748219E-2</v>
      </c>
      <c r="O21" s="314">
        <f>+SUM([3]FedEx!$IT$64:$JA$64)</f>
        <v>102789862</v>
      </c>
      <c r="P21" s="209">
        <f>+SUM([3]FedEx!$IF$64:$IM$64)</f>
        <v>100044401</v>
      </c>
      <c r="Q21" s="315">
        <f t="shared" si="15"/>
        <v>2.7442425288747543E-2</v>
      </c>
      <c r="R21" s="316">
        <f>O21/$O$34</f>
        <v>0.45070196519737804</v>
      </c>
      <c r="T21" s="383"/>
    </row>
    <row r="22" spans="1:20" ht="14.1" customHeight="1" x14ac:dyDescent="0.2">
      <c r="A22" s="36"/>
      <c r="B22" s="310" t="s">
        <v>206</v>
      </c>
      <c r="C22" s="314">
        <f>+'[3]Mountain Cargo'!$JA$19</f>
        <v>46</v>
      </c>
      <c r="D22" s="209">
        <f>+'[3]Mountain Cargo'!$IM$19</f>
        <v>46</v>
      </c>
      <c r="E22" s="316">
        <f>(C22-D22)/D22</f>
        <v>0</v>
      </c>
      <c r="F22" s="314">
        <f>+SUM('[3]Mountain Cargo'!$IT$19:$JA$19)</f>
        <v>342</v>
      </c>
      <c r="G22" s="209">
        <f>+SUM('[3]Mountain Cargo'!$IF$19:$IM$19)</f>
        <v>334</v>
      </c>
      <c r="H22" s="315">
        <f>(F22-G22)/G22</f>
        <v>2.3952095808383235E-2</v>
      </c>
      <c r="I22" s="316">
        <f>+F22/$F$34</f>
        <v>3.8956600979610435E-2</v>
      </c>
      <c r="J22" s="355"/>
      <c r="K22" s="310" t="s">
        <v>206</v>
      </c>
      <c r="L22" s="314">
        <f>+'[3]Mountain Cargo'!$JA$64</f>
        <v>174627</v>
      </c>
      <c r="M22" s="209">
        <f>+'[3]Mountain Cargo'!$IM$64</f>
        <v>191768</v>
      </c>
      <c r="N22" s="316">
        <f>(L22-M22)/M22</f>
        <v>-8.9384047390596966E-2</v>
      </c>
      <c r="O22" s="314">
        <f>+SUM('[3]Mountain Cargo'!$IT$64:$JA$64)</f>
        <v>1196478</v>
      </c>
      <c r="P22" s="209">
        <f>+SUM('[3]Mountain Cargo'!$IF$64:$IM$64)</f>
        <v>1255643</v>
      </c>
      <c r="Q22" s="315">
        <f t="shared" si="15"/>
        <v>-4.7119284701145153E-2</v>
      </c>
      <c r="R22" s="316">
        <f>O22/$O$34</f>
        <v>5.2461884413798369E-3</v>
      </c>
      <c r="T22" s="383"/>
    </row>
    <row r="23" spans="1:20" ht="14.1" customHeight="1" x14ac:dyDescent="0.2">
      <c r="A23" s="36"/>
      <c r="B23" s="310" t="s">
        <v>174</v>
      </c>
      <c r="C23" s="314">
        <f>+[3]IFL!$JA$19</f>
        <v>34</v>
      </c>
      <c r="D23" s="209">
        <f>+[3]IFL!$IM$19</f>
        <v>40</v>
      </c>
      <c r="E23" s="316">
        <f>(C23-D23)/D23</f>
        <v>-0.15</v>
      </c>
      <c r="F23" s="314">
        <f>+SUM([3]IFL!$IT$19:$JA$19)</f>
        <v>266</v>
      </c>
      <c r="G23" s="209">
        <f>+SUM([3]IFL!$IF$19:$IM$19)</f>
        <v>242</v>
      </c>
      <c r="H23" s="315">
        <f>(F23-G23)/G23</f>
        <v>9.9173553719008267E-2</v>
      </c>
      <c r="I23" s="316">
        <f>+F23/$F$34</f>
        <v>3.0299578539697003E-2</v>
      </c>
      <c r="J23" s="355"/>
      <c r="K23" s="310" t="s">
        <v>174</v>
      </c>
      <c r="L23" s="314">
        <f>+[3]IFL!$JA$64</f>
        <v>43351</v>
      </c>
      <c r="M23" s="209">
        <f>+[3]IFL!$IM$64</f>
        <v>63732</v>
      </c>
      <c r="N23" s="316">
        <f>(L23-M23)/M23</f>
        <v>-0.31979225506809766</v>
      </c>
      <c r="O23" s="314">
        <f>+SUM([3]IFL!$IT$64:$JA$64)</f>
        <v>425920</v>
      </c>
      <c r="P23" s="209">
        <f>+SUM([3]IFL!$IF$64:$IM$64)</f>
        <v>449357</v>
      </c>
      <c r="Q23" s="315">
        <f>(O23-P23)/P23</f>
        <v>-5.2156748420520878E-2</v>
      </c>
      <c r="R23" s="316">
        <f>O23/$O$34</f>
        <v>1.8675283464907001E-3</v>
      </c>
      <c r="T23" s="383"/>
    </row>
    <row r="24" spans="1:20" ht="14.1" customHeight="1" x14ac:dyDescent="0.2">
      <c r="A24" s="250"/>
      <c r="B24" s="310" t="s">
        <v>84</v>
      </c>
      <c r="C24" s="314">
        <f>+'[3]CSA Air'!$JA$19</f>
        <v>0</v>
      </c>
      <c r="D24" s="209">
        <f>+'[3]CSA Air'!$IM$19</f>
        <v>0</v>
      </c>
      <c r="E24" s="316" t="e">
        <f>(C24-D24)/D24</f>
        <v>#DIV/0!</v>
      </c>
      <c r="F24" s="314">
        <f>+SUM('[3]CSA Air'!$IT$19:$JA$19)</f>
        <v>0</v>
      </c>
      <c r="G24" s="209">
        <f>+SUM('[3]CSA Air'!$IF$19:$IM$19)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Air'!$JA$64</f>
        <v>0</v>
      </c>
      <c r="M24" s="209">
        <f>+'[3]CSA Air'!$IM$64</f>
        <v>0</v>
      </c>
      <c r="N24" s="316" t="e">
        <f>(L24-M24)/M24</f>
        <v>#DIV/0!</v>
      </c>
      <c r="O24" s="314">
        <f>+SUM('[3]CSA Air'!$IT$64:$JA$64)</f>
        <v>0</v>
      </c>
      <c r="P24" s="209">
        <f>+SUM('[3]CSA Air'!$IF$64:$IM$64)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" customHeight="1" x14ac:dyDescent="0.2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" customHeight="1" x14ac:dyDescent="0.2">
      <c r="A26" s="250" t="s">
        <v>82</v>
      </c>
      <c r="B26" s="37"/>
      <c r="C26" s="374">
        <f>SUM(C27:C28)</f>
        <v>556</v>
      </c>
      <c r="D26" s="374">
        <f>SUM(D27:D28)</f>
        <v>576</v>
      </c>
      <c r="E26" s="375">
        <f>(C26-D26)/D26</f>
        <v>-3.4722222222222224E-2</v>
      </c>
      <c r="F26" s="374">
        <f>SUM(F27:F28)</f>
        <v>4145</v>
      </c>
      <c r="G26" s="374">
        <f>SUM(G27:G28)</f>
        <v>4650</v>
      </c>
      <c r="H26" s="376">
        <f>(F26-G26)/G26</f>
        <v>-0.1086021505376344</v>
      </c>
      <c r="I26" s="375">
        <f>+F26/$F$34</f>
        <v>0.47214944754527849</v>
      </c>
      <c r="J26" s="250" t="s">
        <v>82</v>
      </c>
      <c r="K26" s="37"/>
      <c r="L26" s="374">
        <f>SUM(L27:L28)</f>
        <v>11168228</v>
      </c>
      <c r="M26" s="374">
        <f>SUM(M27:M28)</f>
        <v>10218229</v>
      </c>
      <c r="N26" s="375">
        <f>(L26-M26)/M26</f>
        <v>9.2971003096524854E-2</v>
      </c>
      <c r="O26" s="374">
        <f>SUM(O27:O28)</f>
        <v>75279580</v>
      </c>
      <c r="P26" s="374">
        <f>SUM(P27:P28)</f>
        <v>83231905</v>
      </c>
      <c r="Q26" s="376">
        <f>(O26-P26)/P26</f>
        <v>-9.5544190656215305E-2</v>
      </c>
      <c r="R26" s="375">
        <f>O26/$O$34</f>
        <v>0.33007783048909273</v>
      </c>
      <c r="S26" s="332"/>
      <c r="T26" s="385"/>
    </row>
    <row r="27" spans="1:20" ht="14.1" customHeight="1" x14ac:dyDescent="0.2">
      <c r="A27" s="250"/>
      <c r="B27" s="310" t="s">
        <v>82</v>
      </c>
      <c r="C27" s="314">
        <f>+[3]UPS!$JA$19</f>
        <v>220</v>
      </c>
      <c r="D27" s="209">
        <f>+[3]UPS!$IM$19</f>
        <v>204</v>
      </c>
      <c r="E27" s="316">
        <f>(C27-D27)/D27</f>
        <v>7.8431372549019607E-2</v>
      </c>
      <c r="F27" s="314">
        <f>+SUM([3]UPS!$IT$19:$JA$19)</f>
        <v>1463</v>
      </c>
      <c r="G27" s="209">
        <f>+SUM([3]UPS!$IF$19:$IM$19)</f>
        <v>1868</v>
      </c>
      <c r="H27" s="315">
        <f>(F27-G27)/G27</f>
        <v>-0.21680942184154176</v>
      </c>
      <c r="I27" s="316">
        <f>+F27/$F$34</f>
        <v>0.16664768196833352</v>
      </c>
      <c r="J27" s="250"/>
      <c r="K27" s="310" t="s">
        <v>82</v>
      </c>
      <c r="L27" s="314">
        <f>+[3]UPS!$JA$64</f>
        <v>11168228</v>
      </c>
      <c r="M27" s="209">
        <f>+[3]UPS!$IM$64</f>
        <v>10218229</v>
      </c>
      <c r="N27" s="316">
        <f>(L27-M27)/M27</f>
        <v>9.2971003096524854E-2</v>
      </c>
      <c r="O27" s="314">
        <f>+SUM([3]UPS!$IT$64:$JA$64)</f>
        <v>75279580</v>
      </c>
      <c r="P27" s="209">
        <f>+SUM([3]UPS!$IF$64:$IM$64)</f>
        <v>83231905</v>
      </c>
      <c r="Q27" s="315">
        <f>(O27-P27)/P27</f>
        <v>-9.5544190656215305E-2</v>
      </c>
      <c r="R27" s="316">
        <f>O27/$O$34</f>
        <v>0.33007783048909273</v>
      </c>
      <c r="S27" s="332"/>
      <c r="T27" s="385"/>
    </row>
    <row r="28" spans="1:20" x14ac:dyDescent="0.2">
      <c r="A28" s="250"/>
      <c r="B28" s="310" t="s">
        <v>83</v>
      </c>
      <c r="C28" s="314">
        <f>+[3]Bemidji!$JA$19</f>
        <v>336</v>
      </c>
      <c r="D28" s="209">
        <f>+[3]Bemidji!$IM$19</f>
        <v>372</v>
      </c>
      <c r="E28" s="316">
        <f>(C28-D28)/D28</f>
        <v>-9.6774193548387094E-2</v>
      </c>
      <c r="F28" s="314">
        <f>+SUM([3]Bemidji!$IT$19:$JA$19)</f>
        <v>2682</v>
      </c>
      <c r="G28" s="209">
        <f>+SUM([3]Bemidji!$IF$19:$IM$19)</f>
        <v>2782</v>
      </c>
      <c r="H28" s="315">
        <f t="shared" ref="H28" si="18">(F28-G28)/G28</f>
        <v>-3.5945363048166784E-2</v>
      </c>
      <c r="I28" s="316">
        <f>+F28/$F$34</f>
        <v>0.30550176557694497</v>
      </c>
      <c r="J28" s="250"/>
      <c r="K28" s="310" t="s">
        <v>83</v>
      </c>
      <c r="L28" s="478" t="s">
        <v>183</v>
      </c>
      <c r="M28" s="479"/>
      <c r="N28" s="479"/>
      <c r="O28" s="479"/>
      <c r="P28" s="479"/>
      <c r="Q28" s="479"/>
      <c r="R28" s="480"/>
      <c r="T28" s="383"/>
    </row>
    <row r="29" spans="1:20" x14ac:dyDescent="0.2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x14ac:dyDescent="0.2">
      <c r="A30" s="250" t="s">
        <v>126</v>
      </c>
      <c r="B30" s="37"/>
      <c r="C30" s="378">
        <f>+'[3]Misc Cargo'!$JA$19</f>
        <v>0</v>
      </c>
      <c r="D30" s="374">
        <f>+'[3]Misc Cargo'!$IM$19</f>
        <v>0</v>
      </c>
      <c r="E30" s="375" t="e">
        <f>(C30-D30)/D30</f>
        <v>#DIV/0!</v>
      </c>
      <c r="F30" s="378">
        <f>+SUM('[3]Misc Cargo'!$IT$19:$JA$19)</f>
        <v>0</v>
      </c>
      <c r="G30" s="374">
        <f>+SUM('[3]Misc Cargo'!$IF$19:$IM$19)</f>
        <v>0</v>
      </c>
      <c r="H30" s="376" t="e">
        <f>(F30-G30)/G30</f>
        <v>#DIV/0!</v>
      </c>
      <c r="I30" s="375">
        <f>+F30/$F$34</f>
        <v>0</v>
      </c>
      <c r="J30" s="250" t="s">
        <v>126</v>
      </c>
      <c r="K30" s="37"/>
      <c r="L30" s="378">
        <f>+'[3]Misc Cargo'!$JA$64</f>
        <v>0</v>
      </c>
      <c r="M30" s="374">
        <f>+'[3]Misc Cargo'!$IM$64</f>
        <v>0</v>
      </c>
      <c r="N30" s="375" t="e">
        <f>(L30-M30)/M30</f>
        <v>#DIV/0!</v>
      </c>
      <c r="O30" s="378">
        <f>+SUM('[3]Misc Cargo'!$IT$64:$JA$64)</f>
        <v>0</v>
      </c>
      <c r="P30" s="374">
        <f>+SUM('[3]Misc Cargo'!$IF$64:$IM$64)</f>
        <v>0</v>
      </c>
      <c r="Q30" s="376" t="e">
        <f>(O30-P30)/P30</f>
        <v>#DIV/0!</v>
      </c>
      <c r="R30" s="375">
        <f>O30/$O$34</f>
        <v>0</v>
      </c>
      <c r="T30" s="383"/>
    </row>
    <row r="31" spans="1:20" x14ac:dyDescent="0.2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 x14ac:dyDescent="0.25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.5" thickBot="1" x14ac:dyDescent="0.25">
      <c r="C33" s="2"/>
      <c r="D33" s="3"/>
      <c r="E33" s="3"/>
      <c r="F33" s="2"/>
      <c r="L33" s="2"/>
      <c r="T33" s="383"/>
    </row>
    <row r="34" spans="2:20" ht="15.75" thickBot="1" x14ac:dyDescent="0.3">
      <c r="B34" s="335" t="s">
        <v>181</v>
      </c>
      <c r="C34" s="336">
        <f>+C30+C26+C20+C9+C5</f>
        <v>1102</v>
      </c>
      <c r="D34" s="336">
        <f>+D30+D26+D20+D9+D5</f>
        <v>1180</v>
      </c>
      <c r="E34" s="337">
        <f>(C34-D34)/D34</f>
        <v>-6.6101694915254236E-2</v>
      </c>
      <c r="F34" s="336">
        <f>+F30+F26+F20+F9+F5</f>
        <v>8779</v>
      </c>
      <c r="G34" s="336">
        <f>+G30+G26+G20+G9+G5</f>
        <v>9250</v>
      </c>
      <c r="H34" s="338">
        <f>(F34-G34)/G34</f>
        <v>-5.0918918918918921E-2</v>
      </c>
      <c r="I34" s="344"/>
      <c r="K34" s="335" t="s">
        <v>181</v>
      </c>
      <c r="L34" s="336">
        <f>+L30+L26+L20+L9+L5</f>
        <v>30019754</v>
      </c>
      <c r="M34" s="336">
        <f>+M30+M26+M20+M9+M5</f>
        <v>30964349</v>
      </c>
      <c r="N34" s="339">
        <f>(L34-M34)/M34</f>
        <v>-3.0505889208263349E-2</v>
      </c>
      <c r="O34" s="336">
        <f>+O30+O26+O20+O9+O5</f>
        <v>228066150</v>
      </c>
      <c r="P34" s="336">
        <f>+P30+P26+P20+P9+P5</f>
        <v>238613832</v>
      </c>
      <c r="Q34" s="338">
        <f t="shared" ref="Q34" si="19">(O34-P34)/P34</f>
        <v>-4.4203983950100598E-2</v>
      </c>
      <c r="R34" s="344"/>
      <c r="T34" s="383"/>
    </row>
    <row r="35" spans="2:20" x14ac:dyDescent="0.2">
      <c r="C35" s="2"/>
      <c r="D35" s="3"/>
      <c r="E35" s="3"/>
      <c r="T35" s="383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August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2025-01-13T20:08:54Z</dcterms:modified>
</cp:coreProperties>
</file>