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5D2AE425-5810-4AA9-B1E1-66EF431CBCB1}" xr6:coauthVersionLast="47" xr6:coauthVersionMax="47" xr10:uidLastSave="{00000000-0000-0000-0000-000000000000}"/>
  <bookViews>
    <workbookView xWindow="28680" yWindow="-120" windowWidth="29040" windowHeight="157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5" i="9" l="1"/>
  <c r="AG5" i="9"/>
  <c r="AE5" i="9"/>
  <c r="AD5" i="9"/>
  <c r="AF5" i="9" s="1"/>
  <c r="Y5" i="9"/>
  <c r="X5" i="9"/>
  <c r="V5" i="9"/>
  <c r="U5" i="9"/>
  <c r="P5" i="9"/>
  <c r="O5" i="9"/>
  <c r="M5" i="9"/>
  <c r="L5" i="9"/>
  <c r="G5" i="9"/>
  <c r="F5" i="9"/>
  <c r="D5" i="9"/>
  <c r="C5" i="9"/>
  <c r="E5" i="9" s="1"/>
  <c r="F39" i="2"/>
  <c r="F38" i="2"/>
  <c r="F40" i="2" s="1"/>
  <c r="F34" i="2"/>
  <c r="F33" i="2"/>
  <c r="F29" i="2"/>
  <c r="F28" i="2"/>
  <c r="F20" i="2"/>
  <c r="F19" i="2"/>
  <c r="F21" i="2" s="1"/>
  <c r="F16" i="2"/>
  <c r="F15" i="2"/>
  <c r="F10" i="2"/>
  <c r="F9" i="2"/>
  <c r="F11" i="2" s="1"/>
  <c r="F5" i="2"/>
  <c r="F4" i="2"/>
  <c r="F6" i="2" s="1"/>
  <c r="F12" i="2" s="1"/>
  <c r="W5" i="9" l="1"/>
  <c r="F30" i="2"/>
  <c r="N5" i="9"/>
  <c r="F44" i="2"/>
  <c r="F43" i="2"/>
  <c r="F17" i="2"/>
  <c r="F23" i="2" s="1"/>
  <c r="AI5" i="9"/>
  <c r="Z5" i="9"/>
  <c r="Q5" i="9"/>
  <c r="H5" i="9"/>
  <c r="F45" i="2"/>
  <c r="F35" i="2"/>
  <c r="O32" i="7" l="1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C21" i="1"/>
  <c r="B21" i="1"/>
  <c r="O36" i="16" l="1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AH51" i="9" l="1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H4" i="9" s="1"/>
  <c r="AE6" i="9"/>
  <c r="AE4" i="9" s="1"/>
  <c r="Y6" i="9"/>
  <c r="Y4" i="9" s="1"/>
  <c r="V6" i="9"/>
  <c r="V4" i="9" s="1"/>
  <c r="P6" i="9"/>
  <c r="P4" i="9" s="1"/>
  <c r="M6" i="9"/>
  <c r="M4" i="9" s="1"/>
  <c r="G6" i="9"/>
  <c r="G4" i="9" s="1"/>
  <c r="D6" i="9"/>
  <c r="D4" i="9" s="1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G4" i="9" s="1"/>
  <c r="AD6" i="9"/>
  <c r="AD4" i="9" s="1"/>
  <c r="X6" i="9"/>
  <c r="X4" i="9" s="1"/>
  <c r="U6" i="9"/>
  <c r="U4" i="9" s="1"/>
  <c r="O6" i="9"/>
  <c r="O4" i="9" s="1"/>
  <c r="L6" i="9"/>
  <c r="L4" i="9" s="1"/>
  <c r="F6" i="9"/>
  <c r="F4" i="9" s="1"/>
  <c r="C6" i="9"/>
  <c r="C4" i="9" s="1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F17" i="4" s="1"/>
  <c r="E15" i="4"/>
  <c r="E17" i="4" s="1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E39" i="2"/>
  <c r="D39" i="2"/>
  <c r="C39" i="2"/>
  <c r="B39" i="2"/>
  <c r="H38" i="2"/>
  <c r="G38" i="2"/>
  <c r="E38" i="2"/>
  <c r="D38" i="2"/>
  <c r="C38" i="2"/>
  <c r="B38" i="2"/>
  <c r="H34" i="2"/>
  <c r="G34" i="2"/>
  <c r="E34" i="2"/>
  <c r="D34" i="2"/>
  <c r="C34" i="2"/>
  <c r="B34" i="2"/>
  <c r="H33" i="2"/>
  <c r="G33" i="2"/>
  <c r="E33" i="2"/>
  <c r="D33" i="2"/>
  <c r="C33" i="2"/>
  <c r="B33" i="2"/>
  <c r="H29" i="2"/>
  <c r="G29" i="2"/>
  <c r="E29" i="2"/>
  <c r="D29" i="2"/>
  <c r="C29" i="2"/>
  <c r="B29" i="2"/>
  <c r="H28" i="2"/>
  <c r="G28" i="2"/>
  <c r="E28" i="2"/>
  <c r="D28" i="2"/>
  <c r="C28" i="2"/>
  <c r="B28" i="2"/>
  <c r="H20" i="2"/>
  <c r="G20" i="2"/>
  <c r="E20" i="2"/>
  <c r="D20" i="2"/>
  <c r="C20" i="2"/>
  <c r="B20" i="2"/>
  <c r="H19" i="2"/>
  <c r="G19" i="2"/>
  <c r="E19" i="2"/>
  <c r="D19" i="2"/>
  <c r="C19" i="2"/>
  <c r="B19" i="2"/>
  <c r="H16" i="2"/>
  <c r="G16" i="2"/>
  <c r="E16" i="2"/>
  <c r="D16" i="2"/>
  <c r="C16" i="2"/>
  <c r="B16" i="2"/>
  <c r="H15" i="2"/>
  <c r="G15" i="2"/>
  <c r="E15" i="2"/>
  <c r="D15" i="2"/>
  <c r="C15" i="2"/>
  <c r="B15" i="2"/>
  <c r="H10" i="2"/>
  <c r="G10" i="2"/>
  <c r="E10" i="2"/>
  <c r="D10" i="2"/>
  <c r="C10" i="2"/>
  <c r="B10" i="2"/>
  <c r="H9" i="2"/>
  <c r="G9" i="2"/>
  <c r="E9" i="2"/>
  <c r="D9" i="2"/>
  <c r="C9" i="2"/>
  <c r="B9" i="2"/>
  <c r="H5" i="2"/>
  <c r="G5" i="2"/>
  <c r="E5" i="2"/>
  <c r="D5" i="2"/>
  <c r="C5" i="2"/>
  <c r="B5" i="2"/>
  <c r="H4" i="2"/>
  <c r="G4" i="2"/>
  <c r="E4" i="2"/>
  <c r="D4" i="2"/>
  <c r="C4" i="2"/>
  <c r="B4" i="2"/>
  <c r="H6" i="15" l="1"/>
  <c r="H11" i="15"/>
  <c r="H10" i="15"/>
  <c r="H5" i="15"/>
  <c r="B37" i="1"/>
  <c r="B36" i="1"/>
  <c r="E28" i="1"/>
  <c r="E27" i="1"/>
  <c r="E19" i="1"/>
  <c r="E18" i="1"/>
  <c r="E17" i="1"/>
  <c r="E16" i="1"/>
  <c r="E10" i="1"/>
  <c r="E7" i="1"/>
  <c r="E6" i="1"/>
  <c r="E5" i="1"/>
  <c r="H28" i="1"/>
  <c r="H27" i="1"/>
  <c r="H21" i="1"/>
  <c r="H20" i="1"/>
  <c r="H19" i="1"/>
  <c r="H18" i="1"/>
  <c r="H17" i="1"/>
  <c r="H16" i="1"/>
  <c r="H10" i="1"/>
  <c r="H7" i="1"/>
  <c r="H6" i="1"/>
  <c r="H5" i="1"/>
  <c r="E20" i="1"/>
  <c r="E21" i="1"/>
  <c r="C20" i="1"/>
  <c r="B20" i="1"/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D37" i="1"/>
  <c r="D36" i="1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D22" i="7" l="1"/>
  <c r="N22" i="7"/>
  <c r="AI27" i="9" l="1"/>
  <c r="AI19" i="9" l="1"/>
  <c r="E22" i="1" l="1"/>
  <c r="AI21" i="9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H22" i="1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K16" i="3" l="1"/>
  <c r="K17" i="3"/>
  <c r="K20" i="3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O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N38" i="16"/>
  <c r="N39" i="9"/>
  <c r="H43" i="9"/>
  <c r="F38" i="16"/>
  <c r="Z15" i="9"/>
  <c r="P17" i="9"/>
  <c r="N28" i="9"/>
  <c r="H35" i="9"/>
  <c r="N43" i="9"/>
  <c r="E46" i="9"/>
  <c r="M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P36" i="16"/>
  <c r="G14" i="9"/>
  <c r="Y14" i="9"/>
  <c r="H18" i="9"/>
  <c r="E20" i="9"/>
  <c r="N29" i="9"/>
  <c r="W33" i="9"/>
  <c r="E35" i="9"/>
  <c r="W46" i="9"/>
  <c r="N48" i="9"/>
  <c r="P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F56" i="9"/>
  <c r="I5" i="9" s="1"/>
  <c r="V56" i="9"/>
  <c r="V54" i="9" s="1"/>
  <c r="P56" i="9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P54" i="9"/>
  <c r="F54" i="9"/>
  <c r="C54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P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X54" i="9" l="1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2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P10" i="16" l="1"/>
  <c r="P9" i="16"/>
  <c r="P4" i="16"/>
  <c r="P5" i="16"/>
  <c r="H23" i="8"/>
  <c r="H6" i="8"/>
  <c r="H12" i="8" s="1"/>
  <c r="H10" i="8"/>
  <c r="C21" i="7" l="1"/>
  <c r="B21" i="7"/>
  <c r="H18" i="8"/>
  <c r="H31" i="8"/>
  <c r="H32" i="8"/>
  <c r="H28" i="8"/>
  <c r="D21" i="7" l="1"/>
  <c r="D32" i="7"/>
  <c r="D29" i="7"/>
  <c r="H33" i="8"/>
  <c r="N31" i="16" l="1"/>
  <c r="N11" i="16"/>
  <c r="N6" i="16"/>
  <c r="H11" i="16"/>
  <c r="H6" i="16"/>
  <c r="N24" i="16"/>
  <c r="N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12" i="2" s="1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5" i="15"/>
  <c r="H16" i="15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12" i="2" l="1"/>
  <c r="E23" i="2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O33" i="7"/>
  <c r="J33" i="7"/>
  <c r="E33" i="7"/>
  <c r="J47" i="2"/>
  <c r="H45" i="15"/>
  <c r="H44" i="15"/>
  <c r="P21" i="16"/>
  <c r="P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O11" i="16"/>
  <c r="I41" i="4"/>
  <c r="I20" i="4"/>
  <c r="B46" i="4"/>
  <c r="B47" i="4" s="1"/>
  <c r="D44" i="2"/>
  <c r="M19" i="16"/>
  <c r="C6" i="16"/>
  <c r="C7" i="7"/>
  <c r="H18" i="3"/>
  <c r="B40" i="2"/>
  <c r="F40" i="15"/>
  <c r="O19" i="16"/>
  <c r="B27" i="15"/>
  <c r="B31" i="16"/>
  <c r="D31" i="16"/>
  <c r="M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M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M11" i="16"/>
  <c r="C40" i="4"/>
  <c r="G43" i="3"/>
  <c r="B41" i="4"/>
  <c r="C32" i="4"/>
  <c r="B19" i="16"/>
  <c r="D19" i="16"/>
  <c r="P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P29" i="16"/>
  <c r="P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O6" i="16"/>
  <c r="I5" i="2"/>
  <c r="G7" i="4"/>
  <c r="D7" i="7"/>
  <c r="J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I16" i="2"/>
  <c r="J16" i="2" s="1"/>
  <c r="C41" i="4"/>
  <c r="C40" i="15"/>
  <c r="H25" i="15"/>
  <c r="J25" i="4" s="1"/>
  <c r="C27" i="15"/>
  <c r="E40" i="4"/>
  <c r="E27" i="4"/>
  <c r="O31" i="16"/>
  <c r="P28" i="16"/>
  <c r="P17" i="16"/>
  <c r="C19" i="16"/>
  <c r="O24" i="16"/>
  <c r="P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M6" i="16"/>
  <c r="B7" i="7"/>
  <c r="C43" i="2"/>
  <c r="C35" i="2"/>
  <c r="D21" i="4"/>
  <c r="B7" i="4"/>
  <c r="C12" i="4"/>
  <c r="I12" i="3"/>
  <c r="H10" i="7"/>
  <c r="B18" i="1" s="1"/>
  <c r="C37" i="4"/>
  <c r="I43" i="3"/>
  <c r="I30" i="3"/>
  <c r="H7" i="15" l="1"/>
  <c r="H12" i="15"/>
  <c r="H11" i="1"/>
  <c r="K18" i="3"/>
  <c r="B33" i="1"/>
  <c r="D33" i="1" s="1"/>
  <c r="F31" i="7"/>
  <c r="K22" i="3"/>
  <c r="B21" i="4"/>
  <c r="F20" i="1"/>
  <c r="K7" i="3"/>
  <c r="F21" i="1"/>
  <c r="K12" i="3"/>
  <c r="I6" i="2"/>
  <c r="B5" i="5"/>
  <c r="B11" i="5"/>
  <c r="B5" i="1"/>
  <c r="J5" i="2"/>
  <c r="C5" i="1" s="1"/>
  <c r="H20" i="15"/>
  <c r="B21" i="15"/>
  <c r="H17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I17" i="2"/>
  <c r="J17" i="2" s="1"/>
  <c r="K44" i="3"/>
  <c r="E21" i="4"/>
  <c r="D17" i="5"/>
  <c r="G45" i="3"/>
  <c r="D18" i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P6" i="16"/>
  <c r="H12" i="7"/>
  <c r="P11" i="16"/>
  <c r="J22" i="5"/>
  <c r="J29" i="2"/>
  <c r="I21" i="2"/>
  <c r="J21" i="2" s="1"/>
  <c r="G42" i="4"/>
  <c r="P24" i="16"/>
  <c r="J32" i="4"/>
  <c r="K32" i="4" s="1"/>
  <c r="C37" i="1"/>
  <c r="H27" i="15"/>
  <c r="B16" i="1"/>
  <c r="C17" i="1"/>
  <c r="J41" i="4"/>
  <c r="K41" i="4" s="1"/>
  <c r="P19" i="16"/>
  <c r="D19" i="1"/>
  <c r="G19" i="1" s="1"/>
  <c r="J20" i="4"/>
  <c r="K20" i="4" s="1"/>
  <c r="H7" i="7"/>
  <c r="P31" i="16"/>
  <c r="J38" i="2"/>
  <c r="B15" i="5" s="1"/>
  <c r="B17" i="5" s="1"/>
  <c r="I40" i="2"/>
  <c r="J40" i="2" s="1"/>
  <c r="K31" i="4"/>
  <c r="C28" i="1" s="1"/>
  <c r="I30" i="2"/>
  <c r="J30" i="2" s="1"/>
  <c r="E36" i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7" i="1"/>
  <c r="I7" i="1" s="1"/>
  <c r="F7" i="1"/>
  <c r="G18" i="1"/>
  <c r="I18" i="1" s="1"/>
  <c r="F18" i="1"/>
  <c r="C20" i="5"/>
  <c r="D16" i="1"/>
  <c r="C22" i="1"/>
  <c r="H21" i="15"/>
  <c r="F22" i="7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B8" i="1"/>
  <c r="C8" i="1"/>
  <c r="C11" i="1" s="1"/>
  <c r="M21" i="7" s="1"/>
  <c r="B10" i="1"/>
  <c r="F19" i="1"/>
  <c r="I45" i="2"/>
  <c r="J45" i="2" s="1"/>
  <c r="K45" i="3"/>
  <c r="I23" i="2"/>
  <c r="J23" i="2" s="1"/>
  <c r="J42" i="4"/>
  <c r="K42" i="4" s="1"/>
  <c r="H42" i="15"/>
  <c r="B17" i="1"/>
  <c r="D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B12" i="5" l="1"/>
  <c r="E10" i="5"/>
  <c r="F10" i="5" s="1"/>
  <c r="I10" i="5" s="1"/>
  <c r="G16" i="1"/>
  <c r="G5" i="1"/>
  <c r="G6" i="1"/>
  <c r="G17" i="1"/>
  <c r="B11" i="1"/>
  <c r="L21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N32" i="7" l="1"/>
  <c r="P31" i="7"/>
  <c r="I31" i="7"/>
  <c r="P29" i="7"/>
  <c r="I27" i="7"/>
  <c r="N27" i="7"/>
  <c r="P27" i="7" s="1"/>
  <c r="D11" i="1"/>
  <c r="F22" i="1"/>
  <c r="I22" i="7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20" i="5"/>
  <c r="I20" i="5" s="1"/>
  <c r="F12" i="5"/>
  <c r="H12" i="5" s="1"/>
  <c r="H10" i="5"/>
  <c r="F11" i="1" l="1"/>
  <c r="I32" i="7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G8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11" i="1" s="1"/>
  <c r="I8" i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<sst xmlns="http://schemas.openxmlformats.org/spreadsheetml/2006/main" count="691" uniqueCount="243">
  <si>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</si>
  <si>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</si>
  <si>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</si>
  <si>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</si>
  <si>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</si>
  <si>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</si>
  <si>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</si>
  <si>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</si>
  <si>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</si>
  <si>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</si>
  <si>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</si>
  <si>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</si>
  <si>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</si>
  <si>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</si>
  <si>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</si>
  <si>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</si>
  <si>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</si>
  <si>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</si>
  <si>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</si>
  <si>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</si>
  <si>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</si>
  <si>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</si>
  <si>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</si>
  <si>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</si>
  <si>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</si>
  <si>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</si>
  <si>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</si>
  <si>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</si>
  <si>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</si>
  <si>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</si>
  <si>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</si>
  <si>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</si>
  <si>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</si>
  <si>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</si>
  <si>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</si>
  <si>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</si>
  <si>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</si>
  <si>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</si>
  <si>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</si>
  <si>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</si>
  <si>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</si>
  <si>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</si>
  <si>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</si>
  <si>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</si>
  <si>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</si>
  <si>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</si>
  <si>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</si>
  <si>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</si>
  <si>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</si>
  <si>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</si>
  <si>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</si>
  <si>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</si>
  <si>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</si>
  <si>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</si>
  <si>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</si>
  <si>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</si>
  <si>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</si>
  <si>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</si>
  <si>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</si>
  <si>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</si>
  <si>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</si>
  <si>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</si>
  <si>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</si>
  <si>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</si>
  <si>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</si>
  <si>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</si>
  <si>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</si>
  <si>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</si>
  <si>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</si>
  <si>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</si>
  <si>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</si>
  <si>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</si>
  <si>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</si>
  <si>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</si>
  <si>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</si>
  <si>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</si>
  <si>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</si>
  <si>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</si>
  <si>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</si>
  <si>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</si>
  <si>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</si>
  <si>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</si>
  <si>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</si>
  <si>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</si>
  <si>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</si>
  <si>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</si>
  <si>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</si>
  <si>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</si>
  <si>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</si>
  <si>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</si>
  <si>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</si>
  <si>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</si>
  <si>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</si>
  <si>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</si>
  <si>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</si>
  <si>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</si>
  <si>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</si>
  <si>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</si>
  <si>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</si>
  <si>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</si>
  <si>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</si>
  <si>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</si>
  <si>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</si>
  <si>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</si>
  <si>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</si>
  <si>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</si>
  <si>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</si>
  <si>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</si>
  <si>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</si>
  <si>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</si>
  <si>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</si>
  <si>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</si>
  <si>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</si>
  <si>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</si>
  <si>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</si>
  <si>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</si>
  <si>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</si>
  <si>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</si>
  <si>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</si>
  <si>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</si>
  <si>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</si>
  <si>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</si>
  <si>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</si>
  <si>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</si>
  <si>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</si>
  <si>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</si>
  <si>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</si>
  <si>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</si>
  <si>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</si>
  <si>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</si>
  <si>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</si>
  <si>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</si>
  <si>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</si>
  <si>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</si>
  <si>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</si>
  <si>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</si>
  <si>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</si>
  <si>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</si>
  <si>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</si>
  <si>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</si>
  <si>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</si>
  <si>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</si>
  <si>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</si>
  <si>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</si>
  <si>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</si>
  <si>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</si>
  <si>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</si>
  <si>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</si>
  <si>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</si>
  <si>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</si>
  <si>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</si>
  <si>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</si>
  <si>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</si>
  <si>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</si>
  <si>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</si>
  <si>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</si>
  <si>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</si>
  <si>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</si>
  <si>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</si>
  <si>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</si>
  <si>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</si>
  <si>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</si>
  <si>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</si>
  <si>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</si>
  <si>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</si>
  <si>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</si>
  <si>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</si>
  <si>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</si>
  <si>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</si>
  <si>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</si>
  <si>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</si>
  <si>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</si>
  <si>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</si>
  <si>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</si>
  <si>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</si>
  <si>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</si>
  <si>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</si>
  <si>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</si>
  <si>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</si>
  <si>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</si>
  <si>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</si>
  <si>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</si>
  <si>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</si>
  <si>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</si>
  <si>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</si>
  <si>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</si>
  <si>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</si>
  <si>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</si>
  <si>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</si>
  <si>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</si>
  <si>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</si>
  <si>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</si>
  <si>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</si>
  <si>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</si>
  <si>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</si>
  <si>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</si>
  <si>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</si>
  <si>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</si>
  <si>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</si>
  <si>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</si>
  <si>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</si>
  <si>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</si>
  <si>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</si>
  <si>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</si>
  <si>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</si>
  <si>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</si>
  <si>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</si>
  <si>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</si>
  <si>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</si>
  <si>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</si>
  <si>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</si>
  <si>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</si>
  <si>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</si>
  <si>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</si>
  <si>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</si>
  <si>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</si>
  <si>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</si>
  <si>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</si>
  <si>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</si>
  <si>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</si>
  <si>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</si>
  <si>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</si>
  <si>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</si>
  <si>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</si>
  <si>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</si>
  <si>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</si>
  <si>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</si>
  <si>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</si>
  <si>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</si>
  <si>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>January 2025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</si>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</sst>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  <cell r="D5">
            <v>2069087</v>
          </cell>
          <cell r="G5">
            <v>2069087</v>
          </cell>
        </row>
        <row r="6">
          <cell r="D6">
            <v>406985</v>
          </cell>
          <cell r="G6">
            <v>406985</v>
          </cell>
        </row>
        <row r="7">
          <cell r="D7">
            <v>0</v>
          </cell>
          <cell r="G7">
            <v>0</v>
          </cell>
        </row>
        <row r="10">
          <cell r="D10">
            <v>80236</v>
          </cell>
          <cell r="G10">
            <v>80236</v>
          </cell>
        </row>
        <row r="16">
          <cell r="D16">
            <v>16162</v>
          </cell>
          <cell r="G16">
            <v>16162</v>
          </cell>
        </row>
        <row r="17">
          <cell r="D17">
            <v>7858</v>
          </cell>
          <cell r="G17">
            <v>7858</v>
          </cell>
        </row>
        <row r="18">
          <cell r="D18">
            <v>0</v>
          </cell>
          <cell r="G18">
            <v>0</v>
          </cell>
        </row>
        <row r="19">
          <cell r="D19">
            <v>1056</v>
          </cell>
          <cell r="G19">
            <v>1056</v>
          </cell>
        </row>
        <row r="20">
          <cell r="D20">
            <v>1127</v>
          </cell>
          <cell r="G20">
            <v>1127</v>
          </cell>
        </row>
        <row r="21">
          <cell r="D21">
            <v>68</v>
          </cell>
          <cell r="G21">
            <v>68</v>
          </cell>
        </row>
        <row r="27">
          <cell r="D27">
            <v>13318.852128704199</v>
          </cell>
          <cell r="G27">
            <v>13318.852128704199</v>
          </cell>
        </row>
        <row r="28">
          <cell r="D28">
            <v>1964.97711538821</v>
          </cell>
          <cell r="G28">
            <v>1964.97711538821</v>
          </cell>
        </row>
        <row r="32">
          <cell r="B32">
            <v>844370</v>
          </cell>
        </row>
        <row r="33">
          <cell r="B33">
            <v>392161</v>
          </cell>
        </row>
      </sheetData>
      <sheetData sheetId="1"/>
      <sheetData sheetId="2"/>
      <sheetData sheetId="3"/>
      <sheetData sheetId="4"/>
      <sheetData sheetId="5">
        <row r="21"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F5">
            <v>8195.9813080605454</v>
          </cell>
          <cell r="I5">
            <v>8195.9813080605454</v>
          </cell>
        </row>
        <row r="6">
          <cell r="F6">
            <v>195.74007620321001</v>
          </cell>
          <cell r="I6">
            <v>195.74007620321001</v>
          </cell>
        </row>
        <row r="10">
          <cell r="F10">
            <v>6720.9551209151887</v>
          </cell>
          <cell r="I10">
            <v>6720.9551209151887</v>
          </cell>
        </row>
        <row r="11">
          <cell r="F11">
            <v>195.08372804382</v>
          </cell>
          <cell r="I11">
            <v>195.08372804382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14916.936428975734</v>
          </cell>
          <cell r="I20">
            <v>14916.936428975734</v>
          </cell>
        </row>
        <row r="21">
          <cell r="F21">
            <v>390.82380424703001</v>
          </cell>
          <cell r="I21">
            <v>390.82380424703001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  <sheetName val="Air Canada"/>
    </sheetNames>
    <sheetDataSet>
      <sheetData sheetId="0"/>
      <sheetData sheetId="1"/>
      <sheetData sheetId="2">
        <row r="12">
          <cell r="EZ12">
            <v>232</v>
          </cell>
        </row>
      </sheetData>
      <sheetData sheetId="3"/>
      <sheetData sheetId="4">
        <row r="8">
          <cell r="JV8"/>
        </row>
        <row r="9">
          <cell r="JV9"/>
        </row>
        <row r="15">
          <cell r="JV15">
            <v>5</v>
          </cell>
        </row>
        <row r="16">
          <cell r="JV16">
            <v>5</v>
          </cell>
        </row>
        <row r="19">
          <cell r="JH19">
            <v>0</v>
          </cell>
          <cell r="JV19">
            <v>10</v>
          </cell>
        </row>
        <row r="32">
          <cell r="JV32">
            <v>103</v>
          </cell>
        </row>
        <row r="33">
          <cell r="JV33">
            <v>284</v>
          </cell>
        </row>
        <row r="37">
          <cell r="JV37">
            <v>2</v>
          </cell>
        </row>
        <row r="38">
          <cell r="JV38">
            <v>1</v>
          </cell>
        </row>
        <row r="41">
          <cell r="JH41">
            <v>0</v>
          </cell>
          <cell r="JV41">
            <v>387</v>
          </cell>
        </row>
        <row r="43">
          <cell r="JH43">
            <v>0</v>
          </cell>
          <cell r="JV43">
            <v>390</v>
          </cell>
        </row>
        <row r="47">
          <cell r="JV47">
            <v>22</v>
          </cell>
        </row>
        <row r="48">
          <cell r="JV48"/>
        </row>
        <row r="52">
          <cell r="JV52">
            <v>10694.7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10716.7</v>
          </cell>
        </row>
      </sheetData>
      <sheetData sheetId="5">
        <row r="8">
          <cell r="JV8"/>
        </row>
        <row r="9">
          <cell r="JV9"/>
        </row>
        <row r="15">
          <cell r="JV15"/>
        </row>
        <row r="16">
          <cell r="JV16"/>
        </row>
        <row r="19">
          <cell r="JH19">
            <v>0</v>
          </cell>
          <cell r="JV19">
            <v>0</v>
          </cell>
        </row>
        <row r="32">
          <cell r="JV32"/>
        </row>
        <row r="33">
          <cell r="JV33"/>
        </row>
        <row r="37">
          <cell r="JV37"/>
        </row>
        <row r="38">
          <cell r="JV38"/>
        </row>
        <row r="41">
          <cell r="JH41">
            <v>0</v>
          </cell>
          <cell r="JV41">
            <v>0</v>
          </cell>
        </row>
        <row r="43">
          <cell r="JH43">
            <v>0</v>
          </cell>
          <cell r="JV43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6">
        <row r="4">
          <cell r="JV4"/>
        </row>
        <row r="5">
          <cell r="JV5"/>
        </row>
        <row r="8">
          <cell r="JV8"/>
        </row>
        <row r="9">
          <cell r="JV9"/>
        </row>
        <row r="19">
          <cell r="JH19">
            <v>54</v>
          </cell>
          <cell r="JV19">
            <v>0</v>
          </cell>
        </row>
        <row r="22">
          <cell r="JV22"/>
        </row>
        <row r="23">
          <cell r="JV23"/>
        </row>
        <row r="27">
          <cell r="JV27"/>
        </row>
        <row r="28">
          <cell r="JV28"/>
        </row>
        <row r="41">
          <cell r="JH41">
            <v>7406</v>
          </cell>
          <cell r="JV41">
            <v>0</v>
          </cell>
        </row>
        <row r="43">
          <cell r="JH43">
            <v>7406</v>
          </cell>
          <cell r="JV43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7">
        <row r="4">
          <cell r="JV4"/>
        </row>
        <row r="5">
          <cell r="JV5"/>
        </row>
        <row r="8">
          <cell r="JV8"/>
        </row>
        <row r="9">
          <cell r="JV9"/>
        </row>
        <row r="15">
          <cell r="JV15">
            <v>17</v>
          </cell>
        </row>
        <row r="16">
          <cell r="JV16">
            <v>17</v>
          </cell>
        </row>
        <row r="19">
          <cell r="JH19">
            <v>0</v>
          </cell>
          <cell r="JV19">
            <v>34</v>
          </cell>
        </row>
        <row r="22">
          <cell r="JV22"/>
        </row>
        <row r="23">
          <cell r="JV23"/>
        </row>
        <row r="27">
          <cell r="JV27"/>
        </row>
        <row r="28">
          <cell r="JV28"/>
        </row>
        <row r="32">
          <cell r="JV32">
            <v>1721</v>
          </cell>
        </row>
        <row r="33">
          <cell r="JV33">
            <v>1316</v>
          </cell>
        </row>
        <row r="37">
          <cell r="JV37">
            <v>7</v>
          </cell>
        </row>
        <row r="38">
          <cell r="JV38">
            <v>8</v>
          </cell>
        </row>
        <row r="41">
          <cell r="JH41">
            <v>0</v>
          </cell>
          <cell r="JV41">
            <v>3037</v>
          </cell>
        </row>
        <row r="43">
          <cell r="JH43">
            <v>0</v>
          </cell>
          <cell r="JV43">
            <v>3052</v>
          </cell>
        </row>
        <row r="47">
          <cell r="JV47">
            <v>143.30000000000001</v>
          </cell>
        </row>
        <row r="48">
          <cell r="JV48"/>
        </row>
        <row r="52">
          <cell r="JV52">
            <v>2301.62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2444.92</v>
          </cell>
        </row>
      </sheetData>
      <sheetData sheetId="8">
        <row r="4">
          <cell r="JV4">
            <v>57</v>
          </cell>
        </row>
        <row r="5">
          <cell r="JV5">
            <v>57</v>
          </cell>
        </row>
        <row r="8">
          <cell r="JV8">
            <v>1</v>
          </cell>
        </row>
        <row r="9">
          <cell r="JV9">
            <v>1</v>
          </cell>
        </row>
        <row r="19">
          <cell r="JH19">
            <v>127</v>
          </cell>
          <cell r="JV19">
            <v>116</v>
          </cell>
        </row>
        <row r="22">
          <cell r="JV22">
            <v>8459</v>
          </cell>
        </row>
        <row r="23">
          <cell r="JV23">
            <v>9163</v>
          </cell>
        </row>
        <row r="27">
          <cell r="JV27">
            <v>288</v>
          </cell>
        </row>
        <row r="28">
          <cell r="JV28">
            <v>332</v>
          </cell>
        </row>
        <row r="41">
          <cell r="JH41">
            <v>17509</v>
          </cell>
          <cell r="JV41">
            <v>17622</v>
          </cell>
        </row>
        <row r="43">
          <cell r="JH43">
            <v>18259</v>
          </cell>
          <cell r="JV43">
            <v>18242</v>
          </cell>
        </row>
        <row r="47">
          <cell r="JV47">
            <v>13600</v>
          </cell>
        </row>
        <row r="48">
          <cell r="JV48">
            <v>4245</v>
          </cell>
        </row>
        <row r="52">
          <cell r="JV52">
            <v>7775</v>
          </cell>
        </row>
        <row r="53">
          <cell r="JV53">
            <v>2466</v>
          </cell>
        </row>
        <row r="57">
          <cell r="JV57"/>
        </row>
        <row r="58">
          <cell r="JV58"/>
        </row>
        <row r="64">
          <cell r="JH64">
            <v>18276</v>
          </cell>
          <cell r="JV64">
            <v>28086</v>
          </cell>
        </row>
      </sheetData>
      <sheetData sheetId="9"/>
      <sheetData sheetId="10">
        <row r="4">
          <cell r="JV4">
            <v>294</v>
          </cell>
        </row>
        <row r="5">
          <cell r="JV5">
            <v>293</v>
          </cell>
        </row>
        <row r="8">
          <cell r="JV8"/>
        </row>
        <row r="9">
          <cell r="JV9"/>
        </row>
        <row r="19">
          <cell r="JH19">
            <v>768</v>
          </cell>
          <cell r="JV19">
            <v>587</v>
          </cell>
        </row>
        <row r="22">
          <cell r="JV22">
            <v>36866</v>
          </cell>
        </row>
        <row r="23">
          <cell r="JV23">
            <v>38128</v>
          </cell>
        </row>
        <row r="27">
          <cell r="JV27">
            <v>1269</v>
          </cell>
        </row>
        <row r="28">
          <cell r="JV28">
            <v>1503</v>
          </cell>
        </row>
        <row r="41">
          <cell r="JH41">
            <v>94162</v>
          </cell>
          <cell r="JV41">
            <v>74994</v>
          </cell>
        </row>
        <row r="43">
          <cell r="JH43">
            <v>97807</v>
          </cell>
          <cell r="JV43">
            <v>77766</v>
          </cell>
        </row>
        <row r="47">
          <cell r="JV47">
            <v>12154</v>
          </cell>
        </row>
        <row r="48">
          <cell r="JV48">
            <v>23651</v>
          </cell>
        </row>
        <row r="52">
          <cell r="JV52">
            <v>3958</v>
          </cell>
        </row>
        <row r="53">
          <cell r="JV53">
            <v>73243</v>
          </cell>
        </row>
        <row r="57">
          <cell r="JV57"/>
        </row>
        <row r="58">
          <cell r="JV58"/>
        </row>
        <row r="64">
          <cell r="JH64">
            <v>23081</v>
          </cell>
          <cell r="JV64">
            <v>113006</v>
          </cell>
        </row>
      </sheetData>
      <sheetData sheetId="11"/>
      <sheetData sheetId="12">
        <row r="12">
          <cell r="EZ12">
            <v>151</v>
          </cell>
        </row>
      </sheetData>
      <sheetData sheetId="13">
        <row r="12">
          <cell r="EZ12">
            <v>0</v>
          </cell>
        </row>
      </sheetData>
      <sheetData sheetId="14">
        <row r="4">
          <cell r="JV4">
            <v>4550</v>
          </cell>
        </row>
        <row r="5">
          <cell r="JV5">
            <v>4540</v>
          </cell>
        </row>
        <row r="8">
          <cell r="JV8">
            <v>3</v>
          </cell>
        </row>
        <row r="9">
          <cell r="JV9">
            <v>6</v>
          </cell>
        </row>
        <row r="15">
          <cell r="JV15">
            <v>677</v>
          </cell>
        </row>
        <row r="16">
          <cell r="JV16">
            <v>676</v>
          </cell>
        </row>
        <row r="19">
          <cell r="JH19">
            <v>10888</v>
          </cell>
          <cell r="JV19">
            <v>10452</v>
          </cell>
        </row>
        <row r="22">
          <cell r="JV22">
            <v>578671</v>
          </cell>
        </row>
        <row r="23">
          <cell r="JV23">
            <v>605797</v>
          </cell>
        </row>
        <row r="27">
          <cell r="JV27">
            <v>22408</v>
          </cell>
        </row>
        <row r="28">
          <cell r="JV28">
            <v>22924</v>
          </cell>
        </row>
        <row r="32">
          <cell r="JV32">
            <v>111473</v>
          </cell>
        </row>
        <row r="33">
          <cell r="JV33">
            <v>106427</v>
          </cell>
        </row>
        <row r="37">
          <cell r="JV37">
            <v>3348</v>
          </cell>
        </row>
        <row r="38">
          <cell r="JV38">
            <v>3121</v>
          </cell>
        </row>
        <row r="41">
          <cell r="JH41">
            <v>1449484</v>
          </cell>
          <cell r="JV41">
            <v>1402368</v>
          </cell>
        </row>
        <row r="43">
          <cell r="JH43">
            <v>1498060</v>
          </cell>
          <cell r="JV43">
            <v>1454169</v>
          </cell>
        </row>
        <row r="47">
          <cell r="JV47">
            <v>3033329</v>
          </cell>
        </row>
        <row r="48">
          <cell r="JV48">
            <v>153217</v>
          </cell>
        </row>
        <row r="52">
          <cell r="JV52">
            <v>1926427</v>
          </cell>
        </row>
        <row r="53">
          <cell r="JV53">
            <v>311139</v>
          </cell>
        </row>
        <row r="57">
          <cell r="JV57"/>
        </row>
        <row r="58">
          <cell r="JV58"/>
        </row>
        <row r="64">
          <cell r="JH64">
            <v>5135791</v>
          </cell>
          <cell r="JV64">
            <v>5424112</v>
          </cell>
        </row>
        <row r="70">
          <cell r="JV70">
            <v>401156</v>
          </cell>
        </row>
        <row r="71">
          <cell r="JV71">
            <v>204641</v>
          </cell>
        </row>
        <row r="73">
          <cell r="JV73">
            <v>70475</v>
          </cell>
        </row>
        <row r="74">
          <cell r="JV74">
            <v>35952</v>
          </cell>
        </row>
      </sheetData>
      <sheetData sheetId="15">
        <row r="4">
          <cell r="JV4">
            <v>79</v>
          </cell>
        </row>
        <row r="5">
          <cell r="JV5">
            <v>79</v>
          </cell>
        </row>
        <row r="8">
          <cell r="JV8"/>
        </row>
        <row r="9">
          <cell r="JV9"/>
        </row>
        <row r="15">
          <cell r="JV15"/>
        </row>
        <row r="16">
          <cell r="JV16"/>
        </row>
        <row r="19">
          <cell r="JH19">
            <v>154</v>
          </cell>
          <cell r="JV19">
            <v>158</v>
          </cell>
        </row>
        <row r="22">
          <cell r="JV22">
            <v>910</v>
          </cell>
        </row>
        <row r="23">
          <cell r="JV23">
            <v>816</v>
          </cell>
        </row>
        <row r="27">
          <cell r="JV27">
            <v>33</v>
          </cell>
        </row>
        <row r="28">
          <cell r="JV28">
            <v>34</v>
          </cell>
        </row>
        <row r="32">
          <cell r="JV32"/>
        </row>
        <row r="33">
          <cell r="JV33"/>
        </row>
        <row r="37">
          <cell r="JV37"/>
        </row>
        <row r="38">
          <cell r="JV38"/>
        </row>
        <row r="41">
          <cell r="JH41">
            <v>1818</v>
          </cell>
          <cell r="JV41">
            <v>1726</v>
          </cell>
        </row>
        <row r="43">
          <cell r="JH43">
            <v>1857</v>
          </cell>
          <cell r="JV43">
            <v>1793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16">
        <row r="4">
          <cell r="JV4">
            <v>77</v>
          </cell>
        </row>
        <row r="5">
          <cell r="JV5">
            <v>76</v>
          </cell>
        </row>
        <row r="8">
          <cell r="JV8"/>
        </row>
        <row r="9">
          <cell r="JV9"/>
        </row>
        <row r="15">
          <cell r="JV15"/>
        </row>
        <row r="16">
          <cell r="JV16"/>
        </row>
        <row r="19">
          <cell r="JH19">
            <v>168</v>
          </cell>
          <cell r="JV19">
            <v>153</v>
          </cell>
        </row>
        <row r="22">
          <cell r="JV22">
            <v>12506</v>
          </cell>
        </row>
        <row r="23">
          <cell r="JV23">
            <v>12645</v>
          </cell>
        </row>
        <row r="27">
          <cell r="JV27">
            <v>113</v>
          </cell>
        </row>
        <row r="28">
          <cell r="JV28">
            <v>124</v>
          </cell>
        </row>
        <row r="32">
          <cell r="JV32"/>
        </row>
        <row r="33">
          <cell r="JV33"/>
        </row>
        <row r="37">
          <cell r="JV37"/>
        </row>
        <row r="38">
          <cell r="JV38"/>
        </row>
        <row r="41">
          <cell r="JH41">
            <v>28503</v>
          </cell>
          <cell r="JV41">
            <v>25151</v>
          </cell>
        </row>
        <row r="43">
          <cell r="JH43">
            <v>28696</v>
          </cell>
          <cell r="JV43">
            <v>25388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17">
        <row r="8">
          <cell r="JV8"/>
        </row>
        <row r="9">
          <cell r="JV9"/>
        </row>
        <row r="15">
          <cell r="JV15">
            <v>17</v>
          </cell>
        </row>
        <row r="16">
          <cell r="JV16">
            <v>17</v>
          </cell>
        </row>
        <row r="19">
          <cell r="JH19">
            <v>8</v>
          </cell>
          <cell r="JV19">
            <v>34</v>
          </cell>
        </row>
        <row r="32">
          <cell r="JV32">
            <v>2133</v>
          </cell>
        </row>
        <row r="33">
          <cell r="JV33">
            <v>2014</v>
          </cell>
        </row>
        <row r="37">
          <cell r="JV37">
            <v>41</v>
          </cell>
        </row>
        <row r="38">
          <cell r="JV38">
            <v>42</v>
          </cell>
        </row>
        <row r="41">
          <cell r="JH41">
            <v>1028</v>
          </cell>
          <cell r="JV41">
            <v>4147</v>
          </cell>
        </row>
        <row r="43">
          <cell r="JH43">
            <v>1037</v>
          </cell>
          <cell r="JV43">
            <v>4230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18">
        <row r="12">
          <cell r="EZ12">
            <v>0</v>
          </cell>
        </row>
      </sheetData>
      <sheetData sheetId="19">
        <row r="4">
          <cell r="JV4"/>
        </row>
        <row r="5">
          <cell r="JV5"/>
        </row>
        <row r="8">
          <cell r="JV8"/>
        </row>
        <row r="9">
          <cell r="JV9"/>
        </row>
        <row r="15">
          <cell r="JV15"/>
        </row>
        <row r="16">
          <cell r="JV16"/>
        </row>
        <row r="19">
          <cell r="JH19">
            <v>0</v>
          </cell>
          <cell r="JV19">
            <v>0</v>
          </cell>
        </row>
        <row r="22">
          <cell r="JV22"/>
        </row>
        <row r="23">
          <cell r="JV23"/>
        </row>
        <row r="27">
          <cell r="JV27"/>
        </row>
        <row r="28">
          <cell r="JV28"/>
        </row>
        <row r="32">
          <cell r="JV32"/>
        </row>
        <row r="33">
          <cell r="JV33"/>
        </row>
        <row r="37">
          <cell r="JV37"/>
        </row>
        <row r="38">
          <cell r="JV38"/>
        </row>
        <row r="41">
          <cell r="JH41">
            <v>0</v>
          </cell>
          <cell r="JV41">
            <v>0</v>
          </cell>
        </row>
        <row r="43">
          <cell r="JH43">
            <v>0</v>
          </cell>
          <cell r="JV43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20"/>
      <sheetData sheetId="21"/>
      <sheetData sheetId="22">
        <row r="4">
          <cell r="JV4"/>
        </row>
        <row r="5">
          <cell r="JV5"/>
        </row>
        <row r="8">
          <cell r="JV8"/>
        </row>
        <row r="9">
          <cell r="JV9"/>
        </row>
        <row r="15">
          <cell r="JV15"/>
        </row>
        <row r="16">
          <cell r="JV16"/>
        </row>
        <row r="19">
          <cell r="JH19">
            <v>34</v>
          </cell>
          <cell r="JV19">
            <v>0</v>
          </cell>
        </row>
        <row r="22">
          <cell r="JV22"/>
        </row>
        <row r="23">
          <cell r="JV23"/>
        </row>
        <row r="27">
          <cell r="JV27"/>
        </row>
        <row r="28">
          <cell r="JV28"/>
        </row>
        <row r="32">
          <cell r="JV32"/>
        </row>
        <row r="33">
          <cell r="JV33"/>
        </row>
        <row r="37">
          <cell r="JV37"/>
        </row>
        <row r="38">
          <cell r="JV38"/>
        </row>
        <row r="41">
          <cell r="JH41">
            <v>6268</v>
          </cell>
          <cell r="JV41">
            <v>0</v>
          </cell>
        </row>
        <row r="43">
          <cell r="JH43">
            <v>6409</v>
          </cell>
          <cell r="JV43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534234</v>
          </cell>
          <cell r="JV64">
            <v>0</v>
          </cell>
        </row>
      </sheetData>
      <sheetData sheetId="23">
        <row r="4">
          <cell r="JV4">
            <v>378</v>
          </cell>
        </row>
        <row r="5">
          <cell r="JV5">
            <v>376</v>
          </cell>
        </row>
        <row r="8">
          <cell r="JV8"/>
        </row>
        <row r="9">
          <cell r="JV9"/>
        </row>
        <row r="19">
          <cell r="JH19">
            <v>885</v>
          </cell>
          <cell r="JV19">
            <v>754</v>
          </cell>
        </row>
        <row r="22">
          <cell r="JV22">
            <v>42479</v>
          </cell>
        </row>
        <row r="23">
          <cell r="JV23">
            <v>42361</v>
          </cell>
        </row>
        <row r="27">
          <cell r="JV27">
            <v>1438</v>
          </cell>
        </row>
        <row r="28">
          <cell r="JV28">
            <v>1672</v>
          </cell>
        </row>
        <row r="41">
          <cell r="JH41">
            <v>91333</v>
          </cell>
          <cell r="JV41">
            <v>84840</v>
          </cell>
        </row>
        <row r="43">
          <cell r="JH43">
            <v>94783</v>
          </cell>
          <cell r="JV43">
            <v>87950</v>
          </cell>
        </row>
        <row r="47">
          <cell r="JV47">
            <v>129746</v>
          </cell>
        </row>
        <row r="48">
          <cell r="JV48"/>
        </row>
        <row r="52">
          <cell r="JV52">
            <v>54062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197876</v>
          </cell>
          <cell r="JV64">
            <v>183808</v>
          </cell>
        </row>
      </sheetData>
      <sheetData sheetId="24">
        <row r="12">
          <cell r="EZ12">
            <v>792</v>
          </cell>
        </row>
        <row r="19">
          <cell r="JH19">
            <v>150</v>
          </cell>
          <cell r="JV19">
            <v>0</v>
          </cell>
        </row>
        <row r="41">
          <cell r="JH41">
            <v>21226</v>
          </cell>
          <cell r="JV41">
            <v>0</v>
          </cell>
        </row>
        <row r="43">
          <cell r="JH43">
            <v>21435</v>
          </cell>
          <cell r="JV43">
            <v>0</v>
          </cell>
        </row>
        <row r="64">
          <cell r="JH64">
            <v>0</v>
          </cell>
          <cell r="JV64">
            <v>0</v>
          </cell>
        </row>
      </sheetData>
      <sheetData sheetId="25">
        <row r="4">
          <cell r="JV4">
            <v>637</v>
          </cell>
        </row>
        <row r="5">
          <cell r="JV5">
            <v>642</v>
          </cell>
        </row>
        <row r="8">
          <cell r="JV8">
            <v>70</v>
          </cell>
        </row>
        <row r="9">
          <cell r="JV9">
            <v>74</v>
          </cell>
        </row>
        <row r="15">
          <cell r="JV15">
            <v>193</v>
          </cell>
        </row>
        <row r="16">
          <cell r="JV16">
            <v>194</v>
          </cell>
        </row>
        <row r="19">
          <cell r="JH19">
            <v>2089</v>
          </cell>
          <cell r="JV19">
            <v>1810</v>
          </cell>
        </row>
        <row r="22">
          <cell r="JV22">
            <v>98459</v>
          </cell>
        </row>
        <row r="23">
          <cell r="JV23">
            <v>104072</v>
          </cell>
        </row>
        <row r="27">
          <cell r="JV27">
            <v>2276</v>
          </cell>
        </row>
        <row r="28">
          <cell r="JV28">
            <v>2367</v>
          </cell>
        </row>
        <row r="32">
          <cell r="JV32">
            <v>28855</v>
          </cell>
        </row>
        <row r="33">
          <cell r="JV33">
            <v>28510</v>
          </cell>
        </row>
        <row r="37">
          <cell r="JV37">
            <v>681</v>
          </cell>
        </row>
        <row r="38">
          <cell r="JV38">
            <v>672</v>
          </cell>
        </row>
        <row r="41">
          <cell r="JH41">
            <v>256789</v>
          </cell>
          <cell r="JV41">
            <v>259896</v>
          </cell>
        </row>
        <row r="43">
          <cell r="JH43">
            <v>262084</v>
          </cell>
          <cell r="JV43">
            <v>265892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26"/>
      <sheetData sheetId="27"/>
      <sheetData sheetId="28">
        <row r="4">
          <cell r="JV4">
            <v>358</v>
          </cell>
        </row>
        <row r="5">
          <cell r="JV5">
            <v>354</v>
          </cell>
        </row>
        <row r="8">
          <cell r="JV8"/>
        </row>
        <row r="9">
          <cell r="JV9">
            <v>3</v>
          </cell>
        </row>
        <row r="19">
          <cell r="JH19">
            <v>709</v>
          </cell>
          <cell r="JV19">
            <v>715</v>
          </cell>
        </row>
        <row r="22">
          <cell r="JV22">
            <v>41846</v>
          </cell>
        </row>
        <row r="23">
          <cell r="JV23">
            <v>42137</v>
          </cell>
        </row>
        <row r="27">
          <cell r="JV27">
            <v>1900</v>
          </cell>
        </row>
        <row r="28">
          <cell r="JV28">
            <v>2010</v>
          </cell>
        </row>
        <row r="41">
          <cell r="JH41">
            <v>83717</v>
          </cell>
          <cell r="JV41">
            <v>83983</v>
          </cell>
        </row>
        <row r="43">
          <cell r="JH43">
            <v>88048</v>
          </cell>
          <cell r="JV43">
            <v>87893</v>
          </cell>
        </row>
        <row r="47">
          <cell r="JV47">
            <v>34819</v>
          </cell>
        </row>
        <row r="48">
          <cell r="JV48">
            <v>153534</v>
          </cell>
        </row>
        <row r="52">
          <cell r="JV52">
            <v>6351</v>
          </cell>
        </row>
        <row r="53">
          <cell r="JV53">
            <v>166492</v>
          </cell>
        </row>
        <row r="57">
          <cell r="JV57"/>
        </row>
        <row r="58">
          <cell r="JV58"/>
        </row>
        <row r="64">
          <cell r="JH64">
            <v>13175</v>
          </cell>
          <cell r="JV64">
            <v>361196</v>
          </cell>
        </row>
      </sheetData>
      <sheetData sheetId="29">
        <row r="4">
          <cell r="JV4"/>
        </row>
        <row r="5">
          <cell r="JV5"/>
        </row>
        <row r="8">
          <cell r="JV8"/>
        </row>
        <row r="9">
          <cell r="JV9"/>
        </row>
        <row r="15">
          <cell r="JV15">
            <v>61</v>
          </cell>
        </row>
        <row r="16">
          <cell r="JV16">
            <v>61</v>
          </cell>
        </row>
        <row r="19">
          <cell r="JH19">
            <v>128</v>
          </cell>
          <cell r="JV19">
            <v>122</v>
          </cell>
        </row>
        <row r="22">
          <cell r="JV22"/>
        </row>
        <row r="23">
          <cell r="JV23"/>
        </row>
        <row r="27">
          <cell r="JV27"/>
        </row>
        <row r="28">
          <cell r="JV28"/>
        </row>
        <row r="32">
          <cell r="JV32">
            <v>4197</v>
          </cell>
        </row>
        <row r="33">
          <cell r="JV33">
            <v>5057</v>
          </cell>
        </row>
        <row r="37">
          <cell r="JV37">
            <v>1</v>
          </cell>
        </row>
        <row r="38">
          <cell r="JV38"/>
        </row>
        <row r="41">
          <cell r="JH41">
            <v>9844</v>
          </cell>
          <cell r="JV41">
            <v>9254</v>
          </cell>
        </row>
        <row r="43">
          <cell r="JH43">
            <v>9849</v>
          </cell>
          <cell r="JV43">
            <v>9255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30">
        <row r="12">
          <cell r="EZ12">
            <v>0</v>
          </cell>
        </row>
      </sheetData>
      <sheetData sheetId="31">
        <row r="4">
          <cell r="JV4">
            <v>97</v>
          </cell>
        </row>
        <row r="5">
          <cell r="JV5">
            <v>95</v>
          </cell>
        </row>
        <row r="8">
          <cell r="JV8"/>
        </row>
        <row r="9">
          <cell r="JV9"/>
        </row>
        <row r="19">
          <cell r="JH19">
            <v>142</v>
          </cell>
          <cell r="JV19">
            <v>192</v>
          </cell>
        </row>
        <row r="22">
          <cell r="JV22">
            <v>5486</v>
          </cell>
        </row>
        <row r="23">
          <cell r="JV23">
            <v>5363</v>
          </cell>
        </row>
        <row r="27">
          <cell r="JV27">
            <v>261</v>
          </cell>
        </row>
        <row r="28">
          <cell r="JV28">
            <v>242</v>
          </cell>
        </row>
        <row r="41">
          <cell r="JH41">
            <v>8120</v>
          </cell>
          <cell r="JV41">
            <v>10849</v>
          </cell>
        </row>
        <row r="43">
          <cell r="JH43">
            <v>8482</v>
          </cell>
          <cell r="JV43">
            <v>11352</v>
          </cell>
        </row>
        <row r="47">
          <cell r="JV47">
            <v>917</v>
          </cell>
        </row>
        <row r="48">
          <cell r="JV48"/>
        </row>
        <row r="52">
          <cell r="JV52">
            <v>1147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1194</v>
          </cell>
          <cell r="JV64">
            <v>2064</v>
          </cell>
        </row>
      </sheetData>
      <sheetData sheetId="32">
        <row r="12">
          <cell r="EZ12">
            <v>0</v>
          </cell>
        </row>
      </sheetData>
      <sheetData sheetId="33">
        <row r="12">
          <cell r="EZ12">
            <v>0</v>
          </cell>
        </row>
      </sheetData>
      <sheetData sheetId="34">
        <row r="12">
          <cell r="EZ12">
            <v>664</v>
          </cell>
        </row>
      </sheetData>
      <sheetData sheetId="35"/>
      <sheetData sheetId="36"/>
      <sheetData sheetId="37"/>
      <sheetData sheetId="38">
        <row r="12">
          <cell r="EZ12">
            <v>1001</v>
          </cell>
        </row>
      </sheetData>
      <sheetData sheetId="39"/>
      <sheetData sheetId="40">
        <row r="12">
          <cell r="EZ12">
            <v>24</v>
          </cell>
        </row>
        <row r="58">
          <cell r="BG58"/>
        </row>
      </sheetData>
      <sheetData sheetId="41"/>
      <sheetData sheetId="42">
        <row r="12">
          <cell r="EZ12">
            <v>496</v>
          </cell>
        </row>
        <row r="58">
          <cell r="BK58"/>
        </row>
      </sheetData>
      <sheetData sheetId="43">
        <row r="12">
          <cell r="EZ12">
            <v>26</v>
          </cell>
        </row>
      </sheetData>
      <sheetData sheetId="44">
        <row r="4">
          <cell r="JV4">
            <v>25</v>
          </cell>
        </row>
        <row r="5">
          <cell r="JV5">
            <v>25</v>
          </cell>
        </row>
        <row r="8">
          <cell r="JV8">
            <v>2</v>
          </cell>
        </row>
        <row r="9">
          <cell r="JV9">
            <v>2</v>
          </cell>
        </row>
        <row r="19">
          <cell r="JH19">
            <v>74</v>
          </cell>
          <cell r="JV19">
            <v>54</v>
          </cell>
        </row>
        <row r="22">
          <cell r="JV22">
            <v>1981</v>
          </cell>
        </row>
        <row r="23">
          <cell r="JV23">
            <v>1885</v>
          </cell>
        </row>
        <row r="27">
          <cell r="JV27">
            <v>93</v>
          </cell>
        </row>
        <row r="28">
          <cell r="JV28">
            <v>78</v>
          </cell>
        </row>
        <row r="41">
          <cell r="JH41">
            <v>4500</v>
          </cell>
          <cell r="JV41">
            <v>3866</v>
          </cell>
        </row>
        <row r="43">
          <cell r="JH43">
            <v>4697</v>
          </cell>
          <cell r="JV43">
            <v>4037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45">
        <row r="4">
          <cell r="JV4"/>
        </row>
        <row r="5">
          <cell r="JV5"/>
        </row>
        <row r="8">
          <cell r="JV8"/>
        </row>
        <row r="9">
          <cell r="JV9"/>
        </row>
        <row r="15">
          <cell r="JV15">
            <v>22</v>
          </cell>
        </row>
        <row r="16">
          <cell r="JV16">
            <v>24</v>
          </cell>
        </row>
        <row r="19">
          <cell r="JH19">
            <v>184</v>
          </cell>
          <cell r="JV19">
            <v>46</v>
          </cell>
        </row>
        <row r="22">
          <cell r="JV22"/>
        </row>
        <row r="23">
          <cell r="JV23"/>
        </row>
        <row r="27">
          <cell r="JV27"/>
        </row>
        <row r="28">
          <cell r="JV28"/>
        </row>
        <row r="32">
          <cell r="JV32">
            <v>1369</v>
          </cell>
        </row>
        <row r="33">
          <cell r="JV33">
            <v>1399</v>
          </cell>
        </row>
        <row r="37">
          <cell r="JV37">
            <v>24</v>
          </cell>
        </row>
        <row r="38">
          <cell r="JV38">
            <v>44</v>
          </cell>
        </row>
        <row r="41">
          <cell r="JH41">
            <v>7734</v>
          </cell>
          <cell r="JV41">
            <v>2768</v>
          </cell>
        </row>
        <row r="43">
          <cell r="JH43">
            <v>7907</v>
          </cell>
          <cell r="JV43">
            <v>2836</v>
          </cell>
        </row>
        <row r="47">
          <cell r="JV47">
            <v>3016.6</v>
          </cell>
        </row>
        <row r="48">
          <cell r="JV48"/>
        </row>
        <row r="52">
          <cell r="JV52">
            <v>3166.5</v>
          </cell>
        </row>
        <row r="53">
          <cell r="JV53"/>
        </row>
        <row r="57">
          <cell r="JV57"/>
        </row>
        <row r="58">
          <cell r="BF58"/>
        </row>
        <row r="64">
          <cell r="JH64">
            <v>10641.7</v>
          </cell>
          <cell r="JV64">
            <v>6183.1</v>
          </cell>
        </row>
      </sheetData>
      <sheetData sheetId="46">
        <row r="4">
          <cell r="JV4">
            <v>45</v>
          </cell>
        </row>
        <row r="5">
          <cell r="JV5">
            <v>46</v>
          </cell>
        </row>
        <row r="8">
          <cell r="JV8">
            <v>1</v>
          </cell>
        </row>
        <row r="9">
          <cell r="JV9"/>
        </row>
        <row r="19">
          <cell r="JH19">
            <v>80</v>
          </cell>
          <cell r="JV19">
            <v>92</v>
          </cell>
        </row>
        <row r="22">
          <cell r="JV22">
            <v>2468</v>
          </cell>
        </row>
        <row r="23">
          <cell r="JV23">
            <v>2982</v>
          </cell>
        </row>
        <row r="27">
          <cell r="JV27">
            <v>127</v>
          </cell>
        </row>
        <row r="28">
          <cell r="JV28">
            <v>116</v>
          </cell>
        </row>
        <row r="41">
          <cell r="JH41">
            <v>4677</v>
          </cell>
          <cell r="JV41">
            <v>5450</v>
          </cell>
        </row>
        <row r="43">
          <cell r="JH43">
            <v>4855</v>
          </cell>
          <cell r="JV43">
            <v>5693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47">
        <row r="12">
          <cell r="EZ12">
            <v>0</v>
          </cell>
        </row>
      </sheetData>
      <sheetData sheetId="48"/>
      <sheetData sheetId="49">
        <row r="4">
          <cell r="JV4">
            <v>1495</v>
          </cell>
        </row>
        <row r="5">
          <cell r="JV5">
            <v>1492</v>
          </cell>
        </row>
        <row r="8">
          <cell r="JV8">
            <v>1</v>
          </cell>
        </row>
        <row r="9">
          <cell r="JV9">
            <v>1</v>
          </cell>
        </row>
        <row r="15">
          <cell r="JV15">
            <v>32</v>
          </cell>
        </row>
        <row r="16">
          <cell r="JV16">
            <v>32</v>
          </cell>
        </row>
        <row r="19">
          <cell r="JH19">
            <v>2774</v>
          </cell>
          <cell r="JV19">
            <v>3053</v>
          </cell>
        </row>
        <row r="22">
          <cell r="JV22">
            <v>83292</v>
          </cell>
        </row>
        <row r="23">
          <cell r="JV23">
            <v>82487</v>
          </cell>
        </row>
        <row r="27">
          <cell r="JV27">
            <v>2914</v>
          </cell>
        </row>
        <row r="28">
          <cell r="JV28">
            <v>2795</v>
          </cell>
        </row>
        <row r="32">
          <cell r="JV32">
            <v>1982</v>
          </cell>
        </row>
        <row r="33">
          <cell r="JV33">
            <v>1456</v>
          </cell>
        </row>
        <row r="37">
          <cell r="JV37">
            <v>25</v>
          </cell>
        </row>
        <row r="38">
          <cell r="JV38">
            <v>23</v>
          </cell>
        </row>
        <row r="41">
          <cell r="JH41">
            <v>156940</v>
          </cell>
          <cell r="JV41">
            <v>169217</v>
          </cell>
        </row>
        <row r="43">
          <cell r="JH43">
            <v>161915</v>
          </cell>
          <cell r="JV43">
            <v>174974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  <row r="70">
          <cell r="JV70">
            <v>30641</v>
          </cell>
        </row>
        <row r="71">
          <cell r="JV71">
            <v>51846</v>
          </cell>
        </row>
        <row r="73">
          <cell r="JV73">
            <v>541</v>
          </cell>
        </row>
        <row r="74">
          <cell r="JV74">
            <v>915</v>
          </cell>
        </row>
      </sheetData>
      <sheetData sheetId="50">
        <row r="4">
          <cell r="JV4">
            <v>83</v>
          </cell>
        </row>
        <row r="5">
          <cell r="JV5">
            <v>83</v>
          </cell>
        </row>
        <row r="8">
          <cell r="JV8"/>
        </row>
        <row r="9">
          <cell r="JV9"/>
        </row>
        <row r="19">
          <cell r="JH19">
            <v>179</v>
          </cell>
          <cell r="JV19">
            <v>166</v>
          </cell>
        </row>
        <row r="22">
          <cell r="JV22">
            <v>4242</v>
          </cell>
        </row>
        <row r="23">
          <cell r="JV23">
            <v>4233</v>
          </cell>
        </row>
        <row r="27">
          <cell r="JV27">
            <v>142</v>
          </cell>
        </row>
        <row r="28">
          <cell r="JV28">
            <v>122</v>
          </cell>
        </row>
        <row r="41">
          <cell r="JH41">
            <v>9162</v>
          </cell>
          <cell r="JV41">
            <v>8475</v>
          </cell>
        </row>
        <row r="43">
          <cell r="JH43">
            <v>9470</v>
          </cell>
          <cell r="JV43">
            <v>8739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BG58"/>
        </row>
        <row r="64">
          <cell r="JH64">
            <v>152</v>
          </cell>
          <cell r="JV64">
            <v>0</v>
          </cell>
        </row>
      </sheetData>
      <sheetData sheetId="51">
        <row r="4">
          <cell r="JV4">
            <v>52</v>
          </cell>
        </row>
        <row r="5">
          <cell r="JV5">
            <v>52</v>
          </cell>
        </row>
        <row r="8">
          <cell r="JV8"/>
        </row>
        <row r="9">
          <cell r="JV9"/>
        </row>
        <row r="19">
          <cell r="JH19">
            <v>134</v>
          </cell>
          <cell r="JV19">
            <v>104</v>
          </cell>
        </row>
        <row r="22">
          <cell r="JV22">
            <v>2685</v>
          </cell>
        </row>
        <row r="23">
          <cell r="JV23">
            <v>2994</v>
          </cell>
        </row>
        <row r="27">
          <cell r="JV27">
            <v>127</v>
          </cell>
        </row>
        <row r="28">
          <cell r="JV28">
            <v>130</v>
          </cell>
        </row>
        <row r="41">
          <cell r="JH41">
            <v>7429</v>
          </cell>
          <cell r="JV41">
            <v>5679</v>
          </cell>
        </row>
        <row r="43">
          <cell r="JH43">
            <v>7782</v>
          </cell>
          <cell r="JV43">
            <v>5936</v>
          </cell>
        </row>
        <row r="47">
          <cell r="JV47">
            <v>95</v>
          </cell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2846</v>
          </cell>
          <cell r="JV64">
            <v>95</v>
          </cell>
        </row>
      </sheetData>
      <sheetData sheetId="52">
        <row r="4">
          <cell r="JV4">
            <v>72</v>
          </cell>
        </row>
        <row r="5">
          <cell r="JV5">
            <v>71</v>
          </cell>
        </row>
        <row r="8">
          <cell r="JV8"/>
        </row>
        <row r="9">
          <cell r="JV9"/>
        </row>
        <row r="19">
          <cell r="JH19">
            <v>189</v>
          </cell>
          <cell r="JV19">
            <v>143</v>
          </cell>
        </row>
        <row r="22">
          <cell r="JV22">
            <v>4326</v>
          </cell>
        </row>
        <row r="23">
          <cell r="JV23">
            <v>4188</v>
          </cell>
        </row>
        <row r="27">
          <cell r="JV27">
            <v>181</v>
          </cell>
        </row>
        <row r="28">
          <cell r="JV28">
            <v>175</v>
          </cell>
        </row>
        <row r="41">
          <cell r="JH41">
            <v>11341</v>
          </cell>
          <cell r="JV41">
            <v>8514</v>
          </cell>
        </row>
        <row r="43">
          <cell r="JH43">
            <v>11790</v>
          </cell>
          <cell r="JV43">
            <v>8870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64">
          <cell r="JH64">
            <v>0</v>
          </cell>
          <cell r="JV64">
            <v>0</v>
          </cell>
        </row>
      </sheetData>
      <sheetData sheetId="53">
        <row r="12">
          <cell r="EZ12">
            <v>0</v>
          </cell>
        </row>
      </sheetData>
      <sheetData sheetId="54">
        <row r="4">
          <cell r="JV4">
            <v>1944</v>
          </cell>
        </row>
        <row r="5">
          <cell r="JV5">
            <v>1946</v>
          </cell>
        </row>
        <row r="8">
          <cell r="JV8"/>
        </row>
        <row r="9">
          <cell r="JV9">
            <v>1</v>
          </cell>
        </row>
        <row r="15">
          <cell r="JV15">
            <v>142</v>
          </cell>
        </row>
        <row r="16">
          <cell r="JV16">
            <v>141</v>
          </cell>
        </row>
        <row r="19">
          <cell r="JH19">
            <v>4102</v>
          </cell>
          <cell r="JV19">
            <v>4174</v>
          </cell>
        </row>
        <row r="22">
          <cell r="JV22">
            <v>89256</v>
          </cell>
        </row>
        <row r="23">
          <cell r="JV23">
            <v>89913</v>
          </cell>
        </row>
        <row r="27">
          <cell r="JV27">
            <v>3581</v>
          </cell>
        </row>
        <row r="28">
          <cell r="JV28">
            <v>3330</v>
          </cell>
        </row>
        <row r="32">
          <cell r="JV32">
            <v>9095</v>
          </cell>
        </row>
        <row r="33">
          <cell r="JV33">
            <v>8438</v>
          </cell>
        </row>
        <row r="37">
          <cell r="JV37">
            <v>153</v>
          </cell>
        </row>
        <row r="38">
          <cell r="JV38">
            <v>128</v>
          </cell>
        </row>
        <row r="41">
          <cell r="JH41">
            <v>197082</v>
          </cell>
          <cell r="JV41">
            <v>196702</v>
          </cell>
        </row>
        <row r="43">
          <cell r="JH43">
            <v>203680</v>
          </cell>
          <cell r="JV43">
            <v>203894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  <row r="70">
          <cell r="JV70">
            <v>33937</v>
          </cell>
        </row>
        <row r="71">
          <cell r="JV71">
            <v>55976</v>
          </cell>
        </row>
        <row r="73">
          <cell r="JV73">
            <v>3185</v>
          </cell>
        </row>
        <row r="74">
          <cell r="JV74">
            <v>5253</v>
          </cell>
        </row>
      </sheetData>
      <sheetData sheetId="55"/>
      <sheetData sheetId="56">
        <row r="4">
          <cell r="JV4">
            <v>5</v>
          </cell>
        </row>
        <row r="5">
          <cell r="JV5">
            <v>5</v>
          </cell>
        </row>
        <row r="8">
          <cell r="JV8"/>
        </row>
        <row r="9">
          <cell r="JV9"/>
        </row>
        <row r="19">
          <cell r="JH19">
            <v>0</v>
          </cell>
          <cell r="JV19">
            <v>10</v>
          </cell>
        </row>
        <row r="22">
          <cell r="JV22">
            <v>271</v>
          </cell>
        </row>
        <row r="23">
          <cell r="JV23">
            <v>308</v>
          </cell>
        </row>
        <row r="27">
          <cell r="JV27">
            <v>17</v>
          </cell>
        </row>
        <row r="28">
          <cell r="JV28">
            <v>16</v>
          </cell>
        </row>
        <row r="41">
          <cell r="JH41">
            <v>0</v>
          </cell>
          <cell r="JV41">
            <v>579</v>
          </cell>
        </row>
        <row r="43">
          <cell r="JH43">
            <v>0</v>
          </cell>
          <cell r="JV43">
            <v>612</v>
          </cell>
        </row>
        <row r="47">
          <cell r="JV47">
            <v>1</v>
          </cell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1</v>
          </cell>
        </row>
      </sheetData>
      <sheetData sheetId="57">
        <row r="12">
          <cell r="EZ12">
            <v>57</v>
          </cell>
        </row>
      </sheetData>
      <sheetData sheetId="58">
        <row r="12">
          <cell r="EZ12">
            <v>24</v>
          </cell>
        </row>
        <row r="58">
          <cell r="BG58"/>
        </row>
      </sheetData>
      <sheetData sheetId="59">
        <row r="12">
          <cell r="EZ12">
            <v>138</v>
          </cell>
        </row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V4"/>
        </row>
        <row r="5">
          <cell r="JV5"/>
        </row>
        <row r="15">
          <cell r="JV15"/>
        </row>
        <row r="16">
          <cell r="JV16"/>
        </row>
        <row r="22">
          <cell r="JV22"/>
        </row>
        <row r="23">
          <cell r="JV23"/>
        </row>
        <row r="32">
          <cell r="JV32"/>
        </row>
        <row r="33">
          <cell r="JV33"/>
        </row>
      </sheetData>
      <sheetData sheetId="65">
        <row r="4">
          <cell r="JV4"/>
        </row>
        <row r="5">
          <cell r="JV5"/>
        </row>
        <row r="15">
          <cell r="JV15"/>
        </row>
        <row r="16">
          <cell r="JV16"/>
        </row>
        <row r="22">
          <cell r="JV22"/>
        </row>
        <row r="23">
          <cell r="JV23"/>
        </row>
        <row r="32">
          <cell r="JV32"/>
        </row>
        <row r="33">
          <cell r="JV33"/>
        </row>
      </sheetData>
      <sheetData sheetId="66">
        <row r="4">
          <cell r="JV4"/>
        </row>
        <row r="5">
          <cell r="JV5"/>
        </row>
        <row r="15">
          <cell r="JV15"/>
        </row>
        <row r="16">
          <cell r="JV16"/>
        </row>
        <row r="22">
          <cell r="JV22"/>
        </row>
        <row r="23">
          <cell r="JV23"/>
        </row>
        <row r="28">
          <cell r="JV28"/>
        </row>
        <row r="32">
          <cell r="JV32"/>
        </row>
        <row r="33">
          <cell r="JV33"/>
        </row>
        <row r="37">
          <cell r="JV37"/>
        </row>
        <row r="38">
          <cell r="JV38"/>
        </row>
      </sheetData>
      <sheetData sheetId="67">
        <row r="4">
          <cell r="JV4"/>
        </row>
        <row r="5">
          <cell r="JV5"/>
        </row>
        <row r="8">
          <cell r="JV8"/>
        </row>
        <row r="9">
          <cell r="JV9"/>
        </row>
        <row r="15">
          <cell r="JV15">
            <v>1</v>
          </cell>
        </row>
        <row r="16">
          <cell r="JV16"/>
        </row>
        <row r="22">
          <cell r="JV22"/>
        </row>
        <row r="23">
          <cell r="JV23"/>
        </row>
        <row r="28">
          <cell r="JV28"/>
        </row>
        <row r="32">
          <cell r="JV32">
            <v>60</v>
          </cell>
        </row>
        <row r="33">
          <cell r="JV33"/>
        </row>
        <row r="37">
          <cell r="JV37"/>
        </row>
        <row r="38">
          <cell r="JV38"/>
        </row>
      </sheetData>
      <sheetData sheetId="68">
        <row r="4">
          <cell r="JV4"/>
        </row>
        <row r="5">
          <cell r="JV5"/>
        </row>
        <row r="19">
          <cell r="JH19">
            <v>8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108656</v>
          </cell>
          <cell r="JV64">
            <v>0</v>
          </cell>
        </row>
      </sheetData>
      <sheetData sheetId="69">
        <row r="4">
          <cell r="JV4">
            <v>56</v>
          </cell>
        </row>
        <row r="5">
          <cell r="JV5">
            <v>56</v>
          </cell>
        </row>
        <row r="8">
          <cell r="JV8"/>
        </row>
        <row r="9">
          <cell r="JV9"/>
        </row>
        <row r="15">
          <cell r="JV15"/>
        </row>
        <row r="16">
          <cell r="JV16"/>
        </row>
        <row r="19">
          <cell r="JH19">
            <v>188</v>
          </cell>
          <cell r="JV19">
            <v>112</v>
          </cell>
        </row>
        <row r="47">
          <cell r="JV47">
            <v>2585596</v>
          </cell>
        </row>
        <row r="48">
          <cell r="JV48"/>
        </row>
        <row r="52">
          <cell r="JV52">
            <v>2606892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4687790</v>
          </cell>
          <cell r="JV64">
            <v>5192488</v>
          </cell>
        </row>
      </sheetData>
      <sheetData sheetId="70">
        <row r="4">
          <cell r="JV4">
            <v>18</v>
          </cell>
        </row>
        <row r="5">
          <cell r="JV5">
            <v>18</v>
          </cell>
        </row>
        <row r="15">
          <cell r="JV15"/>
        </row>
        <row r="19">
          <cell r="JH19">
            <v>2</v>
          </cell>
          <cell r="JV19">
            <v>36</v>
          </cell>
        </row>
        <row r="47">
          <cell r="JV47">
            <v>577110</v>
          </cell>
        </row>
        <row r="48">
          <cell r="JV48"/>
        </row>
        <row r="52">
          <cell r="JV52">
            <v>538096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114276</v>
          </cell>
          <cell r="JV64">
            <v>1115206</v>
          </cell>
        </row>
      </sheetData>
      <sheetData sheetId="71">
        <row r="4">
          <cell r="JV4">
            <v>1</v>
          </cell>
        </row>
        <row r="5">
          <cell r="JV5">
            <v>1</v>
          </cell>
        </row>
        <row r="8">
          <cell r="JV8"/>
        </row>
        <row r="9">
          <cell r="JV9"/>
        </row>
        <row r="19">
          <cell r="JH19">
            <v>8</v>
          </cell>
          <cell r="JV19">
            <v>2</v>
          </cell>
        </row>
        <row r="47">
          <cell r="JV47">
            <v>12551</v>
          </cell>
        </row>
        <row r="48">
          <cell r="JV48"/>
        </row>
        <row r="52">
          <cell r="JV52">
            <v>54083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205001</v>
          </cell>
          <cell r="JV64">
            <v>66634</v>
          </cell>
        </row>
      </sheetData>
      <sheetData sheetId="72">
        <row r="19">
          <cell r="JH19">
            <v>0</v>
          </cell>
          <cell r="JV19">
            <v>0</v>
          </cell>
        </row>
        <row r="64">
          <cell r="JH64">
            <v>0</v>
          </cell>
          <cell r="JV64">
            <v>0</v>
          </cell>
        </row>
      </sheetData>
      <sheetData sheetId="73">
        <row r="4">
          <cell r="JV4"/>
        </row>
        <row r="5">
          <cell r="JV5"/>
        </row>
        <row r="15">
          <cell r="JV15"/>
        </row>
        <row r="19">
          <cell r="JH19">
            <v>0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74">
        <row r="4">
          <cell r="JV4">
            <v>37</v>
          </cell>
        </row>
        <row r="5">
          <cell r="JV5">
            <v>37</v>
          </cell>
        </row>
        <row r="19">
          <cell r="JH19">
            <v>78</v>
          </cell>
          <cell r="JV19">
            <v>74</v>
          </cell>
        </row>
        <row r="47">
          <cell r="JV47">
            <v>79303</v>
          </cell>
        </row>
        <row r="48">
          <cell r="JV48"/>
        </row>
        <row r="52">
          <cell r="JV52">
            <v>53931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79156</v>
          </cell>
          <cell r="JV64">
            <v>133234</v>
          </cell>
        </row>
      </sheetData>
      <sheetData sheetId="75">
        <row r="4">
          <cell r="JV4"/>
        </row>
        <row r="5">
          <cell r="JV5"/>
        </row>
        <row r="12">
          <cell r="JV12">
            <v>0</v>
          </cell>
        </row>
        <row r="15">
          <cell r="JV15"/>
        </row>
        <row r="19">
          <cell r="JH19">
            <v>0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76">
        <row r="4">
          <cell r="JV4"/>
        </row>
        <row r="5">
          <cell r="JV5"/>
        </row>
        <row r="15">
          <cell r="JV15"/>
        </row>
        <row r="16">
          <cell r="JV16"/>
        </row>
        <row r="19">
          <cell r="JH19">
            <v>32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734255</v>
          </cell>
          <cell r="JV64">
            <v>0</v>
          </cell>
        </row>
      </sheetData>
      <sheetData sheetId="77">
        <row r="4">
          <cell r="JV4"/>
        </row>
        <row r="5">
          <cell r="JV5"/>
        </row>
        <row r="15">
          <cell r="JV15"/>
        </row>
        <row r="19">
          <cell r="JH19">
            <v>0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78"/>
      <sheetData sheetId="79">
        <row r="4">
          <cell r="JV4"/>
        </row>
        <row r="5">
          <cell r="JV5"/>
        </row>
        <row r="15">
          <cell r="JV15"/>
        </row>
        <row r="19">
          <cell r="JH19">
            <v>0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0</v>
          </cell>
          <cell r="JV64">
            <v>0</v>
          </cell>
        </row>
      </sheetData>
      <sheetData sheetId="80"/>
      <sheetData sheetId="81"/>
      <sheetData sheetId="82">
        <row r="4">
          <cell r="JV4">
            <v>70</v>
          </cell>
        </row>
        <row r="5">
          <cell r="JV5">
            <v>70</v>
          </cell>
        </row>
        <row r="15">
          <cell r="JV15"/>
        </row>
        <row r="19">
          <cell r="JH19">
            <v>126</v>
          </cell>
          <cell r="JV19">
            <v>140</v>
          </cell>
        </row>
        <row r="47">
          <cell r="JV47">
            <v>4669469</v>
          </cell>
        </row>
        <row r="48">
          <cell r="JV48"/>
        </row>
        <row r="52">
          <cell r="JV52">
            <v>4355717</v>
          </cell>
        </row>
        <row r="53">
          <cell r="JV53"/>
        </row>
        <row r="57">
          <cell r="JV57"/>
        </row>
        <row r="58">
          <cell r="JV58"/>
        </row>
        <row r="64">
          <cell r="JH64">
            <v>9603771</v>
          </cell>
          <cell r="JV64">
            <v>9025186</v>
          </cell>
        </row>
      </sheetData>
      <sheetData sheetId="83">
        <row r="4">
          <cell r="JV4">
            <v>19</v>
          </cell>
        </row>
        <row r="5">
          <cell r="JV5">
            <v>19</v>
          </cell>
        </row>
        <row r="19">
          <cell r="JH19">
            <v>44</v>
          </cell>
          <cell r="JV19">
            <v>38</v>
          </cell>
        </row>
        <row r="47">
          <cell r="JV47"/>
        </row>
        <row r="48">
          <cell r="JV48">
            <v>41239</v>
          </cell>
        </row>
        <row r="52">
          <cell r="JV52"/>
        </row>
        <row r="53">
          <cell r="JV53">
            <v>72894</v>
          </cell>
        </row>
        <row r="57">
          <cell r="JV57"/>
        </row>
        <row r="58">
          <cell r="JV58"/>
        </row>
        <row r="64">
          <cell r="JH64">
            <v>127825</v>
          </cell>
          <cell r="JV64">
            <v>114133</v>
          </cell>
        </row>
      </sheetData>
      <sheetData sheetId="84">
        <row r="4">
          <cell r="JV4">
            <v>12</v>
          </cell>
        </row>
        <row r="5">
          <cell r="JV5">
            <v>12</v>
          </cell>
        </row>
        <row r="15">
          <cell r="JV15"/>
        </row>
        <row r="19">
          <cell r="JH19">
            <v>34</v>
          </cell>
          <cell r="JV19">
            <v>24</v>
          </cell>
        </row>
        <row r="47">
          <cell r="JV47">
            <v>43240</v>
          </cell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54760</v>
          </cell>
          <cell r="JV64">
            <v>43240</v>
          </cell>
        </row>
      </sheetData>
      <sheetData sheetId="85">
        <row r="4">
          <cell r="JV4">
            <v>90</v>
          </cell>
        </row>
        <row r="5">
          <cell r="JV5">
            <v>76</v>
          </cell>
        </row>
        <row r="15">
          <cell r="JV15"/>
        </row>
        <row r="16">
          <cell r="JV16">
            <v>16</v>
          </cell>
        </row>
        <row r="19">
          <cell r="JH19">
            <v>218</v>
          </cell>
          <cell r="JV19">
            <v>182</v>
          </cell>
        </row>
        <row r="47">
          <cell r="JV47">
            <v>3925352</v>
          </cell>
        </row>
        <row r="48">
          <cell r="JV48">
            <v>3016847</v>
          </cell>
        </row>
        <row r="52">
          <cell r="JV52">
            <v>3380154</v>
          </cell>
        </row>
        <row r="53">
          <cell r="JV53">
            <v>2474755</v>
          </cell>
        </row>
        <row r="57">
          <cell r="JV57"/>
        </row>
        <row r="58">
          <cell r="JV58"/>
        </row>
        <row r="64">
          <cell r="JH64">
            <v>12004284</v>
          </cell>
          <cell r="JV64">
            <v>12797108</v>
          </cell>
        </row>
      </sheetData>
      <sheetData sheetId="86"/>
      <sheetData sheetId="87"/>
      <sheetData sheetId="88"/>
      <sheetData sheetId="89"/>
      <sheetData sheetId="90">
        <row r="4">
          <cell r="JV4">
            <v>128</v>
          </cell>
        </row>
        <row r="5">
          <cell r="JV5">
            <v>128</v>
          </cell>
        </row>
        <row r="19">
          <cell r="JH19">
            <v>316</v>
          </cell>
          <cell r="JV19">
            <v>256</v>
          </cell>
        </row>
      </sheetData>
      <sheetData sheetId="91">
        <row r="4">
          <cell r="JV4"/>
        </row>
        <row r="5">
          <cell r="JV5"/>
        </row>
        <row r="8">
          <cell r="JV8"/>
        </row>
        <row r="9">
          <cell r="JV9"/>
        </row>
        <row r="19">
          <cell r="JH19">
            <v>2</v>
          </cell>
          <cell r="JV19">
            <v>0</v>
          </cell>
        </row>
        <row r="47">
          <cell r="JV47"/>
        </row>
        <row r="48">
          <cell r="JV48"/>
        </row>
        <row r="52">
          <cell r="JV52"/>
        </row>
        <row r="53">
          <cell r="JV53"/>
        </row>
        <row r="57">
          <cell r="JV57"/>
        </row>
        <row r="58">
          <cell r="JV58"/>
        </row>
        <row r="64">
          <cell r="JH64">
            <v>38035</v>
          </cell>
          <cell r="JV64">
            <v>0</v>
          </cell>
        </row>
      </sheetData>
      <sheetData sheetId="92">
        <row r="4">
          <cell r="JV4">
            <v>29</v>
          </cell>
        </row>
        <row r="5">
          <cell r="JV5">
            <v>31</v>
          </cell>
        </row>
      </sheetData>
      <sheetData sheetId="93">
        <row r="4">
          <cell r="JV4">
            <v>658</v>
          </cell>
        </row>
        <row r="5">
          <cell r="JV5">
            <v>659</v>
          </cell>
        </row>
      </sheetData>
      <sheetData sheetId="9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H12" sqref="H12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1" width="10" customWidth="1"/>
    <col min="12" max="12" width="9.85546875" customWidth="1"/>
    <col min="14" max="14" width="9.85546875" customWidth="1"/>
    <col min="15" max="15" width="11.42578125" customWidth="1"/>
    <col min="16" max="16" width="13.85546875" style="379" bestFit="1" customWidth="1"/>
  </cols>
  <sheetData>
    <row r="1" spans="1:18" hidden="1" x14ac:dyDescent="0.2"/>
    <row r="2" spans="1:18" ht="12.75" customHeight="1" x14ac:dyDescent="0.2">
      <c r="A2" s="384">
        <v>46023</v>
      </c>
      <c r="B2" s="10"/>
      <c r="C2" s="10"/>
      <c r="D2" s="455" t="s">
        <v>227</v>
      </c>
      <c r="E2" s="455" t="s">
        <v>217</v>
      </c>
      <c r="F2" s="5"/>
      <c r="G2" s="5"/>
      <c r="H2" s="5"/>
      <c r="I2" s="5"/>
      <c r="J2" s="5"/>
    </row>
    <row r="3" spans="1:18" ht="13.5" thickBot="1" x14ac:dyDescent="0.25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228</v>
      </c>
      <c r="H3" s="5" t="s">
        <v>218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Stats'!J4</f>
        <v>968678</v>
      </c>
      <c r="C5" s="10">
        <f>'Major Airline Stats'!J5</f>
        <v>998727</v>
      </c>
      <c r="D5" s="2">
        <f>'Major Airline Stats'!J6</f>
        <v>1967405</v>
      </c>
      <c r="E5" s="2">
        <f>'[1]Monthly Summary'!D5</f>
        <v>2069087</v>
      </c>
      <c r="F5" s="3">
        <f>(D5-E5)/E5</f>
        <v>-4.9143414462514141E-2</v>
      </c>
      <c r="G5" s="2">
        <f>+D5</f>
        <v>1967405</v>
      </c>
      <c r="H5" s="2">
        <f>'[1]Monthly Summary'!G5</f>
        <v>2069087</v>
      </c>
      <c r="I5" s="63">
        <f>(G5-H5)/H5</f>
        <v>-4.9143414462514141E-2</v>
      </c>
      <c r="J5" s="2"/>
    </row>
    <row r="6" spans="1:18" x14ac:dyDescent="0.2">
      <c r="A6" s="48" t="s">
        <v>5</v>
      </c>
      <c r="B6" s="209">
        <f>'Regional Major'!K5</f>
        <v>206453</v>
      </c>
      <c r="C6" s="209">
        <f>'Regional Major'!K6</f>
        <v>205646</v>
      </c>
      <c r="D6" s="2">
        <f>B6+C6</f>
        <v>412099</v>
      </c>
      <c r="E6" s="2">
        <f>'[1]Monthly Summary'!D6</f>
        <v>406985</v>
      </c>
      <c r="F6" s="3">
        <f>(D6-E6)/E6</f>
        <v>1.2565573669791269E-2</v>
      </c>
      <c r="G6" s="2">
        <f>+D6</f>
        <v>412099</v>
      </c>
      <c r="H6" s="2">
        <f>'[1]Monthly Summary'!G6</f>
        <v>406985</v>
      </c>
      <c r="I6" s="63">
        <f>(G6-H6)/H6</f>
        <v>1.2565573669791269E-2</v>
      </c>
    </row>
    <row r="7" spans="1:18" x14ac:dyDescent="0.2">
      <c r="A7" s="48" t="s">
        <v>6</v>
      </c>
      <c r="B7" s="2">
        <f>Charter!H5</f>
        <v>60</v>
      </c>
      <c r="C7" s="209">
        <f>Charter!H6</f>
        <v>0</v>
      </c>
      <c r="D7" s="2">
        <f>B7+C7</f>
        <v>60</v>
      </c>
      <c r="E7" s="2">
        <f>'[1]Monthly Summary'!D7</f>
        <v>0</v>
      </c>
      <c r="F7" s="3">
        <f>IFERROR((D7-E7)/E7,0)</f>
        <v>0</v>
      </c>
      <c r="G7" s="2">
        <f>+D7</f>
        <v>60</v>
      </c>
      <c r="H7" s="2">
        <f>'[1]Monthly Summary'!G7</f>
        <v>0</v>
      </c>
      <c r="I7" s="63">
        <f>IFERROR((G7-H7)/H7,0)</f>
        <v>0</v>
      </c>
    </row>
    <row r="8" spans="1:18" x14ac:dyDescent="0.2">
      <c r="A8" s="50" t="s">
        <v>7</v>
      </c>
      <c r="B8" s="113">
        <f>SUM(B5:B7)</f>
        <v>1175191</v>
      </c>
      <c r="C8" s="113">
        <f>SUM(C5:C7)</f>
        <v>1204373</v>
      </c>
      <c r="D8" s="113">
        <f>SUM(D5:D7)</f>
        <v>2379564</v>
      </c>
      <c r="E8" s="113">
        <f>SUM(E5:E7)</f>
        <v>2476072</v>
      </c>
      <c r="F8" s="69">
        <f>(D8-E8)/E8</f>
        <v>-3.8976249479013535E-2</v>
      </c>
      <c r="G8" s="113">
        <f>SUM(G5:G7)</f>
        <v>2379564</v>
      </c>
      <c r="H8" s="113">
        <f>SUM(H5:H7)</f>
        <v>2476072</v>
      </c>
      <c r="I8" s="68">
        <f>(G8-H8)/H8</f>
        <v>-3.8976249479013535E-2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">
      <c r="A10" s="48" t="s">
        <v>8</v>
      </c>
      <c r="B10" s="429">
        <f>'Major Airline Stats'!J9+'Regional Major'!K10</f>
        <v>41450</v>
      </c>
      <c r="C10" s="430">
        <f>'Major Airline Stats'!J10+'Regional Major'!K11</f>
        <v>42009</v>
      </c>
      <c r="D10" s="431">
        <f>SUM(B10:C10)</f>
        <v>83459</v>
      </c>
      <c r="E10" s="390">
        <f>'[1]Monthly Summary'!D10</f>
        <v>80236</v>
      </c>
      <c r="F10" s="432">
        <f>(D10-E10)/E10</f>
        <v>4.0169001445735084E-2</v>
      </c>
      <c r="G10" s="390">
        <f>+D10</f>
        <v>83459</v>
      </c>
      <c r="H10" s="390">
        <f>'[1]Monthly Summary'!G10</f>
        <v>80236</v>
      </c>
      <c r="I10" s="433">
        <f>(G10-H10)/H10</f>
        <v>4.0169001445735084E-2</v>
      </c>
      <c r="J10" s="163"/>
    </row>
    <row r="11" spans="1:18" ht="15.75" thickBot="1" x14ac:dyDescent="0.3">
      <c r="A11" s="49" t="s">
        <v>13</v>
      </c>
      <c r="B11" s="189">
        <f>B10+B8</f>
        <v>1216641</v>
      </c>
      <c r="C11" s="189">
        <f>C10+C8</f>
        <v>1246382</v>
      </c>
      <c r="D11" s="189">
        <f>D10+D8</f>
        <v>2463023</v>
      </c>
      <c r="E11" s="189">
        <f>E10+E8</f>
        <v>2556308</v>
      </c>
      <c r="F11" s="70">
        <f>(D11-E11)/E11</f>
        <v>-3.6492081548858746E-2</v>
      </c>
      <c r="G11" s="189">
        <f>G8+G10</f>
        <v>2463023</v>
      </c>
      <c r="H11" s="189">
        <f>H8+H10</f>
        <v>2556308</v>
      </c>
      <c r="I11" s="72">
        <f>(G11-H11)/H11</f>
        <v>-3.6492081548858746E-2</v>
      </c>
      <c r="Q11" s="422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">
      <c r="B13" s="10"/>
      <c r="C13" s="10"/>
      <c r="D13" s="455" t="s">
        <v>227</v>
      </c>
      <c r="E13" s="455" t="s">
        <v>217</v>
      </c>
      <c r="F13" s="5"/>
      <c r="G13" s="5"/>
      <c r="H13" s="5"/>
      <c r="I13" s="5"/>
      <c r="Q13" s="422"/>
    </row>
    <row r="14" spans="1:18" ht="13.5" thickBot="1" x14ac:dyDescent="0.25">
      <c r="A14" s="9"/>
      <c r="B14" s="5" t="s">
        <v>213</v>
      </c>
      <c r="C14" s="5" t="s">
        <v>214</v>
      </c>
      <c r="D14" s="456"/>
      <c r="E14" s="456"/>
      <c r="F14" s="5" t="s">
        <v>2</v>
      </c>
      <c r="G14" s="5" t="s">
        <v>228</v>
      </c>
      <c r="H14" s="5" t="s">
        <v>218</v>
      </c>
      <c r="I14" s="5" t="s">
        <v>2</v>
      </c>
      <c r="N14" s="330"/>
      <c r="Q14" s="422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">
      <c r="A16" s="48" t="s">
        <v>4</v>
      </c>
      <c r="B16" s="218">
        <f>'Major Airline Stats'!J15+'Major Airline Stats'!J19</f>
        <v>7474</v>
      </c>
      <c r="C16" s="218">
        <f>'Major Airline Stats'!J16+'Major Airline Stats'!J20</f>
        <v>7471</v>
      </c>
      <c r="D16" s="30">
        <f>SUM(B16:C16)</f>
        <v>14945</v>
      </c>
      <c r="E16" s="2">
        <f>'[1]Monthly Summary'!D16</f>
        <v>16162</v>
      </c>
      <c r="F16" s="71">
        <f t="shared" ref="F16:F22" si="0">(D16-E16)/E16</f>
        <v>-7.53000866229427E-2</v>
      </c>
      <c r="G16" s="2">
        <f t="shared" ref="G16:G21" si="1">+D16</f>
        <v>14945</v>
      </c>
      <c r="H16" s="2">
        <f>'[1]Monthly Summary'!G16</f>
        <v>16162</v>
      </c>
      <c r="I16" s="185">
        <f t="shared" ref="I16:I22" si="2">(G16-H16)/H16</f>
        <v>-7.53000866229427E-2</v>
      </c>
      <c r="N16" s="330"/>
      <c r="Q16" s="422"/>
    </row>
    <row r="17" spans="1:17" x14ac:dyDescent="0.2">
      <c r="A17" s="48" t="s">
        <v>5</v>
      </c>
      <c r="B17" s="30">
        <f>'Regional Major'!K15+'Regional Major'!K18</f>
        <v>4018</v>
      </c>
      <c r="C17" s="30">
        <f>'Regional Major'!K16+'Regional Major'!K19</f>
        <v>4016</v>
      </c>
      <c r="D17" s="30">
        <f>SUM(B17:C17)</f>
        <v>8034</v>
      </c>
      <c r="E17" s="2">
        <f>'[1]Monthly Summary'!D17</f>
        <v>7858</v>
      </c>
      <c r="F17" s="71">
        <f t="shared" si="0"/>
        <v>2.2397556630185798E-2</v>
      </c>
      <c r="G17" s="2">
        <f t="shared" si="1"/>
        <v>8034</v>
      </c>
      <c r="H17" s="2">
        <f>'[1]Monthly Summary'!G17</f>
        <v>7858</v>
      </c>
      <c r="I17" s="185">
        <f t="shared" si="2"/>
        <v>2.2397556630185798E-2</v>
      </c>
      <c r="L17" s="2"/>
      <c r="M17" s="2"/>
      <c r="N17" s="330"/>
      <c r="Q17" s="422"/>
    </row>
    <row r="18" spans="1:17" x14ac:dyDescent="0.2">
      <c r="A18" s="48" t="s">
        <v>10</v>
      </c>
      <c r="B18" s="30">
        <f>Charter!H10</f>
        <v>1</v>
      </c>
      <c r="C18" s="30">
        <f>Charter!H11</f>
        <v>0</v>
      </c>
      <c r="D18" s="30">
        <f t="shared" ref="D18:D21" si="3">SUM(B18:C18)</f>
        <v>1</v>
      </c>
      <c r="E18" s="2">
        <f>'[1]Monthly Summary'!D18</f>
        <v>0</v>
      </c>
      <c r="F18" s="71">
        <f>IFERROR((D18-E18)/E18,0)</f>
        <v>0</v>
      </c>
      <c r="G18" s="2">
        <f t="shared" si="1"/>
        <v>1</v>
      </c>
      <c r="H18" s="2">
        <f>'[1]Monthly Summary'!G18</f>
        <v>0</v>
      </c>
      <c r="I18" s="185">
        <f>IFERROR((G18-H18)/H18,0)</f>
        <v>0</v>
      </c>
      <c r="N18" s="330"/>
      <c r="Q18" s="422"/>
    </row>
    <row r="19" spans="1:17" x14ac:dyDescent="0.2">
      <c r="A19" s="48" t="s">
        <v>11</v>
      </c>
      <c r="B19" s="30">
        <f>Cargo!S4+Cargo!S8</f>
        <v>431</v>
      </c>
      <c r="C19" s="30">
        <f>Cargo!S5+Cargo!S9</f>
        <v>433</v>
      </c>
      <c r="D19" s="30">
        <f t="shared" si="3"/>
        <v>864</v>
      </c>
      <c r="E19" s="2">
        <f>'[1]Monthly Summary'!D19</f>
        <v>1056</v>
      </c>
      <c r="F19" s="71">
        <f t="shared" si="0"/>
        <v>-0.18181818181818182</v>
      </c>
      <c r="G19" s="2">
        <f t="shared" si="1"/>
        <v>864</v>
      </c>
      <c r="H19" s="2">
        <f>'[1]Monthly Summary'!G19</f>
        <v>1056</v>
      </c>
      <c r="I19" s="185">
        <f t="shared" si="2"/>
        <v>-0.18181818181818182</v>
      </c>
      <c r="M19" s="422"/>
      <c r="N19" s="330"/>
      <c r="Q19" s="422"/>
    </row>
    <row r="20" spans="1:17" x14ac:dyDescent="0.2">
      <c r="A20" s="48" t="s">
        <v>145</v>
      </c>
      <c r="B20" s="30">
        <f>'[2]General Avation'!$JV$4</f>
        <v>658</v>
      </c>
      <c r="C20" s="30">
        <f>'[2]General Avation'!$JV$5</f>
        <v>659</v>
      </c>
      <c r="D20" s="30">
        <f t="shared" si="3"/>
        <v>1317</v>
      </c>
      <c r="E20" s="2">
        <f>'[1]Monthly Summary'!D20</f>
        <v>1127</v>
      </c>
      <c r="F20" s="71">
        <f t="shared" si="0"/>
        <v>0.16858917480035493</v>
      </c>
      <c r="G20" s="2">
        <f t="shared" si="1"/>
        <v>1317</v>
      </c>
      <c r="H20" s="2">
        <f>'[1]Monthly Summary'!G20</f>
        <v>1127</v>
      </c>
      <c r="I20" s="185">
        <f t="shared" si="2"/>
        <v>0.16858917480035493</v>
      </c>
      <c r="M20" s="2"/>
      <c r="N20" s="330"/>
      <c r="Q20" s="422"/>
    </row>
    <row r="21" spans="1:17" ht="12.75" customHeight="1" x14ac:dyDescent="0.2">
      <c r="A21" s="48" t="s">
        <v>12</v>
      </c>
      <c r="B21" s="434">
        <f>'[2]Military '!$JV$4</f>
        <v>29</v>
      </c>
      <c r="C21" s="435">
        <f>'[2]Military '!$JV$5</f>
        <v>31</v>
      </c>
      <c r="D21" s="435">
        <f t="shared" si="3"/>
        <v>60</v>
      </c>
      <c r="E21" s="390">
        <f>'[1]Monthly Summary'!D21</f>
        <v>68</v>
      </c>
      <c r="F21" s="436">
        <f t="shared" si="0"/>
        <v>-0.11764705882352941</v>
      </c>
      <c r="G21" s="390">
        <f t="shared" si="1"/>
        <v>60</v>
      </c>
      <c r="H21" s="390">
        <f>'[1]Monthly Summary'!G21</f>
        <v>68</v>
      </c>
      <c r="I21" s="437">
        <f t="shared" si="2"/>
        <v>-0.11764705882352941</v>
      </c>
      <c r="K21" s="89"/>
      <c r="N21" s="330"/>
      <c r="Q21" s="422"/>
    </row>
    <row r="22" spans="1:17" ht="15.75" thickBot="1" x14ac:dyDescent="0.3">
      <c r="A22" s="49" t="s">
        <v>28</v>
      </c>
      <c r="B22" s="190">
        <f>SUM(B16:B21)</f>
        <v>12611</v>
      </c>
      <c r="C22" s="190">
        <f>SUM(C16:C21)</f>
        <v>12610</v>
      </c>
      <c r="D22" s="190">
        <f>SUM(D16:D21)</f>
        <v>25221</v>
      </c>
      <c r="E22" s="190">
        <f>SUM(E16:E21)</f>
        <v>26271</v>
      </c>
      <c r="F22" s="187">
        <f t="shared" si="0"/>
        <v>-3.9968025579536368E-2</v>
      </c>
      <c r="G22" s="190">
        <f>SUM(G16:G21)</f>
        <v>25221</v>
      </c>
      <c r="H22" s="190">
        <f>SUM(H16:H21)</f>
        <v>26271</v>
      </c>
      <c r="I22" s="188">
        <f t="shared" si="2"/>
        <v>-3.9968025579536368E-2</v>
      </c>
      <c r="N22" s="323"/>
      <c r="Q22" s="422"/>
    </row>
    <row r="23" spans="1:17" x14ac:dyDescent="0.2">
      <c r="B23" s="89"/>
      <c r="C23" s="89"/>
      <c r="L23" s="2"/>
      <c r="N23" s="330"/>
      <c r="Q23" s="422"/>
    </row>
    <row r="24" spans="1:17" ht="12.75" customHeight="1" x14ac:dyDescent="0.2">
      <c r="B24" s="10"/>
      <c r="C24" s="10"/>
      <c r="D24" s="455" t="s">
        <v>227</v>
      </c>
      <c r="E24" s="455" t="s">
        <v>217</v>
      </c>
      <c r="F24" s="5"/>
      <c r="G24" s="5"/>
      <c r="H24" s="5"/>
      <c r="I24" s="5"/>
      <c r="N24" s="330"/>
      <c r="Q24" s="422"/>
    </row>
    <row r="25" spans="1:17" ht="13.5" thickBot="1" x14ac:dyDescent="0.25">
      <c r="B25" s="5" t="s">
        <v>0</v>
      </c>
      <c r="C25" s="5" t="s">
        <v>1</v>
      </c>
      <c r="D25" s="456"/>
      <c r="E25" s="456"/>
      <c r="F25" s="5" t="s">
        <v>2</v>
      </c>
      <c r="G25" s="5" t="s">
        <v>228</v>
      </c>
      <c r="H25" s="5" t="s">
        <v>218</v>
      </c>
      <c r="I25" s="5" t="s">
        <v>2</v>
      </c>
      <c r="N25" s="330"/>
      <c r="Q25" s="422"/>
    </row>
    <row r="26" spans="1:17" ht="15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Stats'!J28+'Regional Major'!K25)*0.00045359237</f>
        <v>6858.527055900443</v>
      </c>
      <c r="C27" s="12">
        <f>(Cargo!S21+'Major Airline Stats'!J33+'Regional Major'!K30)*0.00045359237</f>
        <v>5898.8580136650935</v>
      </c>
      <c r="D27" s="12">
        <f>SUM(B27:C27)</f>
        <v>12757.385069565536</v>
      </c>
      <c r="E27" s="2">
        <f>'[1]Monthly Summary'!D27</f>
        <v>13318.852128704199</v>
      </c>
      <c r="F27" s="73">
        <f>(D27-E27)/E27</f>
        <v>-4.2155814458560828E-2</v>
      </c>
      <c r="G27" s="2">
        <f>+D27</f>
        <v>12757.385069565536</v>
      </c>
      <c r="H27" s="2">
        <f>'[1]Monthly Summary'!G27</f>
        <v>13318.852128704199</v>
      </c>
      <c r="I27" s="74">
        <f>(G27-H27)/H27</f>
        <v>-4.2155814458560828E-2</v>
      </c>
      <c r="N27" s="89"/>
    </row>
    <row r="28" spans="1:17" x14ac:dyDescent="0.2">
      <c r="A28" s="43" t="s">
        <v>16</v>
      </c>
      <c r="B28" s="440">
        <f>(Cargo!S17+'Major Airline Stats'!J29+'Regional Major'!K26)*0.00045359237</f>
        <v>1538.9178022472099</v>
      </c>
      <c r="C28" s="441">
        <f>(Cargo!S22+'Major Airline Stats'!J34+'Regional Major'!K31)*0.00045359237</f>
        <v>1406.5849498539299</v>
      </c>
      <c r="D28" s="441">
        <f>SUM(B28:C28)</f>
        <v>2945.5027521011398</v>
      </c>
      <c r="E28" s="390">
        <f>'[1]Monthly Summary'!D28</f>
        <v>1964.97711538821</v>
      </c>
      <c r="F28" s="442">
        <f>(D28-E28)/E28</f>
        <v>0.49900104639092074</v>
      </c>
      <c r="G28" s="390">
        <f>+D28</f>
        <v>2945.5027521011398</v>
      </c>
      <c r="H28" s="390">
        <f>'[1]Monthly Summary'!G28</f>
        <v>1964.97711538821</v>
      </c>
      <c r="I28" s="443">
        <f>(G28-H28)/H28</f>
        <v>0.49900104639092074</v>
      </c>
    </row>
    <row r="29" spans="1:17" ht="15.75" thickBot="1" x14ac:dyDescent="0.3">
      <c r="A29" s="44" t="s">
        <v>61</v>
      </c>
      <c r="B29" s="438">
        <f>SUM(B27:B28)</f>
        <v>8397.4448581476536</v>
      </c>
      <c r="C29" s="438">
        <f>SUM(C27:C28)</f>
        <v>7305.4429635190236</v>
      </c>
      <c r="D29" s="438">
        <f>SUM(D27:D28)</f>
        <v>15702.887821666676</v>
      </c>
      <c r="E29" s="438">
        <f>SUM(E27:E28)</f>
        <v>15283.829244092409</v>
      </c>
      <c r="F29" s="70">
        <f>(D29-E29)/E29</f>
        <v>2.7418428384774342E-2</v>
      </c>
      <c r="G29" s="438">
        <f>SUM(G27:G28)</f>
        <v>15702.887821666676</v>
      </c>
      <c r="H29" s="438">
        <f>SUM(H27:H28)</f>
        <v>15283.829244092409</v>
      </c>
      <c r="I29" s="439">
        <f>(G29-H29)/H29</f>
        <v>2.7418428384774342E-2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5" thickBot="1" x14ac:dyDescent="0.25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">
      <c r="A32" s="280" t="s">
        <v>142</v>
      </c>
      <c r="B32" s="281">
        <f>C8-B33</f>
        <v>849790</v>
      </c>
      <c r="C32" s="282">
        <f>B32/C8</f>
        <v>0.70558705650159881</v>
      </c>
      <c r="D32" s="283">
        <f>+B32</f>
        <v>849790</v>
      </c>
      <c r="E32" s="284">
        <f>+D32/D34</f>
        <v>0.70558705650159881</v>
      </c>
      <c r="G32" s="2"/>
      <c r="H32" s="388"/>
      <c r="I32" s="297"/>
    </row>
    <row r="33" spans="1:14" ht="13.5" thickBot="1" x14ac:dyDescent="0.25">
      <c r="A33" s="285" t="s">
        <v>143</v>
      </c>
      <c r="B33" s="286">
        <f>'Major Airline Stats'!J51+'Regional Major'!K45</f>
        <v>354583</v>
      </c>
      <c r="C33" s="287">
        <f>+B33/C8</f>
        <v>0.29441294349840125</v>
      </c>
      <c r="D33" s="288">
        <f>+B33</f>
        <v>354583</v>
      </c>
      <c r="E33" s="289">
        <f>+D33/D34</f>
        <v>0.29441294349840125</v>
      </c>
      <c r="G33" s="221"/>
      <c r="H33" s="388"/>
      <c r="I33" s="297"/>
    </row>
    <row r="34" spans="1:14" ht="13.5" thickBot="1" x14ac:dyDescent="0.25">
      <c r="B34" s="221"/>
      <c r="D34" s="290">
        <f>SUM(D32:D33)</f>
        <v>1204373</v>
      </c>
      <c r="H34" s="388"/>
    </row>
    <row r="35" spans="1:14" ht="13.5" thickBot="1" x14ac:dyDescent="0.25">
      <c r="B35" s="452" t="s">
        <v>229</v>
      </c>
      <c r="C35" s="453"/>
      <c r="D35" s="454" t="s">
        <v>230</v>
      </c>
      <c r="E35" s="453"/>
    </row>
    <row r="36" spans="1:14" x14ac:dyDescent="0.2">
      <c r="A36" s="280" t="s">
        <v>142</v>
      </c>
      <c r="B36" s="281">
        <f>'[1]Monthly Summary'!$B$32</f>
        <v>844370</v>
      </c>
      <c r="C36" s="282">
        <f>+B36/B38</f>
        <v>0.68285388720541584</v>
      </c>
      <c r="D36" s="283">
        <f>+B36</f>
        <v>844370</v>
      </c>
      <c r="E36" s="284">
        <f>+D36/D38</f>
        <v>0.68285388720541584</v>
      </c>
    </row>
    <row r="37" spans="1:14" ht="13.5" thickBot="1" x14ac:dyDescent="0.25">
      <c r="A37" s="285" t="s">
        <v>143</v>
      </c>
      <c r="B37" s="286">
        <f>'[1]Monthly Summary'!$B$33</f>
        <v>392161</v>
      </c>
      <c r="C37" s="289">
        <f>+B37/B38</f>
        <v>0.31714611279458421</v>
      </c>
      <c r="D37" s="288">
        <f>+B37</f>
        <v>392161</v>
      </c>
      <c r="E37" s="289">
        <f>+D37/D38</f>
        <v>0.31714611279458421</v>
      </c>
      <c r="G37" s="221"/>
      <c r="M37" s="1"/>
    </row>
    <row r="38" spans="1:14" x14ac:dyDescent="0.2">
      <c r="B38" s="302">
        <f>+SUM(B36:B37)</f>
        <v>1236531</v>
      </c>
      <c r="D38" s="290">
        <f>SUM(D36:D37)</f>
        <v>1236531</v>
      </c>
      <c r="K38" s="295"/>
    </row>
    <row r="39" spans="1:14" x14ac:dyDescent="0.2">
      <c r="A39" s="294" t="s">
        <v>144</v>
      </c>
    </row>
    <row r="40" spans="1:14" x14ac:dyDescent="0.2">
      <c r="A40" s="164" t="s">
        <v>146</v>
      </c>
      <c r="I40" s="2"/>
    </row>
    <row r="41" spans="1:14" x14ac:dyDescent="0.2">
      <c r="N41" s="295"/>
    </row>
    <row r="42" spans="1:14" x14ac:dyDescent="0.2">
      <c r="G42" s="2"/>
      <c r="N42" s="295"/>
    </row>
    <row r="43" spans="1:14" x14ac:dyDescent="0.2">
      <c r="B43" s="221"/>
      <c r="J43" s="2"/>
      <c r="N43" s="295"/>
    </row>
    <row r="44" spans="1:14" x14ac:dyDescent="0.2">
      <c r="B44" s="221"/>
      <c r="D44" s="89"/>
      <c r="N44" s="295"/>
    </row>
    <row r="45" spans="1:14" x14ac:dyDescent="0.2">
      <c r="J45" s="2"/>
      <c r="N45" s="295"/>
    </row>
    <row r="46" spans="1:14" x14ac:dyDescent="0.2">
      <c r="B46" s="2"/>
      <c r="F46" s="221"/>
    </row>
    <row r="47" spans="1:14" x14ac:dyDescent="0.2">
      <c r="N47" s="295"/>
    </row>
    <row r="51" spans="12:12" x14ac:dyDescent="0.2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8" priority="40" stopIfTrue="1">
      <formula>"*.*"</formula>
    </cfRule>
  </conditionalFormatting>
  <conditionalFormatting sqref="B4:E13">
    <cfRule type="expression" dxfId="7" priority="35" stopIfTrue="1">
      <formula>"*.*"</formula>
    </cfRule>
  </conditionalFormatting>
  <conditionalFormatting sqref="B24:E24">
    <cfRule type="expression" dxfId="6" priority="4" stopIfTrue="1">
      <formula>"*.*"</formula>
    </cfRule>
  </conditionalFormatting>
  <conditionalFormatting sqref="B15:I22">
    <cfRule type="expression" dxfId="5" priority="5" stopIfTrue="1">
      <formula>"*.*"</formula>
    </cfRule>
  </conditionalFormatting>
  <conditionalFormatting sqref="B26:I30">
    <cfRule type="expression" dxfId="4" priority="8" stopIfTrue="1">
      <formula>"*.*"</formula>
    </cfRule>
  </conditionalFormatting>
  <conditionalFormatting sqref="F2:I14">
    <cfRule type="expression" dxfId="3" priority="13" stopIfTrue="1">
      <formula>"*.*"</formula>
    </cfRule>
  </conditionalFormatting>
  <conditionalFormatting sqref="F24:I25">
    <cfRule type="expression" dxfId="2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2026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Normal="100" zoomScaleSheetLayoutView="100" workbookViewId="0">
      <selection activeCell="N8" sqref="N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85546875" bestFit="1" customWidth="1"/>
    <col min="4" max="5" width="11.28515625" customWidth="1"/>
    <col min="6" max="6" width="11.85546875" bestFit="1" customWidth="1"/>
    <col min="7" max="14" width="11.28515625" customWidth="1"/>
    <col min="15" max="15" width="9.5703125" bestFit="1" customWidth="1"/>
    <col min="16" max="16" width="13.85546875" customWidth="1"/>
  </cols>
  <sheetData>
    <row r="1" spans="1:18" ht="39" thickBot="1" x14ac:dyDescent="0.25">
      <c r="A1" s="384">
        <v>46023</v>
      </c>
      <c r="B1" s="315" t="s">
        <v>18</v>
      </c>
      <c r="C1" s="352" t="s">
        <v>153</v>
      </c>
      <c r="D1" s="315" t="s">
        <v>157</v>
      </c>
      <c r="E1" s="315" t="s">
        <v>209</v>
      </c>
      <c r="F1" s="315" t="s">
        <v>49</v>
      </c>
      <c r="G1" s="315" t="s">
        <v>112</v>
      </c>
      <c r="H1" s="315" t="s">
        <v>176</v>
      </c>
      <c r="I1" s="315" t="s">
        <v>215</v>
      </c>
      <c r="J1" s="315" t="s">
        <v>212</v>
      </c>
      <c r="K1" s="315" t="s">
        <v>177</v>
      </c>
      <c r="L1" s="315" t="s">
        <v>182</v>
      </c>
      <c r="M1" s="315" t="s">
        <v>152</v>
      </c>
      <c r="N1" s="315" t="s">
        <v>47</v>
      </c>
      <c r="O1" s="315" t="s">
        <v>136</v>
      </c>
      <c r="P1" s="315" t="s">
        <v>21</v>
      </c>
    </row>
    <row r="2" spans="1:18" ht="15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9"/>
    </row>
    <row r="3" spans="1:18" x14ac:dyDescent="0.2">
      <c r="A3" s="43" t="s">
        <v>29</v>
      </c>
      <c r="P3" s="37"/>
    </row>
    <row r="4" spans="1:18" x14ac:dyDescent="0.2">
      <c r="A4" s="43" t="s">
        <v>30</v>
      </c>
      <c r="B4" s="11">
        <f>[2]Delta!$JV$32</f>
        <v>111473</v>
      </c>
      <c r="C4" s="11">
        <f>[2]Pinnacle!$JV$32</f>
        <v>1982</v>
      </c>
      <c r="D4" s="11">
        <f>'[2]Sky West'!$JV$32</f>
        <v>9095</v>
      </c>
      <c r="E4" s="11">
        <f>[2]WestJet!$JV$32</f>
        <v>4197</v>
      </c>
      <c r="F4" s="11">
        <f>'[2]Sun Country'!$JV$32</f>
        <v>28855</v>
      </c>
      <c r="G4" s="11">
        <f>[2]Icelandair!$JV$32</f>
        <v>2133</v>
      </c>
      <c r="H4" s="11">
        <f>[2]KLM!$JV$32</f>
        <v>0</v>
      </c>
      <c r="I4" s="11">
        <f>[2]Lufthansa!$JV$32</f>
        <v>0</v>
      </c>
      <c r="J4" s="11">
        <f>[2]Jazz_AC!$JV$32</f>
        <v>1369</v>
      </c>
      <c r="K4" s="11">
        <f>'[2]Sky Regional'!$JV$32</f>
        <v>0</v>
      </c>
      <c r="L4" s="11">
        <f>'[2]Aer Lingus'!$JV$32</f>
        <v>1721</v>
      </c>
      <c r="M4" s="11">
        <f>'[2]Air France'!$JV$32</f>
        <v>0</v>
      </c>
      <c r="N4" s="11">
        <f>[2]Frontier!$JV$32</f>
        <v>0</v>
      </c>
      <c r="O4" s="11">
        <f>'[2]Charter Misc'!$JV$32+[2]Ryan!$JV$32+[2]Omni!$JV$32</f>
        <v>60</v>
      </c>
      <c r="P4" s="197">
        <f>SUM(B4:O4)</f>
        <v>160885</v>
      </c>
    </row>
    <row r="5" spans="1:18" x14ac:dyDescent="0.2">
      <c r="A5" s="43" t="s">
        <v>31</v>
      </c>
      <c r="B5" s="7">
        <f>[2]Delta!$JV$33</f>
        <v>106427</v>
      </c>
      <c r="C5" s="7">
        <f>[2]Pinnacle!$JV$33</f>
        <v>1456</v>
      </c>
      <c r="D5" s="7">
        <f>'[2]Sky West'!$JV$33</f>
        <v>8438</v>
      </c>
      <c r="E5" s="7">
        <f>[2]WestJet!$JV$33</f>
        <v>5057</v>
      </c>
      <c r="F5" s="7">
        <f>'[2]Sun Country'!$JV$33</f>
        <v>28510</v>
      </c>
      <c r="G5" s="7">
        <f>[2]Icelandair!$JV$33</f>
        <v>2014</v>
      </c>
      <c r="H5" s="7">
        <f>[2]KLM!$JV$33</f>
        <v>0</v>
      </c>
      <c r="I5" s="7">
        <f>[2]Lufthansa!$JV$33</f>
        <v>0</v>
      </c>
      <c r="J5" s="7">
        <f>[2]Jazz_AC!$JV$33</f>
        <v>1399</v>
      </c>
      <c r="K5" s="7">
        <f>'[2]Sky Regional'!$JV$33</f>
        <v>0</v>
      </c>
      <c r="L5" s="7">
        <f>'[2]Aer Lingus'!$JV$33</f>
        <v>1316</v>
      </c>
      <c r="M5" s="7">
        <f>'[2]Air France'!$JV$33</f>
        <v>0</v>
      </c>
      <c r="N5" s="7">
        <f>[2]Frontier!$JV$33</f>
        <v>0</v>
      </c>
      <c r="O5" s="7">
        <f>'[2]Charter Misc'!$JV$33++[2]Ryan!$JV$33+[2]Omni!$JV$33</f>
        <v>0</v>
      </c>
      <c r="P5" s="198">
        <f>SUM(B5:O5)</f>
        <v>154617</v>
      </c>
    </row>
    <row r="6" spans="1:18" ht="15" x14ac:dyDescent="0.25">
      <c r="A6" s="41" t="s">
        <v>7</v>
      </c>
      <c r="B6" s="23">
        <f t="shared" ref="B6:O6" si="0">SUM(B4:B5)</f>
        <v>217900</v>
      </c>
      <c r="C6" s="23">
        <f t="shared" si="0"/>
        <v>3438</v>
      </c>
      <c r="D6" s="23">
        <f t="shared" si="0"/>
        <v>17533</v>
      </c>
      <c r="E6" s="23">
        <f t="shared" ref="E6" si="1">SUM(E4:E5)</f>
        <v>9254</v>
      </c>
      <c r="F6" s="23">
        <f t="shared" si="0"/>
        <v>57365</v>
      </c>
      <c r="G6" s="23">
        <f t="shared" si="0"/>
        <v>4147</v>
      </c>
      <c r="H6" s="23">
        <f t="shared" ref="H6:I6" si="2">SUM(H4:H5)</f>
        <v>0</v>
      </c>
      <c r="I6" s="23">
        <f t="shared" si="2"/>
        <v>0</v>
      </c>
      <c r="J6" s="23">
        <f t="shared" si="0"/>
        <v>2768</v>
      </c>
      <c r="K6" s="23">
        <f t="shared" ref="K6" si="3">SUM(K4:K5)</f>
        <v>0</v>
      </c>
      <c r="L6" s="23">
        <f t="shared" ref="L6" si="4">SUM(L4:L5)</f>
        <v>3037</v>
      </c>
      <c r="M6" s="23">
        <f t="shared" si="0"/>
        <v>0</v>
      </c>
      <c r="N6" s="23">
        <f t="shared" si="0"/>
        <v>0</v>
      </c>
      <c r="O6" s="23">
        <f t="shared" si="0"/>
        <v>60</v>
      </c>
      <c r="P6" s="199">
        <f>SUM(B6:O6)</f>
        <v>315502</v>
      </c>
    </row>
    <row r="7" spans="1:18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97"/>
    </row>
    <row r="8" spans="1:18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7">
        <f>SUM(B8:O8)</f>
        <v>0</v>
      </c>
    </row>
    <row r="9" spans="1:18" x14ac:dyDescent="0.2">
      <c r="A9" s="43" t="s">
        <v>30</v>
      </c>
      <c r="B9" s="11">
        <f>[2]Delta!$JV$37</f>
        <v>3348</v>
      </c>
      <c r="C9" s="11">
        <f>[2]Pinnacle!$JV$37</f>
        <v>25</v>
      </c>
      <c r="D9" s="11">
        <f>'[2]Sky West'!$JV$37</f>
        <v>153</v>
      </c>
      <c r="E9" s="11">
        <f>[2]WestJet!$JV$37</f>
        <v>1</v>
      </c>
      <c r="F9" s="11">
        <f>'[2]Sun Country'!$JV$37</f>
        <v>681</v>
      </c>
      <c r="G9" s="11">
        <f>[2]Icelandair!$JV$37</f>
        <v>41</v>
      </c>
      <c r="H9" s="11">
        <f>[2]KLM!$JV$37</f>
        <v>0</v>
      </c>
      <c r="I9" s="11">
        <f>[2]Lufthansa!$JV$37</f>
        <v>0</v>
      </c>
      <c r="J9" s="11">
        <f>[2]Jazz_AC!$JV$37</f>
        <v>24</v>
      </c>
      <c r="K9" s="11">
        <f>'[2]Sky Regional'!$JV$37</f>
        <v>0</v>
      </c>
      <c r="L9" s="11">
        <f>'[2]Aer Lingus'!$JV$37</f>
        <v>7</v>
      </c>
      <c r="M9" s="11">
        <f>'[2]Air France'!$JV$37</f>
        <v>0</v>
      </c>
      <c r="N9" s="11">
        <f>[2]Frontier!$JV$37</f>
        <v>0</v>
      </c>
      <c r="O9" s="11">
        <f>'[2]Charter Misc'!$JV$37+[2]Ryan!$JV$37+[2]Omni!$JV$37</f>
        <v>0</v>
      </c>
      <c r="P9" s="197">
        <f>SUM(B9:O9)</f>
        <v>4280</v>
      </c>
    </row>
    <row r="10" spans="1:18" x14ac:dyDescent="0.2">
      <c r="A10" s="43" t="s">
        <v>33</v>
      </c>
      <c r="B10" s="7">
        <f>[2]Delta!$JV$38</f>
        <v>3121</v>
      </c>
      <c r="C10" s="7">
        <f>[2]Pinnacle!$JV$38</f>
        <v>23</v>
      </c>
      <c r="D10" s="7">
        <f>'[2]Sky West'!$JV$38</f>
        <v>128</v>
      </c>
      <c r="E10" s="7">
        <f>[2]WestJet!$JV$38</f>
        <v>0</v>
      </c>
      <c r="F10" s="7">
        <f>'[2]Sun Country'!$JV$38</f>
        <v>672</v>
      </c>
      <c r="G10" s="7">
        <f>[2]Icelandair!$JV$38</f>
        <v>42</v>
      </c>
      <c r="H10" s="7">
        <f>[2]KLM!$JV$38</f>
        <v>0</v>
      </c>
      <c r="I10" s="7">
        <f>[2]Lufthansa!$JV$38</f>
        <v>0</v>
      </c>
      <c r="J10" s="7">
        <f>[2]Jazz_AC!$JV$38</f>
        <v>44</v>
      </c>
      <c r="K10" s="7">
        <f>'[2]Sky Regional'!$JV$38</f>
        <v>0</v>
      </c>
      <c r="L10" s="7">
        <f>'[2]Aer Lingus'!$JV$38</f>
        <v>8</v>
      </c>
      <c r="M10" s="7">
        <f>'[2]Air France'!$JV$38</f>
        <v>0</v>
      </c>
      <c r="N10" s="7">
        <f>[2]Frontier!$JV$38</f>
        <v>0</v>
      </c>
      <c r="O10" s="7">
        <f>'[2]Charter Misc'!$JV$38+[2]Ryan!$JV$38+[2]Omni!$JV$38</f>
        <v>0</v>
      </c>
      <c r="P10" s="198">
        <f>SUM(B10:O10)</f>
        <v>4038</v>
      </c>
    </row>
    <row r="11" spans="1:18" ht="15.75" thickBot="1" x14ac:dyDescent="0.3">
      <c r="A11" s="44" t="s">
        <v>34</v>
      </c>
      <c r="B11" s="200">
        <f t="shared" ref="B11:F11" si="5">SUM(B9:B10)</f>
        <v>6469</v>
      </c>
      <c r="C11" s="200">
        <f t="shared" si="5"/>
        <v>48</v>
      </c>
      <c r="D11" s="200">
        <f t="shared" si="5"/>
        <v>281</v>
      </c>
      <c r="E11" s="200">
        <f t="shared" ref="E11" si="6">SUM(E9:E10)</f>
        <v>1</v>
      </c>
      <c r="F11" s="200">
        <f t="shared" si="5"/>
        <v>1353</v>
      </c>
      <c r="G11" s="200">
        <f t="shared" ref="G11:O11" si="7">SUM(G9:G10)</f>
        <v>83</v>
      </c>
      <c r="H11" s="200">
        <f t="shared" ref="H11:I11" si="8">SUM(H9:H10)</f>
        <v>0</v>
      </c>
      <c r="I11" s="200">
        <f t="shared" si="8"/>
        <v>0</v>
      </c>
      <c r="J11" s="200">
        <f t="shared" si="7"/>
        <v>68</v>
      </c>
      <c r="K11" s="200">
        <f t="shared" ref="K11" si="9">SUM(K9:K10)</f>
        <v>0</v>
      </c>
      <c r="L11" s="200">
        <f t="shared" ref="L11" si="10">SUM(L9:L10)</f>
        <v>15</v>
      </c>
      <c r="M11" s="200">
        <f t="shared" si="7"/>
        <v>0</v>
      </c>
      <c r="N11" s="200">
        <f t="shared" si="7"/>
        <v>0</v>
      </c>
      <c r="O11" s="200">
        <f t="shared" si="7"/>
        <v>0</v>
      </c>
      <c r="P11" s="201">
        <f>SUM(B11:O11)</f>
        <v>8318</v>
      </c>
      <c r="R11" s="221"/>
    </row>
    <row r="12" spans="1:18" ht="15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1"/>
    </row>
    <row r="13" spans="1:18" ht="39" thickBot="1" x14ac:dyDescent="0.25">
      <c r="B13" s="316" t="s">
        <v>18</v>
      </c>
      <c r="C13" s="352" t="s">
        <v>153</v>
      </c>
      <c r="D13" s="315" t="s">
        <v>157</v>
      </c>
      <c r="E13" s="315" t="s">
        <v>209</v>
      </c>
      <c r="F13" s="315" t="s">
        <v>49</v>
      </c>
      <c r="G13" s="315" t="s">
        <v>112</v>
      </c>
      <c r="H13" s="315" t="s">
        <v>176</v>
      </c>
      <c r="I13" s="315" t="s">
        <v>215</v>
      </c>
      <c r="J13" s="315" t="s">
        <v>212</v>
      </c>
      <c r="K13" s="315" t="s">
        <v>177</v>
      </c>
      <c r="L13" s="315" t="s">
        <v>182</v>
      </c>
      <c r="M13" s="315" t="s">
        <v>152</v>
      </c>
      <c r="N13" s="315" t="s">
        <v>47</v>
      </c>
      <c r="O13" s="315" t="s">
        <v>136</v>
      </c>
      <c r="P13" s="315" t="s">
        <v>21</v>
      </c>
    </row>
    <row r="14" spans="1:18" ht="15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2"/>
    </row>
    <row r="15" spans="1:18" x14ac:dyDescent="0.2">
      <c r="A15" s="43" t="s">
        <v>29</v>
      </c>
      <c r="P15" s="37"/>
    </row>
    <row r="16" spans="1:18" x14ac:dyDescent="0.2">
      <c r="A16" s="43"/>
      <c r="P16" s="37"/>
    </row>
    <row r="17" spans="1:19" x14ac:dyDescent="0.2">
      <c r="A17" s="43" t="s">
        <v>30</v>
      </c>
      <c r="B17" s="11">
        <f>SUM([2]Delta!$JV$32:$JV$32)</f>
        <v>111473</v>
      </c>
      <c r="C17" s="11">
        <f>SUM([2]Pinnacle!$JV$32:$JV$32)</f>
        <v>1982</v>
      </c>
      <c r="D17" s="11">
        <f>SUM('[2]Sky West'!$JV$32:$JV$32)</f>
        <v>9095</v>
      </c>
      <c r="E17" s="11">
        <f>SUM([2]WestJet!$JV$32:$JV$32)</f>
        <v>4197</v>
      </c>
      <c r="F17" s="11">
        <f>SUM('[2]Sun Country'!$JV$32:$JV$32)</f>
        <v>28855</v>
      </c>
      <c r="G17" s="11">
        <f>SUM([2]Icelandair!$JV$32:$JV$32)</f>
        <v>2133</v>
      </c>
      <c r="H17" s="11">
        <f>SUM([2]KLM!$JV$32:$JV$32)</f>
        <v>0</v>
      </c>
      <c r="I17" s="11">
        <f>SUM([2]Lufthansa!$JV$32:$JV$32)</f>
        <v>0</v>
      </c>
      <c r="J17" s="11">
        <f>SUM([2]Jazz_AC!$JV$32:$JV$32)</f>
        <v>1369</v>
      </c>
      <c r="K17" s="11">
        <f>SUM('[2]Sky Regional'!$JV$32:$JV$32)</f>
        <v>0</v>
      </c>
      <c r="L17" s="11">
        <f>SUM('[2]Aer Lingus'!$JV$32:$JV$32)</f>
        <v>1721</v>
      </c>
      <c r="M17" s="11">
        <f>SUM('[2]Air France'!$JV$32:$JV$32)</f>
        <v>0</v>
      </c>
      <c r="N17" s="11">
        <f>SUM([2]Frontier!$JV$32:$JV$32)</f>
        <v>0</v>
      </c>
      <c r="O17" s="11">
        <f>SUM('[2]Charter Misc'!$JV$32:$JV$32)+SUM([2]Ryan!$JV$32:$JV$32)+SUM([2]Omni!$JV$32:$JV$32)</f>
        <v>60</v>
      </c>
      <c r="P17" s="197">
        <f>SUM(B17:O17)</f>
        <v>160885</v>
      </c>
    </row>
    <row r="18" spans="1:19" x14ac:dyDescent="0.2">
      <c r="A18" s="43" t="s">
        <v>31</v>
      </c>
      <c r="B18" s="7">
        <f>SUM([2]Delta!$JV$33:$JV$33)</f>
        <v>106427</v>
      </c>
      <c r="C18" s="7">
        <f>SUM([2]Pinnacle!$JV$33:$JV$33)</f>
        <v>1456</v>
      </c>
      <c r="D18" s="7">
        <f>SUM('[2]Sky West'!$JV$33:$JV$33)</f>
        <v>8438</v>
      </c>
      <c r="E18" s="7">
        <f>SUM([2]WestJet!$JV$33:$JV$33)</f>
        <v>5057</v>
      </c>
      <c r="F18" s="7">
        <f>SUM('[2]Sun Country'!$JV$33:$JV$33)</f>
        <v>28510</v>
      </c>
      <c r="G18" s="7">
        <f>SUM([2]Icelandair!$JV$33:$JV$33)</f>
        <v>2014</v>
      </c>
      <c r="H18" s="7">
        <f>SUM([2]KLM!$JV$33:$JV$33)</f>
        <v>0</v>
      </c>
      <c r="I18" s="7">
        <f>SUM([2]Lufthansa!$JV$33:$JV$33)</f>
        <v>0</v>
      </c>
      <c r="J18" s="7">
        <f>SUM([2]Jazz_AC!$JV$33:$JV$33)</f>
        <v>1399</v>
      </c>
      <c r="K18" s="7">
        <f>SUM('[2]Sky Regional'!$JV$33:$JV$33)</f>
        <v>0</v>
      </c>
      <c r="L18" s="7">
        <f>SUM('[2]Aer Lingus'!$JV$33:$JV$33)</f>
        <v>1316</v>
      </c>
      <c r="M18" s="7">
        <f>SUM('[2]Air France'!$JV$33:$JV$33)</f>
        <v>0</v>
      </c>
      <c r="N18" s="7">
        <f>SUM([2]Frontier!$JV$33:$JV$33)</f>
        <v>0</v>
      </c>
      <c r="O18" s="7">
        <f>SUM('[2]Charter Misc'!$JV$33:$JV$33)++SUM([2]Ryan!$JV$33:$JV$33)+SUM([2]Omni!$JV$33:$JV$33)</f>
        <v>0</v>
      </c>
      <c r="P18" s="198">
        <f>SUM(B18:O18)</f>
        <v>154617</v>
      </c>
    </row>
    <row r="19" spans="1:19" ht="15" x14ac:dyDescent="0.25">
      <c r="A19" s="41" t="s">
        <v>7</v>
      </c>
      <c r="B19" s="23">
        <f t="shared" ref="B19:O19" si="11">SUM(B17:B18)</f>
        <v>217900</v>
      </c>
      <c r="C19" s="23">
        <f t="shared" si="11"/>
        <v>3438</v>
      </c>
      <c r="D19" s="23">
        <f t="shared" si="11"/>
        <v>17533</v>
      </c>
      <c r="E19" s="23">
        <f t="shared" ref="E19" si="12">SUM(E17:E18)</f>
        <v>9254</v>
      </c>
      <c r="F19" s="23">
        <f t="shared" si="11"/>
        <v>57365</v>
      </c>
      <c r="G19" s="23">
        <f t="shared" si="11"/>
        <v>4147</v>
      </c>
      <c r="H19" s="23">
        <f t="shared" ref="H19:I19" si="13">SUM(H17:H18)</f>
        <v>0</v>
      </c>
      <c r="I19" s="23">
        <f t="shared" si="13"/>
        <v>0</v>
      </c>
      <c r="J19" s="23">
        <f t="shared" si="11"/>
        <v>2768</v>
      </c>
      <c r="K19" s="23">
        <f t="shared" ref="K19" si="14">SUM(K17:K18)</f>
        <v>0</v>
      </c>
      <c r="L19" s="23">
        <f t="shared" ref="L19" si="15">SUM(L17:L18)</f>
        <v>3037</v>
      </c>
      <c r="M19" s="23">
        <f t="shared" si="11"/>
        <v>0</v>
      </c>
      <c r="N19" s="23">
        <f t="shared" si="11"/>
        <v>0</v>
      </c>
      <c r="O19" s="23">
        <f t="shared" si="11"/>
        <v>60</v>
      </c>
      <c r="P19" s="199">
        <f>SUM(B19:O19)</f>
        <v>315502</v>
      </c>
      <c r="S19" s="221"/>
    </row>
    <row r="20" spans="1:19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97"/>
      <c r="S20" s="89"/>
    </row>
    <row r="21" spans="1:19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97">
        <f>SUM(B21:O21)</f>
        <v>0</v>
      </c>
    </row>
    <row r="22" spans="1:19" x14ac:dyDescent="0.2">
      <c r="A22" s="43" t="s">
        <v>30</v>
      </c>
      <c r="B22" s="11">
        <f>SUM([2]Delta!$JV$37:$JV$37)</f>
        <v>3348</v>
      </c>
      <c r="C22" s="11">
        <f>SUM([2]Pinnacle!$JV$37:$JV$37)</f>
        <v>25</v>
      </c>
      <c r="D22" s="11">
        <f>SUM('[2]Sky West'!$JV$37:$JV$37)</f>
        <v>153</v>
      </c>
      <c r="E22" s="11">
        <f>SUM([2]WestJet!$JV$37:$JV$37)</f>
        <v>1</v>
      </c>
      <c r="F22" s="11">
        <f>SUM('[2]Sun Country'!$JV$37:$JV$37)</f>
        <v>681</v>
      </c>
      <c r="G22" s="11">
        <f>SUM([2]Icelandair!$JV$37:$JV$37)</f>
        <v>41</v>
      </c>
      <c r="H22" s="11">
        <f>SUM([2]KLM!$JV$37:$JV$37)</f>
        <v>0</v>
      </c>
      <c r="I22" s="11">
        <f>SUM([2]Lufthansa!$JV$37:$JV$37)</f>
        <v>0</v>
      </c>
      <c r="J22" s="11">
        <f>SUM([2]Jazz_AC!$JV$37:$JV$37)</f>
        <v>24</v>
      </c>
      <c r="K22" s="11">
        <f>SUM('[2]Sky Regional'!$JV$37:$JV$37)</f>
        <v>0</v>
      </c>
      <c r="L22" s="11">
        <f>SUM('[2]Aer Lingus'!$JV$37:$JV$37)</f>
        <v>7</v>
      </c>
      <c r="M22" s="11">
        <f>SUM('[2]Air France'!$JV$37:$JV$37)</f>
        <v>0</v>
      </c>
      <c r="N22" s="11">
        <f>SUM([2]Frontier!$JV$37:$JV$37)</f>
        <v>0</v>
      </c>
      <c r="O22" s="11">
        <f>SUM('[2]Charter Misc'!$JV$37:$JV$37)++SUM([2]Ryan!$JV$37:$JV$37)+SUM([2]Omni!$JV$37:$JV$37)</f>
        <v>0</v>
      </c>
      <c r="P22" s="197">
        <f>SUM(B22:O22)</f>
        <v>4280</v>
      </c>
    </row>
    <row r="23" spans="1:19" x14ac:dyDescent="0.2">
      <c r="A23" s="43" t="s">
        <v>33</v>
      </c>
      <c r="B23" s="7">
        <f>SUM([2]Delta!$JV$38:$JV$38)</f>
        <v>3121</v>
      </c>
      <c r="C23" s="7">
        <f>SUM([2]Pinnacle!$JV$38:$JV$38)</f>
        <v>23</v>
      </c>
      <c r="D23" s="7">
        <f>SUM('[2]Sky West'!$JV$38:$JV$38)</f>
        <v>128</v>
      </c>
      <c r="E23" s="7">
        <f>SUM([2]WestJet!$JV$38:$JV$38)</f>
        <v>0</v>
      </c>
      <c r="F23" s="7">
        <f>SUM('[2]Sun Country'!$JV$38:$JV$38)</f>
        <v>672</v>
      </c>
      <c r="G23" s="7">
        <f>SUM([2]Icelandair!$JV$38:$JV$38)</f>
        <v>42</v>
      </c>
      <c r="H23" s="7">
        <f>SUM([2]KLM!$JV$38:$JV$38)</f>
        <v>0</v>
      </c>
      <c r="I23" s="7">
        <f>SUM([2]Lufthansa!$JV$38:$JV$38)</f>
        <v>0</v>
      </c>
      <c r="J23" s="7">
        <f>SUM([2]Jazz_AC!$JV$38:$JV$38)</f>
        <v>44</v>
      </c>
      <c r="K23" s="7">
        <f>SUM('[2]Sky Regional'!$JV$38:$JV$38)</f>
        <v>0</v>
      </c>
      <c r="L23" s="7">
        <f>SUM('[2]Aer Lingus'!$JV$38:$JV$38)</f>
        <v>8</v>
      </c>
      <c r="M23" s="7">
        <f>SUM('[2]Air France'!$JV$38:$JV$38)</f>
        <v>0</v>
      </c>
      <c r="N23" s="7">
        <f>SUM([2]Frontier!$JV$38:$JV$38)</f>
        <v>0</v>
      </c>
      <c r="O23" s="7">
        <f>SUM('[2]Charter Misc'!$JV$38:$JV$38)++SUM([2]Ryan!$JV$38:$JV$38)+SUM([2]Omni!$JV$38:$JV$38)</f>
        <v>0</v>
      </c>
      <c r="P23" s="198">
        <f>SUM(B23:O23)</f>
        <v>4038</v>
      </c>
    </row>
    <row r="24" spans="1:19" ht="15.75" thickBot="1" x14ac:dyDescent="0.3">
      <c r="A24" s="44" t="s">
        <v>34</v>
      </c>
      <c r="B24" s="200">
        <f t="shared" ref="B24:O24" si="16">SUM(B22:B23)</f>
        <v>6469</v>
      </c>
      <c r="C24" s="200">
        <f t="shared" si="16"/>
        <v>48</v>
      </c>
      <c r="D24" s="200">
        <f t="shared" si="16"/>
        <v>281</v>
      </c>
      <c r="E24" s="200">
        <f t="shared" ref="E24" si="17">SUM(E22:E23)</f>
        <v>1</v>
      </c>
      <c r="F24" s="200">
        <f t="shared" si="16"/>
        <v>1353</v>
      </c>
      <c r="G24" s="200">
        <f t="shared" si="16"/>
        <v>83</v>
      </c>
      <c r="H24" s="200">
        <f t="shared" ref="H24:I24" si="18">SUM(H22:H23)</f>
        <v>0</v>
      </c>
      <c r="I24" s="200">
        <f t="shared" si="18"/>
        <v>0</v>
      </c>
      <c r="J24" s="200">
        <f t="shared" si="16"/>
        <v>68</v>
      </c>
      <c r="K24" s="200">
        <f t="shared" ref="K24" si="19">SUM(K22:K23)</f>
        <v>0</v>
      </c>
      <c r="L24" s="200">
        <f t="shared" ref="L24" si="20">SUM(L22:L23)</f>
        <v>15</v>
      </c>
      <c r="M24" s="200">
        <f t="shared" si="16"/>
        <v>0</v>
      </c>
      <c r="N24" s="200">
        <f t="shared" si="16"/>
        <v>0</v>
      </c>
      <c r="O24" s="200">
        <f t="shared" si="16"/>
        <v>0</v>
      </c>
      <c r="P24" s="201">
        <f>SUM(B24:O24)</f>
        <v>8318</v>
      </c>
    </row>
    <row r="26" spans="1:19" ht="39" thickBot="1" x14ac:dyDescent="0.25">
      <c r="B26" s="316" t="s">
        <v>18</v>
      </c>
      <c r="C26" s="352" t="s">
        <v>153</v>
      </c>
      <c r="D26" s="315" t="s">
        <v>157</v>
      </c>
      <c r="E26" s="315" t="s">
        <v>209</v>
      </c>
      <c r="F26" s="315" t="s">
        <v>49</v>
      </c>
      <c r="G26" s="315" t="s">
        <v>112</v>
      </c>
      <c r="H26" s="315" t="s">
        <v>176</v>
      </c>
      <c r="I26" s="315" t="s">
        <v>215</v>
      </c>
      <c r="J26" s="315" t="s">
        <v>212</v>
      </c>
      <c r="K26" s="315" t="s">
        <v>177</v>
      </c>
      <c r="L26" s="315" t="s">
        <v>182</v>
      </c>
      <c r="M26" s="315" t="s">
        <v>152</v>
      </c>
      <c r="N26" s="315" t="s">
        <v>47</v>
      </c>
      <c r="O26" s="315" t="s">
        <v>136</v>
      </c>
      <c r="P26" s="315" t="s">
        <v>21</v>
      </c>
    </row>
    <row r="27" spans="1:19" ht="15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5"/>
    </row>
    <row r="28" spans="1:19" x14ac:dyDescent="0.2">
      <c r="A28" s="43" t="s">
        <v>22</v>
      </c>
      <c r="B28" s="11">
        <f>[2]Delta!$JV$15</f>
        <v>677</v>
      </c>
      <c r="C28" s="11">
        <f>[2]Pinnacle!$JV$15</f>
        <v>32</v>
      </c>
      <c r="D28" s="11">
        <f>'[2]Sky West'!$JV$15</f>
        <v>142</v>
      </c>
      <c r="E28" s="11">
        <f>[2]WestJet!$JV$15</f>
        <v>61</v>
      </c>
      <c r="F28" s="11">
        <f>'[2]Sun Country'!$JV$15</f>
        <v>193</v>
      </c>
      <c r="G28" s="11">
        <f>[2]Icelandair!$JV$15</f>
        <v>17</v>
      </c>
      <c r="H28" s="11">
        <f>[2]KLM!$JV$15</f>
        <v>0</v>
      </c>
      <c r="I28" s="11">
        <f>[2]Lufthansa!$JV$15</f>
        <v>0</v>
      </c>
      <c r="J28" s="11">
        <f>[2]Jazz_AC!$JV$15</f>
        <v>22</v>
      </c>
      <c r="K28" s="11">
        <f>'[2]Sky Regional'!$JV$15</f>
        <v>0</v>
      </c>
      <c r="L28" s="11">
        <f>'[2]Aer Lingus'!$JV$15</f>
        <v>17</v>
      </c>
      <c r="M28" s="11">
        <f>'[2]Air France'!$JV$15</f>
        <v>0</v>
      </c>
      <c r="N28" s="11">
        <f>[2]Frontier!$JV$15</f>
        <v>0</v>
      </c>
      <c r="O28" s="11">
        <f>'[2]Charter Misc'!$JV$15+[2]Ryan!$JV$15+[2]Omni!$JV$15</f>
        <v>1</v>
      </c>
      <c r="P28" s="197">
        <f>SUM(B28:O28)</f>
        <v>1162</v>
      </c>
    </row>
    <row r="29" spans="1:19" x14ac:dyDescent="0.2">
      <c r="A29" s="43" t="s">
        <v>23</v>
      </c>
      <c r="B29" s="11">
        <f>[2]Delta!$JV$16</f>
        <v>676</v>
      </c>
      <c r="C29" s="11">
        <f>[2]Pinnacle!$JV$16</f>
        <v>32</v>
      </c>
      <c r="D29" s="11">
        <f>'[2]Sky West'!$JV$16</f>
        <v>141</v>
      </c>
      <c r="E29" s="11">
        <f>[2]WestJet!$JV$16</f>
        <v>61</v>
      </c>
      <c r="F29" s="11">
        <f>'[2]Sun Country'!$JV$16</f>
        <v>194</v>
      </c>
      <c r="G29" s="11">
        <f>[2]Icelandair!$JV$16</f>
        <v>17</v>
      </c>
      <c r="H29" s="11">
        <f>[2]KLM!$JV$16</f>
        <v>0</v>
      </c>
      <c r="I29" s="11">
        <f>[2]Lufthansa!$JV$16</f>
        <v>0</v>
      </c>
      <c r="J29" s="11">
        <f>[2]Jazz_AC!$JV$16</f>
        <v>24</v>
      </c>
      <c r="K29" s="11">
        <f>'[2]Sky Regional'!$JV$16</f>
        <v>0</v>
      </c>
      <c r="L29" s="11">
        <f>'[2]Aer Lingus'!$JV$16</f>
        <v>17</v>
      </c>
      <c r="M29" s="11">
        <f>'[2]Air France'!$JV$16</f>
        <v>0</v>
      </c>
      <c r="N29" s="11">
        <f>[2]Frontier!$JV$16</f>
        <v>0</v>
      </c>
      <c r="O29" s="11">
        <f>'[2]Charter Misc'!$JV$16+[2]Ryan!$JV$16+[2]Omni!$JV$16</f>
        <v>0</v>
      </c>
      <c r="P29" s="197">
        <f>SUM(B29:O29)</f>
        <v>1162</v>
      </c>
    </row>
    <row r="30" spans="1:19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7"/>
    </row>
    <row r="31" spans="1:19" ht="15.75" thickBot="1" x14ac:dyDescent="0.3">
      <c r="A31" s="44" t="s">
        <v>28</v>
      </c>
      <c r="B31" s="272">
        <f t="shared" ref="B31:J31" si="21">SUM(B28:B29)</f>
        <v>1353</v>
      </c>
      <c r="C31" s="272">
        <f t="shared" si="21"/>
        <v>64</v>
      </c>
      <c r="D31" s="272">
        <f>SUM(D28:D29)</f>
        <v>283</v>
      </c>
      <c r="E31" s="272">
        <f>SUM(E28:E29)</f>
        <v>122</v>
      </c>
      <c r="F31" s="272">
        <f t="shared" si="21"/>
        <v>387</v>
      </c>
      <c r="G31" s="272">
        <f t="shared" si="21"/>
        <v>34</v>
      </c>
      <c r="H31" s="272">
        <f t="shared" ref="H31:I31" si="22">SUM(H28:H29)</f>
        <v>0</v>
      </c>
      <c r="I31" s="272">
        <f t="shared" si="22"/>
        <v>0</v>
      </c>
      <c r="J31" s="272">
        <f t="shared" si="21"/>
        <v>46</v>
      </c>
      <c r="K31" s="272">
        <f t="shared" ref="K31" si="23">SUM(K28:K29)</f>
        <v>0</v>
      </c>
      <c r="L31" s="272">
        <f>SUM(L28:L29)</f>
        <v>34</v>
      </c>
      <c r="M31" s="272">
        <f>SUM(M28:M29)</f>
        <v>0</v>
      </c>
      <c r="N31" s="272">
        <f t="shared" ref="N31" si="24">SUM(N28:N29)</f>
        <v>0</v>
      </c>
      <c r="O31" s="272">
        <f>SUM(O28:O29)</f>
        <v>1</v>
      </c>
      <c r="P31" s="273">
        <f>SUM(B31:O31)</f>
        <v>2324</v>
      </c>
    </row>
    <row r="32" spans="1:19" ht="15" x14ac:dyDescent="0.25">
      <c r="A32" s="274"/>
    </row>
    <row r="33" spans="1:16" ht="39" thickBot="1" x14ac:dyDescent="0.25">
      <c r="B33" s="316" t="s">
        <v>18</v>
      </c>
      <c r="C33" s="352" t="s">
        <v>153</v>
      </c>
      <c r="D33" s="315" t="s">
        <v>157</v>
      </c>
      <c r="E33" s="315" t="s">
        <v>209</v>
      </c>
      <c r="F33" s="315" t="s">
        <v>49</v>
      </c>
      <c r="G33" s="315" t="s">
        <v>112</v>
      </c>
      <c r="H33" s="315" t="s">
        <v>176</v>
      </c>
      <c r="I33" s="315" t="s">
        <v>215</v>
      </c>
      <c r="J33" s="315" t="s">
        <v>212</v>
      </c>
      <c r="K33" s="315" t="s">
        <v>177</v>
      </c>
      <c r="L33" s="315" t="s">
        <v>182</v>
      </c>
      <c r="M33" s="315" t="s">
        <v>152</v>
      </c>
      <c r="N33" s="315" t="s">
        <v>47</v>
      </c>
      <c r="O33" s="315" t="s">
        <v>136</v>
      </c>
      <c r="P33" s="315" t="s">
        <v>21</v>
      </c>
    </row>
    <row r="34" spans="1:16" ht="15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8"/>
    </row>
    <row r="35" spans="1:16" x14ac:dyDescent="0.2">
      <c r="A35" s="43" t="s">
        <v>22</v>
      </c>
      <c r="B35" s="11">
        <f>SUM([2]Delta!$JV$15:$JV$15)</f>
        <v>677</v>
      </c>
      <c r="C35" s="11">
        <f>SUM([2]Pinnacle!$JV$15:$JV$15)</f>
        <v>32</v>
      </c>
      <c r="D35" s="11">
        <f>SUM('[2]Sky West'!$JV$15:$JV$15)</f>
        <v>142</v>
      </c>
      <c r="E35" s="11">
        <f>SUM([2]WestJet!$JV$15:$JV$15)</f>
        <v>61</v>
      </c>
      <c r="F35" s="11">
        <f>SUM('[2]Sun Country'!$JV$15:$JV$15)</f>
        <v>193</v>
      </c>
      <c r="G35" s="11">
        <f>SUM([2]Icelandair!$JV$15:$JV$15)</f>
        <v>17</v>
      </c>
      <c r="H35" s="11">
        <f>SUM([2]KLM!$JV$15:$JV$15)</f>
        <v>0</v>
      </c>
      <c r="I35" s="11">
        <f>SUM([2]Lufthansa!$JV$15:$JV$15)</f>
        <v>0</v>
      </c>
      <c r="J35" s="11">
        <f>SUM([2]Jazz_AC!$JV$15:$JV$15)</f>
        <v>22</v>
      </c>
      <c r="K35" s="11">
        <f>SUM('[2]Sky Regional'!$JV$15:$JV$15)</f>
        <v>0</v>
      </c>
      <c r="L35" s="11">
        <f>SUM('[2]Aer Lingus'!$JV$15:$JV$15)</f>
        <v>17</v>
      </c>
      <c r="M35" s="11">
        <f>SUM('[2]Air France'!$JV$15:$JV$15)</f>
        <v>0</v>
      </c>
      <c r="N35" s="11">
        <f>SUM([2]Frontier!$JV$15:$JV$15)</f>
        <v>0</v>
      </c>
      <c r="O35" s="11">
        <f>SUM('[2]Charter Misc'!$JV$15:$JV$15)+SUM([2]Ryan!$JV$15:$JV$15)+SUM([2]Omni!$JV$15:$JV$15)</f>
        <v>1</v>
      </c>
      <c r="P35" s="197">
        <f>SUM(B35:O35)</f>
        <v>1162</v>
      </c>
    </row>
    <row r="36" spans="1:16" x14ac:dyDescent="0.2">
      <c r="A36" s="43" t="s">
        <v>23</v>
      </c>
      <c r="B36" s="11">
        <f>SUM([2]Delta!$JV$16:$JV$16)</f>
        <v>676</v>
      </c>
      <c r="C36" s="11">
        <f>SUM([2]Pinnacle!$JV$16:$JV$16)</f>
        <v>32</v>
      </c>
      <c r="D36" s="11">
        <f>SUM('[2]Sky West'!$JV$16:$JV$16)</f>
        <v>141</v>
      </c>
      <c r="E36" s="11">
        <f>SUM([2]WestJet!$JV$16:$JV$16)</f>
        <v>61</v>
      </c>
      <c r="F36" s="11">
        <f>SUM('[2]Sun Country'!$JV$16:$JV$16)</f>
        <v>194</v>
      </c>
      <c r="G36" s="11">
        <f>SUM([2]Icelandair!$JV$16:$JV$16)</f>
        <v>17</v>
      </c>
      <c r="H36" s="11">
        <f>SUM([2]KLM!$JV$16:$JV$16)</f>
        <v>0</v>
      </c>
      <c r="I36" s="11">
        <f>SUM([2]Lufthansa!$JV$16:$JV$16)</f>
        <v>0</v>
      </c>
      <c r="J36" s="11">
        <f>SUM([2]Jazz_AC!$JV$16:$JV$16)</f>
        <v>24</v>
      </c>
      <c r="K36" s="11">
        <f>SUM('[2]Sky Regional'!$JV$16:$JV$16)</f>
        <v>0</v>
      </c>
      <c r="L36" s="11">
        <f>SUM('[2]Aer Lingus'!$JV$16:$JV$16)</f>
        <v>17</v>
      </c>
      <c r="M36" s="11">
        <f>SUM('[2]Air France'!$JV$16:$JV$16)</f>
        <v>0</v>
      </c>
      <c r="N36" s="11">
        <f>SUM([2]Frontier!$JV$16:$JV$16)</f>
        <v>0</v>
      </c>
      <c r="O36" s="11">
        <f>SUM('[2]Charter Misc'!$JV$16:$JV$16)+SUM([2]Ryan!$JV$16:$JV$16)+SUM([2]Omni!$JV$16:$JV$16)</f>
        <v>0</v>
      </c>
      <c r="P36" s="197">
        <f>SUM(B36:O36)</f>
        <v>1162</v>
      </c>
    </row>
    <row r="37" spans="1:16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7"/>
    </row>
    <row r="38" spans="1:16" ht="15.75" thickBot="1" x14ac:dyDescent="0.3">
      <c r="A38" s="44" t="s">
        <v>28</v>
      </c>
      <c r="B38" s="272">
        <f t="shared" ref="B38:J38" si="25">+SUM(B35:B36)</f>
        <v>1353</v>
      </c>
      <c r="C38" s="272">
        <f t="shared" si="25"/>
        <v>64</v>
      </c>
      <c r="D38" s="272">
        <f>+SUM(D35:D36)</f>
        <v>283</v>
      </c>
      <c r="E38" s="272">
        <f>+SUM(E35:E36)</f>
        <v>122</v>
      </c>
      <c r="F38" s="272">
        <f t="shared" si="25"/>
        <v>387</v>
      </c>
      <c r="G38" s="272">
        <f t="shared" si="25"/>
        <v>34</v>
      </c>
      <c r="H38" s="272">
        <f t="shared" ref="H38:I38" si="26">+SUM(H35:H36)</f>
        <v>0</v>
      </c>
      <c r="I38" s="272">
        <f t="shared" si="26"/>
        <v>0</v>
      </c>
      <c r="J38" s="272">
        <f t="shared" si="25"/>
        <v>46</v>
      </c>
      <c r="K38" s="272">
        <f t="shared" ref="K38" si="27">+SUM(K35:K36)</f>
        <v>0</v>
      </c>
      <c r="L38" s="272">
        <f>+SUM(L35:L36)</f>
        <v>34</v>
      </c>
      <c r="M38" s="272">
        <f>+SUM(M35:M36)</f>
        <v>0</v>
      </c>
      <c r="N38" s="272">
        <f t="shared" ref="N38" si="28">+SUM(N35:N36)</f>
        <v>0</v>
      </c>
      <c r="O38" s="272">
        <f>+SUM(O35:O36)</f>
        <v>1</v>
      </c>
      <c r="P38" s="273">
        <f>SUM(B38:O38)</f>
        <v>2324</v>
      </c>
    </row>
  </sheetData>
  <mergeCells count="4">
    <mergeCell ref="A2:P2"/>
    <mergeCell ref="A14:P14"/>
    <mergeCell ref="A27:P27"/>
    <mergeCell ref="A34:P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&amp;"Arial,Bold"January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="85" zoomScaleNormal="85" zoomScaleSheetLayoutView="85" workbookViewId="0">
      <pane xSplit="2" ySplit="2" topLeftCell="C22" activePane="bottomRight" state="frozen"/>
      <selection pane="topRight" activeCell="C1" sqref="C1"/>
      <selection pane="bottomLeft" activeCell="A3" sqref="A3"/>
      <selection pane="bottomRight" activeCell="D62" sqref="D62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02" t="s">
        <v>129</v>
      </c>
      <c r="B1" s="503"/>
      <c r="C1" s="394" t="s">
        <v>231</v>
      </c>
      <c r="D1" s="394" t="s">
        <v>221</v>
      </c>
      <c r="E1" s="393" t="s">
        <v>94</v>
      </c>
      <c r="F1" s="395" t="s">
        <v>232</v>
      </c>
      <c r="G1" s="394" t="s">
        <v>222</v>
      </c>
      <c r="H1" s="396" t="s">
        <v>95</v>
      </c>
      <c r="I1" s="393" t="s">
        <v>236</v>
      </c>
      <c r="J1" s="506" t="s">
        <v>133</v>
      </c>
      <c r="K1" s="507"/>
      <c r="L1" s="397" t="s">
        <v>238</v>
      </c>
      <c r="M1" s="397" t="s">
        <v>239</v>
      </c>
      <c r="N1" s="398" t="s">
        <v>94</v>
      </c>
      <c r="O1" s="399" t="s">
        <v>232</v>
      </c>
      <c r="P1" s="399" t="s">
        <v>222</v>
      </c>
      <c r="Q1" s="400" t="s">
        <v>95</v>
      </c>
      <c r="R1" s="401" t="s">
        <v>236</v>
      </c>
      <c r="S1" s="513" t="s">
        <v>195</v>
      </c>
      <c r="T1" s="514"/>
      <c r="U1" s="402" t="s">
        <v>237</v>
      </c>
      <c r="V1" s="402" t="s">
        <v>223</v>
      </c>
      <c r="W1" s="403" t="s">
        <v>95</v>
      </c>
      <c r="X1" s="404" t="s">
        <v>240</v>
      </c>
      <c r="Y1" s="404" t="s">
        <v>224</v>
      </c>
      <c r="Z1" s="405" t="s">
        <v>95</v>
      </c>
      <c r="AA1" s="406" t="s">
        <v>236</v>
      </c>
      <c r="AB1" s="508" t="s">
        <v>13</v>
      </c>
      <c r="AC1" s="509"/>
      <c r="AD1" s="424" t="s">
        <v>237</v>
      </c>
      <c r="AE1" s="424" t="s">
        <v>223</v>
      </c>
      <c r="AF1" s="425" t="s">
        <v>95</v>
      </c>
      <c r="AG1" s="426" t="s">
        <v>240</v>
      </c>
      <c r="AH1" s="426" t="s">
        <v>224</v>
      </c>
      <c r="AI1" s="427" t="s">
        <v>95</v>
      </c>
      <c r="AJ1" s="428" t="s">
        <v>236</v>
      </c>
    </row>
    <row r="2" spans="1:36" s="9" customFormat="1" ht="13.5" customHeight="1" thickBot="1" x14ac:dyDescent="0.25">
      <c r="A2" s="482">
        <v>46023</v>
      </c>
      <c r="B2" s="483"/>
      <c r="C2" s="504" t="s">
        <v>9</v>
      </c>
      <c r="D2" s="505"/>
      <c r="E2" s="505"/>
      <c r="F2" s="505"/>
      <c r="G2" s="505"/>
      <c r="H2" s="505"/>
      <c r="I2" s="322"/>
      <c r="J2" s="482">
        <f>+A2</f>
        <v>46023</v>
      </c>
      <c r="K2" s="483"/>
      <c r="L2" s="499" t="s">
        <v>135</v>
      </c>
      <c r="M2" s="500"/>
      <c r="N2" s="500"/>
      <c r="O2" s="500"/>
      <c r="P2" s="500"/>
      <c r="Q2" s="500"/>
      <c r="R2" s="501"/>
      <c r="S2" s="482">
        <f>+J2</f>
        <v>46023</v>
      </c>
      <c r="T2" s="483"/>
      <c r="U2" s="515" t="s">
        <v>196</v>
      </c>
      <c r="V2" s="516"/>
      <c r="W2" s="516"/>
      <c r="X2" s="516"/>
      <c r="Y2" s="516"/>
      <c r="Z2" s="516"/>
      <c r="AA2" s="517"/>
      <c r="AB2" s="482">
        <f>+S2</f>
        <v>46023</v>
      </c>
      <c r="AC2" s="483"/>
      <c r="AD2" s="510" t="s">
        <v>13</v>
      </c>
      <c r="AE2" s="511"/>
      <c r="AF2" s="511"/>
      <c r="AG2" s="511"/>
      <c r="AH2" s="511"/>
      <c r="AI2" s="511"/>
      <c r="AJ2" s="512"/>
    </row>
    <row r="3" spans="1:36" x14ac:dyDescent="0.2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97</v>
      </c>
      <c r="B4" s="37"/>
      <c r="C4" s="249">
        <f>SUM(C5:C6)</f>
        <v>56</v>
      </c>
      <c r="D4" s="251">
        <f>SUM(D5:D6)</f>
        <v>184</v>
      </c>
      <c r="E4" s="252">
        <f>(C4-D4)/D4</f>
        <v>-0.69565217391304346</v>
      </c>
      <c r="F4" s="249">
        <f>SUM(F5:F6)</f>
        <v>56</v>
      </c>
      <c r="G4" s="251">
        <f>SUM(G5:G6)</f>
        <v>184</v>
      </c>
      <c r="H4" s="250">
        <f>(F4-G4)/G4</f>
        <v>-0.69565217391304346</v>
      </c>
      <c r="I4" s="252">
        <f>F4/$F$56</f>
        <v>2.4370077026850605E-3</v>
      </c>
      <c r="J4" s="248" t="s">
        <v>97</v>
      </c>
      <c r="K4" s="37"/>
      <c r="L4" s="249">
        <f>SUM(L5:L6)</f>
        <v>3155</v>
      </c>
      <c r="M4" s="251">
        <f>SUM(M5:M6)</f>
        <v>7734</v>
      </c>
      <c r="N4" s="252">
        <f>(L4-M4)/M4</f>
        <v>-0.59206102922161885</v>
      </c>
      <c r="O4" s="249">
        <f>SUM(O5:O6)</f>
        <v>3155</v>
      </c>
      <c r="P4" s="251">
        <f>SUM(P5:P6)</f>
        <v>7734</v>
      </c>
      <c r="Q4" s="250">
        <f>(O4-P4)/P4</f>
        <v>-0.59206102922161885</v>
      </c>
      <c r="R4" s="252">
        <f>O4/$O$56</f>
        <v>1.325906575488001E-3</v>
      </c>
      <c r="S4" s="248" t="s">
        <v>97</v>
      </c>
      <c r="T4" s="37"/>
      <c r="U4" s="249">
        <f>SUM(U5:U6)</f>
        <v>16899.800000000003</v>
      </c>
      <c r="V4" s="251">
        <f>SUM(V5:V6)</f>
        <v>10641.7</v>
      </c>
      <c r="W4" s="252">
        <f>(U4-V4)/V4</f>
        <v>0.58807333414773977</v>
      </c>
      <c r="X4" s="249">
        <f>SUM(X5:X6)</f>
        <v>16899.800000000003</v>
      </c>
      <c r="Y4" s="251">
        <f>SUM(Y5:Y6)</f>
        <v>10641.7</v>
      </c>
      <c r="Z4" s="250">
        <f>(X4-Y4)/Y4</f>
        <v>0.58807333414773977</v>
      </c>
      <c r="AA4" s="252">
        <f>X4/$X$56</f>
        <v>2.7561304274542077E-3</v>
      </c>
      <c r="AB4" s="248" t="s">
        <v>97</v>
      </c>
      <c r="AC4" s="37"/>
      <c r="AD4" s="249">
        <f>SUM(AD5:AD6)</f>
        <v>3226</v>
      </c>
      <c r="AE4" s="251">
        <f>SUM(AE5:AE6)</f>
        <v>7907</v>
      </c>
      <c r="AF4" s="252">
        <f>(AD4-AE4)/AE4</f>
        <v>-0.59200708233211075</v>
      </c>
      <c r="AG4" s="249">
        <f>SUM(AG5:AG6)</f>
        <v>3226</v>
      </c>
      <c r="AH4" s="251">
        <f>SUM(AH5:AH6)</f>
        <v>7907</v>
      </c>
      <c r="AI4" s="250">
        <f>(AG4-AH4)/AH4</f>
        <v>-0.59200708233211075</v>
      </c>
      <c r="AJ4" s="252">
        <f>AG4/$AG$56</f>
        <v>1.3098044915818873E-3</v>
      </c>
    </row>
    <row r="5" spans="1:36" ht="14.1" customHeight="1" x14ac:dyDescent="0.2">
      <c r="A5" s="248"/>
      <c r="B5" s="37" t="s">
        <v>97</v>
      </c>
      <c r="C5" s="253">
        <f>[2]AirCanada!$JV$19</f>
        <v>10</v>
      </c>
      <c r="D5" s="2">
        <f>[2]AirCanada!$JH$19</f>
        <v>0</v>
      </c>
      <c r="E5" s="63" t="e">
        <f t="shared" ref="E5" si="0">(C5-D5)/D5</f>
        <v>#DIV/0!</v>
      </c>
      <c r="F5" s="2">
        <f>SUM([2]AirCanada!$JV$19:$JV$19)</f>
        <v>10</v>
      </c>
      <c r="G5" s="2">
        <f>SUM([2]AirCanada!$JH$19:$JH$19)</f>
        <v>0</v>
      </c>
      <c r="H5" s="3" t="e">
        <f t="shared" ref="H5" si="1">(F5-G5)/G5</f>
        <v>#DIV/0!</v>
      </c>
      <c r="I5" s="63">
        <f>F5/$F$56</f>
        <v>4.351799469080465E-4</v>
      </c>
      <c r="J5" s="248"/>
      <c r="K5" s="37" t="s">
        <v>97</v>
      </c>
      <c r="L5" s="253">
        <f>[2]AirCanada!$JV$41</f>
        <v>387</v>
      </c>
      <c r="M5" s="2">
        <f>[2]AirCanada!$JH$41</f>
        <v>0</v>
      </c>
      <c r="N5" s="63" t="e">
        <f t="shared" ref="N5" si="2">(L5-M5)/M5</f>
        <v>#DIV/0!</v>
      </c>
      <c r="O5" s="253">
        <f>SUM([2]AirCanada!$JV$41:$JV$41)</f>
        <v>387</v>
      </c>
      <c r="P5" s="2">
        <f>SUM([2]AirCanada!$JH$41:$JH$41)</f>
        <v>0</v>
      </c>
      <c r="Q5" s="3" t="e">
        <f t="shared" ref="Q5" si="3">(O5-P5)/P5</f>
        <v>#DIV/0!</v>
      </c>
      <c r="R5" s="63">
        <f>O5/$O$56</f>
        <v>1.6263893651786255E-4</v>
      </c>
      <c r="S5" s="248"/>
      <c r="T5" s="37" t="s">
        <v>97</v>
      </c>
      <c r="U5" s="253">
        <f>[2]AirCanada!$JV$64</f>
        <v>10716.7</v>
      </c>
      <c r="V5" s="2">
        <f>[2]AirCanada!$JH$64</f>
        <v>0</v>
      </c>
      <c r="W5" s="63" t="e">
        <f t="shared" ref="W5" si="4">(U5-V5)/V5</f>
        <v>#DIV/0!</v>
      </c>
      <c r="X5" s="253">
        <f>SUM([2]AirCanada!$JV$64:$JV$64)</f>
        <v>10716.7</v>
      </c>
      <c r="Y5" s="2">
        <f>SUM([2]AirCanada!$JH$64:$JH$64)</f>
        <v>0</v>
      </c>
      <c r="Z5" s="3" t="e">
        <f t="shared" ref="Z5" si="5">(X5-Y5)/Y5</f>
        <v>#DIV/0!</v>
      </c>
      <c r="AA5" s="63">
        <f>X5/$X$56</f>
        <v>1.7477498521815942E-3</v>
      </c>
      <c r="AB5" s="248"/>
      <c r="AC5" s="37" t="s">
        <v>97</v>
      </c>
      <c r="AD5" s="253">
        <f>[2]AirCanada!$JV$43</f>
        <v>390</v>
      </c>
      <c r="AE5" s="2">
        <f>[2]AirCanada!$JH$43</f>
        <v>0</v>
      </c>
      <c r="AF5" s="63" t="e">
        <f t="shared" ref="AF5" si="6">(AD5-AE5)/AE5</f>
        <v>#DIV/0!</v>
      </c>
      <c r="AG5" s="253">
        <f>SUM([2]AirCanada!$JV$43:$JV$43)</f>
        <v>390</v>
      </c>
      <c r="AH5" s="2">
        <f>SUM([2]AirCanada!$JH$43:$JH$43)</f>
        <v>0</v>
      </c>
      <c r="AI5" s="3" t="e">
        <f t="shared" ref="AI5" si="7">(AG5-AH5)/AH5</f>
        <v>#DIV/0!</v>
      </c>
      <c r="AJ5" s="63">
        <f>AG5/$AG$56</f>
        <v>1.5834586228051335E-4</v>
      </c>
    </row>
    <row r="6" spans="1:36" ht="14.1" customHeight="1" x14ac:dyDescent="0.2">
      <c r="A6" s="248"/>
      <c r="B6" s="308" t="s">
        <v>203</v>
      </c>
      <c r="C6" s="253">
        <f>[2]Jazz_AC!$JV$19</f>
        <v>46</v>
      </c>
      <c r="D6" s="2">
        <f>[2]Jazz_AC!$JH$19</f>
        <v>184</v>
      </c>
      <c r="E6" s="63">
        <f t="shared" ref="E6" si="8">(C6-D6)/D6</f>
        <v>-0.75</v>
      </c>
      <c r="F6" s="2">
        <f>SUM([2]Jazz_AC!$JV$19:$JV$19)</f>
        <v>46</v>
      </c>
      <c r="G6" s="2">
        <f>SUM([2]Jazz_AC!$JH$19:$JH$19)</f>
        <v>184</v>
      </c>
      <c r="H6" s="3">
        <f t="shared" ref="H6" si="9">(F6-G6)/G6</f>
        <v>-0.75</v>
      </c>
      <c r="I6" s="63">
        <f>F6/$F$56</f>
        <v>2.0018277557770137E-3</v>
      </c>
      <c r="J6" s="248"/>
      <c r="K6" s="308" t="s">
        <v>203</v>
      </c>
      <c r="L6" s="253">
        <f>[2]Jazz_AC!$JV$41</f>
        <v>2768</v>
      </c>
      <c r="M6" s="2">
        <f>[2]Jazz_AC!$JH$41</f>
        <v>7734</v>
      </c>
      <c r="N6" s="63">
        <f t="shared" ref="N6" si="10">(L6-M6)/M6</f>
        <v>-0.64209981898112234</v>
      </c>
      <c r="O6" s="253">
        <f>SUM([2]Jazz_AC!$JV$41:$JV$41)</f>
        <v>2768</v>
      </c>
      <c r="P6" s="2">
        <f>SUM([2]Jazz_AC!$JH$41:$JH$41)</f>
        <v>7734</v>
      </c>
      <c r="Q6" s="3">
        <f t="shared" ref="Q6" si="11">(O6-P6)/P6</f>
        <v>-0.64209981898112234</v>
      </c>
      <c r="R6" s="63">
        <f>O6/$O$56</f>
        <v>1.1632676389701382E-3</v>
      </c>
      <c r="S6" s="248"/>
      <c r="T6" s="308" t="s">
        <v>203</v>
      </c>
      <c r="U6" s="253">
        <f>[2]Jazz_AC!$JV$64</f>
        <v>6183.1</v>
      </c>
      <c r="V6" s="2">
        <f>[2]Jazz_AC!$JH$64</f>
        <v>10641.7</v>
      </c>
      <c r="W6" s="63">
        <f t="shared" ref="W6" si="12">(U6-V6)/V6</f>
        <v>-0.4189744119830478</v>
      </c>
      <c r="X6" s="253">
        <f>SUM([2]Jazz_AC!$JV$64:$JV$64)</f>
        <v>6183.1</v>
      </c>
      <c r="Y6" s="2">
        <f>SUM([2]Jazz_AC!$JH$64:$JH$64)</f>
        <v>10641.7</v>
      </c>
      <c r="Z6" s="3">
        <f t="shared" ref="Z6" si="13">(X6-Y6)/Y6</f>
        <v>-0.4189744119830478</v>
      </c>
      <c r="AA6" s="63">
        <f>X6/$X$56</f>
        <v>1.0083805752726133E-3</v>
      </c>
      <c r="AB6" s="248"/>
      <c r="AC6" s="308" t="s">
        <v>203</v>
      </c>
      <c r="AD6" s="253">
        <f>[2]Jazz_AC!$JV$43</f>
        <v>2836</v>
      </c>
      <c r="AE6" s="2">
        <f>[2]Jazz_AC!$JH$43</f>
        <v>7907</v>
      </c>
      <c r="AF6" s="63">
        <f t="shared" ref="AF6" si="14">(AD6-AE6)/AE6</f>
        <v>-0.64133046667509797</v>
      </c>
      <c r="AG6" s="253">
        <f>SUM([2]Jazz_AC!$JV$43:$JV$43)</f>
        <v>2836</v>
      </c>
      <c r="AH6" s="2">
        <f>SUM([2]Jazz_AC!$JH$43:$JH$43)</f>
        <v>7907</v>
      </c>
      <c r="AI6" s="3">
        <f t="shared" ref="AI6" si="15">(AG6-AH6)/AH6</f>
        <v>-0.64133046667509797</v>
      </c>
      <c r="AJ6" s="63">
        <f>AG6/$AG$56</f>
        <v>1.151458629301374E-3</v>
      </c>
    </row>
    <row r="7" spans="1:36" ht="14.1" customHeight="1" x14ac:dyDescent="0.2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">
      <c r="A8" s="248" t="s">
        <v>152</v>
      </c>
      <c r="B8" s="37"/>
      <c r="C8" s="249">
        <f>'[2]Air France'!$JV$19</f>
        <v>0</v>
      </c>
      <c r="D8" s="251">
        <f>'[2]Air France'!$JH$19</f>
        <v>0</v>
      </c>
      <c r="E8" s="252">
        <f>IFERROR((C8-D8)/D8,0)</f>
        <v>0</v>
      </c>
      <c r="F8" s="251">
        <f>SUM('[2]Air France'!$JV$19:$JV$19)</f>
        <v>0</v>
      </c>
      <c r="G8" s="251">
        <f>SUM('[2]Air France'!$JH$19:$JH$19)</f>
        <v>0</v>
      </c>
      <c r="H8" s="250">
        <f>IFERROR((F8-G8)/G8,0)</f>
        <v>0</v>
      </c>
      <c r="I8" s="252">
        <f>F8/$F$56</f>
        <v>0</v>
      </c>
      <c r="J8" s="248" t="s">
        <v>152</v>
      </c>
      <c r="K8" s="37"/>
      <c r="L8" s="249">
        <f>'[2]Air France'!$JV$41</f>
        <v>0</v>
      </c>
      <c r="M8" s="251">
        <f>'[2]Air France'!$JH$41</f>
        <v>0</v>
      </c>
      <c r="N8" s="252">
        <f>IFERROR((L8-M8)/M8,0)</f>
        <v>0</v>
      </c>
      <c r="O8" s="249">
        <f>SUM('[2]Air France'!$JV$41:$JV$41)</f>
        <v>0</v>
      </c>
      <c r="P8" s="251">
        <f>SUM('[2]Air France'!$JH$41:$JH$41)</f>
        <v>0</v>
      </c>
      <c r="Q8" s="250">
        <f>IFERROR((O8-P8)/P8,0)</f>
        <v>0</v>
      </c>
      <c r="R8" s="252">
        <f>O8/$O$56</f>
        <v>0</v>
      </c>
      <c r="S8" s="248" t="s">
        <v>152</v>
      </c>
      <c r="T8" s="37"/>
      <c r="U8" s="249">
        <f>'[2]Air France'!$JV$64</f>
        <v>0</v>
      </c>
      <c r="V8" s="251">
        <f>'[2]Air France'!$JH$64</f>
        <v>0</v>
      </c>
      <c r="W8" s="252">
        <f>IFERROR((U8-V8)/V8,0)</f>
        <v>0</v>
      </c>
      <c r="X8" s="249">
        <f>SUM('[2]Air France'!$JV$64:$JV$64)</f>
        <v>0</v>
      </c>
      <c r="Y8" s="251">
        <f>SUM('[2]Air France'!$JH$64:$JH$64)</f>
        <v>0</v>
      </c>
      <c r="Z8" s="250">
        <f>IFERROR((X8-Y8)/Y8,0)</f>
        <v>0</v>
      </c>
      <c r="AA8" s="252">
        <f>X8/$X$56</f>
        <v>0</v>
      </c>
      <c r="AB8" s="248" t="s">
        <v>152</v>
      </c>
      <c r="AC8" s="37"/>
      <c r="AD8" s="249">
        <f>'[2]Air France'!$JV$43</f>
        <v>0</v>
      </c>
      <c r="AE8" s="251">
        <f>'[2]Air France'!$JH$43</f>
        <v>0</v>
      </c>
      <c r="AF8" s="252">
        <f>IFERROR((AD8-AE8)/AE8,0)</f>
        <v>0</v>
      </c>
      <c r="AG8" s="249">
        <f>SUM('[2]Air France'!$JV$43:$JV$43)</f>
        <v>0</v>
      </c>
      <c r="AH8" s="251">
        <f>SUM('[2]Air France'!$JH$43:$JH$43)</f>
        <v>0</v>
      </c>
      <c r="AI8" s="250">
        <f>IFERROR((AG8-AH8)/AH8,0)</f>
        <v>0</v>
      </c>
      <c r="AJ8" s="252">
        <f>AG8/$AG$56</f>
        <v>0</v>
      </c>
    </row>
    <row r="9" spans="1:36" ht="14.1" customHeight="1" x14ac:dyDescent="0.2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">
      <c r="A10" s="248" t="s">
        <v>182</v>
      </c>
      <c r="B10" s="37"/>
      <c r="C10" s="249">
        <f>'[2]Aer Lingus'!$JV$19</f>
        <v>34</v>
      </c>
      <c r="D10" s="251">
        <f>'[2]Aer Lingus'!$JH$19</f>
        <v>0</v>
      </c>
      <c r="E10" s="252">
        <f>IFERROR((C10-D10)/D10,0)</f>
        <v>0</v>
      </c>
      <c r="F10" s="251">
        <f>SUM('[2]Aer Lingus'!$JV$19:$JV$19)</f>
        <v>34</v>
      </c>
      <c r="G10" s="251">
        <f>SUM('[2]Aer Lingus'!$JH$19:$JH$19)</f>
        <v>0</v>
      </c>
      <c r="H10" s="250">
        <f>IFERROR((F10-G10)/G10,0)</f>
        <v>0</v>
      </c>
      <c r="I10" s="252">
        <f>F10/$F$56</f>
        <v>1.479611819487358E-3</v>
      </c>
      <c r="J10" s="248" t="s">
        <v>182</v>
      </c>
      <c r="K10" s="37"/>
      <c r="L10" s="249">
        <f>'[2]Aer Lingus'!$JV$41</f>
        <v>3037</v>
      </c>
      <c r="M10" s="251">
        <f>'[2]Aer Lingus'!$JH$41</f>
        <v>0</v>
      </c>
      <c r="N10" s="252">
        <f>IFERROR((L10-M10)/M10,0)</f>
        <v>0</v>
      </c>
      <c r="O10" s="249">
        <f>SUM('[2]Aer Lingus'!$JV$41:$JV$41)</f>
        <v>3037</v>
      </c>
      <c r="P10" s="251">
        <f>SUM('[2]Aer Lingus'!$JH$41:$JH$41)</f>
        <v>0</v>
      </c>
      <c r="Q10" s="250">
        <f>IFERROR((O10-P10)/P10,0)</f>
        <v>0</v>
      </c>
      <c r="R10" s="252">
        <f>O10/$O$56</f>
        <v>1.2763164087977999E-3</v>
      </c>
      <c r="S10" s="248" t="s">
        <v>182</v>
      </c>
      <c r="T10" s="37"/>
      <c r="U10" s="249">
        <f>'[2]Aer Lingus'!$JV$64</f>
        <v>2444.92</v>
      </c>
      <c r="V10" s="251">
        <f>'[2]Aer Lingus'!$JH$64</f>
        <v>0</v>
      </c>
      <c r="W10" s="252">
        <f>IFERROR((U10-V10)/V10,0)</f>
        <v>0</v>
      </c>
      <c r="X10" s="249">
        <f>SUM('[2]Aer Lingus'!$JV$64:$JV$64)</f>
        <v>2444.92</v>
      </c>
      <c r="Y10" s="251">
        <f>SUM('[2]Aer Lingus'!$JH$64:$JH$64)</f>
        <v>0</v>
      </c>
      <c r="Z10" s="250">
        <f>IFERROR((X10-Y10)/Y10,0)</f>
        <v>0</v>
      </c>
      <c r="AA10" s="252">
        <f>X10/$X$56</f>
        <v>3.9873361842692465E-4</v>
      </c>
      <c r="AB10" s="248" t="s">
        <v>182</v>
      </c>
      <c r="AC10" s="37"/>
      <c r="AD10" s="249">
        <f>'[2]Aer Lingus'!$JV$43</f>
        <v>3052</v>
      </c>
      <c r="AE10" s="251">
        <f>'[2]Aer Lingus'!$JH$43</f>
        <v>0</v>
      </c>
      <c r="AF10" s="252">
        <f>IFERROR((AD10-AE10)/AE10,0)</f>
        <v>0</v>
      </c>
      <c r="AG10" s="249">
        <f>SUM('[2]Aer Lingus'!$JV$43:$JV$43)</f>
        <v>3052</v>
      </c>
      <c r="AH10" s="251">
        <f>SUM('[2]Aer Lingus'!$JH$43:$JH$43)</f>
        <v>0</v>
      </c>
      <c r="AI10" s="250">
        <f>IFERROR((AG10-AH10)/AH10,0)</f>
        <v>0</v>
      </c>
      <c r="AJ10" s="252">
        <f>AG10/$AG$56</f>
        <v>1.2391578761028891E-3</v>
      </c>
    </row>
    <row r="11" spans="1:36" ht="14.1" customHeight="1" x14ac:dyDescent="0.2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">
      <c r="A12" s="248" t="s">
        <v>204</v>
      </c>
      <c r="B12" s="37"/>
      <c r="C12" s="253">
        <f>'[2]Allegiant '!$JV$19</f>
        <v>0</v>
      </c>
      <c r="D12" s="2">
        <f>'[2]Allegiant '!$JH$19</f>
        <v>54</v>
      </c>
      <c r="E12" s="252">
        <f t="shared" ref="E12" si="16">(C12-D12)/D12</f>
        <v>-1</v>
      </c>
      <c r="F12" s="2">
        <f>SUM('[2]Allegiant '!$JV$19:$JV$19)</f>
        <v>0</v>
      </c>
      <c r="G12" s="2">
        <f>SUM('[2]Allegiant '!$JH$19:$JH$19)</f>
        <v>54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'[2]Allegiant '!$JV$41</f>
        <v>0</v>
      </c>
      <c r="M12" s="2">
        <f>'[2]Allegiant '!$JH$41</f>
        <v>7406</v>
      </c>
      <c r="N12" s="252">
        <f t="shared" ref="N12" si="18">(L12-M12)/M12</f>
        <v>-1</v>
      </c>
      <c r="O12" s="253">
        <f>SUM('[2]Allegiant '!$JV$41:$JV$41)</f>
        <v>0</v>
      </c>
      <c r="P12" s="2">
        <f>SUM('[2]Allegiant '!$JH$41:$JH$41)</f>
        <v>7406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'[2]Allegiant '!$JV$64</f>
        <v>0</v>
      </c>
      <c r="V12" s="2">
        <f>'[2]Allegiant '!$JH$64</f>
        <v>0</v>
      </c>
      <c r="W12" s="252">
        <f>IFERROR((U12-V12)/V12,0)</f>
        <v>0</v>
      </c>
      <c r="X12" s="253">
        <f>SUM('[2]Allegiant '!$JV$64:$JV$64)</f>
        <v>0</v>
      </c>
      <c r="Y12" s="2">
        <f>SUM('[2]Allegiant '!$JH$64:$JH$64)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'[2]Allegiant '!$JV$43</f>
        <v>0</v>
      </c>
      <c r="AE12" s="2">
        <f>'[2]Allegiant '!$JH$43</f>
        <v>7406</v>
      </c>
      <c r="AF12" s="252">
        <f t="shared" ref="AF12" si="20">(AD12-AE12)/AE12</f>
        <v>-1</v>
      </c>
      <c r="AG12" s="253">
        <f>SUM('[2]Allegiant '!$JV$43:$JV$43)</f>
        <v>0</v>
      </c>
      <c r="AH12" s="2">
        <f>SUM('[2]Allegiant '!$JH$43:$JH$43)</f>
        <v>7406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">
      <c r="A14" s="248" t="s">
        <v>126</v>
      </c>
      <c r="B14" s="37"/>
      <c r="C14" s="249">
        <f>SUM(C15:C15)</f>
        <v>116</v>
      </c>
      <c r="D14" s="251">
        <f>SUM(D15:D15)</f>
        <v>127</v>
      </c>
      <c r="E14" s="252">
        <f>(C14-D14)/D14</f>
        <v>-8.6614173228346455E-2</v>
      </c>
      <c r="F14" s="251">
        <f>SUM(F15:F15)</f>
        <v>116</v>
      </c>
      <c r="G14" s="251">
        <f>SUM(G15:G15)</f>
        <v>127</v>
      </c>
      <c r="H14" s="250">
        <f>(F14-G14)/G14</f>
        <v>-8.6614173228346455E-2</v>
      </c>
      <c r="I14" s="252">
        <f>F14/$F$56</f>
        <v>5.0480873841333394E-3</v>
      </c>
      <c r="J14" s="248" t="s">
        <v>126</v>
      </c>
      <c r="K14" s="37"/>
      <c r="L14" s="249">
        <f>SUM(L15:L15)</f>
        <v>17622</v>
      </c>
      <c r="M14" s="251">
        <f>SUM(M15:M15)</f>
        <v>17509</v>
      </c>
      <c r="N14" s="252">
        <f>(L14-M14)/M14</f>
        <v>6.4538237477868524E-3</v>
      </c>
      <c r="O14" s="249">
        <f>SUM(O15:O15)</f>
        <v>17622</v>
      </c>
      <c r="P14" s="251">
        <f>SUM(P15:P15)</f>
        <v>17509</v>
      </c>
      <c r="Q14" s="250">
        <f>(O14-P14)/P14</f>
        <v>6.4538237477868524E-3</v>
      </c>
      <c r="R14" s="252">
        <f>O14/$O$56</f>
        <v>7.4057450628366248E-3</v>
      </c>
      <c r="S14" s="248" t="s">
        <v>126</v>
      </c>
      <c r="T14" s="37"/>
      <c r="U14" s="249">
        <f>SUM(U15:U15)</f>
        <v>28086</v>
      </c>
      <c r="V14" s="251">
        <f>SUM(V15:V15)</f>
        <v>18276</v>
      </c>
      <c r="W14" s="252">
        <f>(U14-V14)/V14</f>
        <v>0.53676953381483916</v>
      </c>
      <c r="X14" s="249">
        <f>SUM(X15:X15)</f>
        <v>28086</v>
      </c>
      <c r="Y14" s="251">
        <f>SUM(Y15:Y15)</f>
        <v>18276</v>
      </c>
      <c r="Z14" s="250">
        <f>(X14-Y14)/Y14</f>
        <v>0.53676953381483916</v>
      </c>
      <c r="AA14" s="252">
        <f>X14/$X$56</f>
        <v>4.5804494245777387E-3</v>
      </c>
      <c r="AB14" s="248" t="s">
        <v>126</v>
      </c>
      <c r="AC14" s="37"/>
      <c r="AD14" s="249">
        <f>SUM(AD15:AD15)</f>
        <v>18242</v>
      </c>
      <c r="AE14" s="251">
        <f>SUM(AE15:AE15)</f>
        <v>18259</v>
      </c>
      <c r="AF14" s="252">
        <f>(AD14-AE14)/AE14</f>
        <v>-9.3104770250287527E-4</v>
      </c>
      <c r="AG14" s="249">
        <f>SUM(AG15:AG15)</f>
        <v>18242</v>
      </c>
      <c r="AH14" s="251">
        <f>SUM(AH15:AH15)</f>
        <v>18259</v>
      </c>
      <c r="AI14" s="250">
        <f>(AG14-AH14)/AH14</f>
        <v>-9.3104770250287527E-4</v>
      </c>
      <c r="AJ14" s="252">
        <f>AG14/$AG$56</f>
        <v>7.4065262044131401E-3</v>
      </c>
    </row>
    <row r="15" spans="1:36" ht="14.1" customHeight="1" x14ac:dyDescent="0.2">
      <c r="A15" s="248"/>
      <c r="B15" s="308" t="s">
        <v>126</v>
      </c>
      <c r="C15" s="312">
        <f>[2]Alaska!$JV$19</f>
        <v>116</v>
      </c>
      <c r="D15" s="209">
        <f>[2]Alaska!$JH$19</f>
        <v>127</v>
      </c>
      <c r="E15" s="314">
        <f>(C15-D15)/D15</f>
        <v>-8.6614173228346455E-2</v>
      </c>
      <c r="F15" s="209">
        <f>SUM([2]Alaska!$JV$19:$JV$19)</f>
        <v>116</v>
      </c>
      <c r="G15" s="209">
        <f>SUM([2]Alaska!$JH$19:$JH$19)</f>
        <v>127</v>
      </c>
      <c r="H15" s="313">
        <f>(F15-G15)/G15</f>
        <v>-8.6614173228346455E-2</v>
      </c>
      <c r="I15" s="314">
        <f>F15/$F$56</f>
        <v>5.0480873841333394E-3</v>
      </c>
      <c r="J15" s="248"/>
      <c r="K15" s="308" t="s">
        <v>126</v>
      </c>
      <c r="L15" s="312">
        <f>[2]Alaska!$JV$41</f>
        <v>17622</v>
      </c>
      <c r="M15" s="209">
        <f>[2]Alaska!$JH$41</f>
        <v>17509</v>
      </c>
      <c r="N15" s="314">
        <f>(L15-M15)/M15</f>
        <v>6.4538237477868524E-3</v>
      </c>
      <c r="O15" s="312">
        <f>SUM([2]Alaska!$JV$41:$JV$41)</f>
        <v>17622</v>
      </c>
      <c r="P15" s="209">
        <f>SUM([2]Alaska!$JH$41:$JH$41)</f>
        <v>17509</v>
      </c>
      <c r="Q15" s="313">
        <f>(O15-P15)/P15</f>
        <v>6.4538237477868524E-3</v>
      </c>
      <c r="R15" s="314">
        <f>O15/$O$56</f>
        <v>7.4057450628366248E-3</v>
      </c>
      <c r="S15" s="248"/>
      <c r="T15" s="308" t="s">
        <v>126</v>
      </c>
      <c r="U15" s="312">
        <f>[2]Alaska!$JV$64</f>
        <v>28086</v>
      </c>
      <c r="V15" s="209">
        <f>[2]Alaska!$JH$64</f>
        <v>18276</v>
      </c>
      <c r="W15" s="314">
        <f>(U15-V15)/V15</f>
        <v>0.53676953381483916</v>
      </c>
      <c r="X15" s="312">
        <f>SUM([2]Alaska!$JV$64:$JV$64)</f>
        <v>28086</v>
      </c>
      <c r="Y15" s="209">
        <f>SUM([2]Alaska!$JH$64:$JH$64)</f>
        <v>18276</v>
      </c>
      <c r="Z15" s="313">
        <f>(X15-Y15)/Y15</f>
        <v>0.53676953381483916</v>
      </c>
      <c r="AA15" s="314">
        <f>X15/$X$56</f>
        <v>4.5804494245777387E-3</v>
      </c>
      <c r="AB15" s="248"/>
      <c r="AC15" s="308" t="s">
        <v>126</v>
      </c>
      <c r="AD15" s="312">
        <f>[2]Alaska!$JV$43</f>
        <v>18242</v>
      </c>
      <c r="AE15" s="209">
        <f>[2]Alaska!$JH$43</f>
        <v>18259</v>
      </c>
      <c r="AF15" s="314">
        <f>(AD15-AE15)/AE15</f>
        <v>-9.3104770250287527E-4</v>
      </c>
      <c r="AG15" s="312">
        <f>SUM([2]Alaska!$JV$43:$JV$43)</f>
        <v>18242</v>
      </c>
      <c r="AH15" s="209">
        <f>SUM([2]Alaska!$JH$43:$JH$43)</f>
        <v>18259</v>
      </c>
      <c r="AI15" s="313">
        <f>(AG15-AH15)/AH15</f>
        <v>-9.3104770250287527E-4</v>
      </c>
      <c r="AJ15" s="63">
        <f>AG15/$AG$56</f>
        <v>7.4065262044131401E-3</v>
      </c>
    </row>
    <row r="16" spans="1:36" ht="14.1" customHeight="1" x14ac:dyDescent="0.2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">
      <c r="A17" s="248" t="s">
        <v>17</v>
      </c>
      <c r="B17" s="255"/>
      <c r="C17" s="249">
        <f>SUM(C18:C22)</f>
        <v>1059</v>
      </c>
      <c r="D17" s="251">
        <f>SUM(D18:D22)</f>
        <v>1223</v>
      </c>
      <c r="E17" s="252">
        <f t="shared" ref="E17:E21" si="22">(C17-D17)/D17</f>
        <v>-0.13409648405560098</v>
      </c>
      <c r="F17" s="249">
        <f>SUM(F18:F22)</f>
        <v>1059</v>
      </c>
      <c r="G17" s="251">
        <f>SUM(G18:G22)</f>
        <v>1223</v>
      </c>
      <c r="H17" s="250">
        <f t="shared" ref="H17:H21" si="23">(F17-G17)/G17</f>
        <v>-0.13409648405560098</v>
      </c>
      <c r="I17" s="252">
        <f t="shared" ref="I17:I22" si="24">F17/$F$56</f>
        <v>4.608555637756212E-2</v>
      </c>
      <c r="J17" s="248" t="s">
        <v>17</v>
      </c>
      <c r="K17" s="255"/>
      <c r="L17" s="249">
        <f>SUM(L18:L22)</f>
        <v>100576</v>
      </c>
      <c r="M17" s="251">
        <f>SUM(M18:M22)</f>
        <v>118873</v>
      </c>
      <c r="N17" s="252">
        <f t="shared" ref="N17:N21" si="25">(L17-M17)/M17</f>
        <v>-0.15392057069309262</v>
      </c>
      <c r="O17" s="249">
        <f>SUM(O18:O22)</f>
        <v>100576</v>
      </c>
      <c r="P17" s="251">
        <f>SUM(P18:P22)</f>
        <v>118873</v>
      </c>
      <c r="Q17" s="250">
        <f t="shared" ref="Q17:Q21" si="26">(O17-P17)/P17</f>
        <v>-0.15392057069309262</v>
      </c>
      <c r="R17" s="252">
        <f t="shared" ref="R17:R22" si="27">O17/$O$56</f>
        <v>4.2267632246047918E-2</v>
      </c>
      <c r="S17" s="248" t="s">
        <v>17</v>
      </c>
      <c r="T17" s="255"/>
      <c r="U17" s="249">
        <f>SUM(U18:U22)</f>
        <v>115166</v>
      </c>
      <c r="V17" s="251">
        <f>SUM(V18:V22)</f>
        <v>27273</v>
      </c>
      <c r="W17" s="252">
        <f t="shared" ref="W17:W21" si="28">(U17-V17)/V17</f>
        <v>3.2227111062222713</v>
      </c>
      <c r="X17" s="249">
        <f>SUM(X18:X22)</f>
        <v>115166</v>
      </c>
      <c r="Y17" s="251">
        <f>SUM(Y18:Y22)</f>
        <v>27273</v>
      </c>
      <c r="Z17" s="250">
        <f t="shared" ref="Z17:Z21" si="29">(X17-Y17)/Y17</f>
        <v>3.2227111062222713</v>
      </c>
      <c r="AA17" s="252">
        <f t="shared" ref="AA17:AA22" si="30">X17/$X$56</f>
        <v>1.8782028000816058E-2</v>
      </c>
      <c r="AB17" s="248" t="s">
        <v>17</v>
      </c>
      <c r="AC17" s="255"/>
      <c r="AD17" s="249">
        <f>SUM(AD18:AD22)</f>
        <v>104405</v>
      </c>
      <c r="AE17" s="251">
        <f>SUM(AE18:AE22)</f>
        <v>123541</v>
      </c>
      <c r="AF17" s="252">
        <f t="shared" ref="AF17:AF21" si="31">(AD17-AE17)/AE17</f>
        <v>-0.1548959454755911</v>
      </c>
      <c r="AG17" s="249">
        <f>SUM(AG18:AG22)</f>
        <v>104405</v>
      </c>
      <c r="AH17" s="251">
        <f>SUM(AH18:AH22)</f>
        <v>123541</v>
      </c>
      <c r="AI17" s="250">
        <f t="shared" ref="AI17:AI21" si="32">(AG17-AH17)/AH17</f>
        <v>-0.1548959454755911</v>
      </c>
      <c r="AJ17" s="252">
        <f t="shared" ref="AJ17:AJ22" si="33">AG17/$AG$56</f>
        <v>4.2389999362556399E-2</v>
      </c>
    </row>
    <row r="18" spans="1:36" ht="14.1" customHeight="1" x14ac:dyDescent="0.2">
      <c r="A18" s="36"/>
      <c r="B18" s="37" t="s">
        <v>17</v>
      </c>
      <c r="C18" s="253">
        <f>[2]American!$JV$19</f>
        <v>587</v>
      </c>
      <c r="D18" s="2">
        <f>[2]American!$JH$19</f>
        <v>768</v>
      </c>
      <c r="E18" s="63">
        <f t="shared" si="22"/>
        <v>-0.23567708333333334</v>
      </c>
      <c r="F18" s="2">
        <f>SUM([2]American!$JV$19:$JV$19)</f>
        <v>587</v>
      </c>
      <c r="G18" s="2">
        <f>SUM([2]American!$JH$19:$JH$19)</f>
        <v>768</v>
      </c>
      <c r="H18" s="3">
        <f t="shared" si="23"/>
        <v>-0.23567708333333334</v>
      </c>
      <c r="I18" s="63">
        <f t="shared" si="24"/>
        <v>2.5545062883502327E-2</v>
      </c>
      <c r="J18" s="36"/>
      <c r="K18" s="37" t="s">
        <v>17</v>
      </c>
      <c r="L18" s="253">
        <f>[2]American!$JV$41</f>
        <v>74994</v>
      </c>
      <c r="M18" s="2">
        <f>[2]American!$JH$41</f>
        <v>94162</v>
      </c>
      <c r="N18" s="63">
        <f t="shared" si="25"/>
        <v>-0.20356407043180902</v>
      </c>
      <c r="O18" s="253">
        <f>SUM([2]American!$JV$41:$JV$41)</f>
        <v>74994</v>
      </c>
      <c r="P18" s="2">
        <f>SUM([2]American!$JH$41:$JH$41)</f>
        <v>94162</v>
      </c>
      <c r="Q18" s="3">
        <f t="shared" si="26"/>
        <v>-0.20356407043180902</v>
      </c>
      <c r="R18" s="63">
        <f t="shared" si="27"/>
        <v>3.1516652209872306E-2</v>
      </c>
      <c r="S18" s="36"/>
      <c r="T18" s="37" t="s">
        <v>17</v>
      </c>
      <c r="U18" s="253">
        <f>[2]American!$JV$64</f>
        <v>113006</v>
      </c>
      <c r="V18" s="2">
        <f>[2]American!$JH$64</f>
        <v>23081</v>
      </c>
      <c r="W18" s="63">
        <f t="shared" si="28"/>
        <v>3.8960616957670813</v>
      </c>
      <c r="X18" s="253">
        <f>SUM([2]American!$JV$64:$JV$64)</f>
        <v>113006</v>
      </c>
      <c r="Y18" s="2">
        <f>SUM([2]American!$JH$64:$JH$64)</f>
        <v>23081</v>
      </c>
      <c r="Z18" s="3">
        <f t="shared" si="29"/>
        <v>3.8960616957670813</v>
      </c>
      <c r="AA18" s="63">
        <f t="shared" si="30"/>
        <v>1.8429761008111941E-2</v>
      </c>
      <c r="AB18" s="36"/>
      <c r="AC18" s="37" t="s">
        <v>17</v>
      </c>
      <c r="AD18" s="253">
        <f>[2]American!$JV$43</f>
        <v>77766</v>
      </c>
      <c r="AE18" s="2">
        <f>[2]American!$JH$43</f>
        <v>97807</v>
      </c>
      <c r="AF18" s="63">
        <f t="shared" si="31"/>
        <v>-0.20490353451184476</v>
      </c>
      <c r="AG18" s="253">
        <f>SUM([2]American!$JV$43:$JV$43)</f>
        <v>77766</v>
      </c>
      <c r="AH18" s="2">
        <f>SUM([2]American!$JH$43:$JH$43)</f>
        <v>97807</v>
      </c>
      <c r="AI18" s="3">
        <f t="shared" si="32"/>
        <v>-0.20490353451184476</v>
      </c>
      <c r="AJ18" s="63">
        <f t="shared" si="33"/>
        <v>3.1574164938734363E-2</v>
      </c>
    </row>
    <row r="19" spans="1:36" ht="14.1" customHeight="1" x14ac:dyDescent="0.2">
      <c r="A19" s="36"/>
      <c r="B19" s="308" t="s">
        <v>158</v>
      </c>
      <c r="C19" s="253">
        <f>'[2]American Eagle'!$JV$19</f>
        <v>192</v>
      </c>
      <c r="D19" s="2">
        <f>'[2]American Eagle'!$JH$19</f>
        <v>142</v>
      </c>
      <c r="E19" s="63">
        <f t="shared" si="22"/>
        <v>0.352112676056338</v>
      </c>
      <c r="F19" s="2">
        <f>SUM('[2]American Eagle'!$JV$19:$JV$19)</f>
        <v>192</v>
      </c>
      <c r="G19" s="2">
        <f>SUM('[2]American Eagle'!$JH$19:$JH$19)</f>
        <v>142</v>
      </c>
      <c r="H19" s="3">
        <f t="shared" si="23"/>
        <v>0.352112676056338</v>
      </c>
      <c r="I19" s="63">
        <f t="shared" si="24"/>
        <v>8.355454980634492E-3</v>
      </c>
      <c r="J19" s="36"/>
      <c r="K19" s="308" t="s">
        <v>158</v>
      </c>
      <c r="L19" s="253">
        <f>'[2]American Eagle'!$JV$41</f>
        <v>10849</v>
      </c>
      <c r="M19" s="2">
        <f>'[2]American Eagle'!$JH$41</f>
        <v>8120</v>
      </c>
      <c r="N19" s="63">
        <f t="shared" si="25"/>
        <v>0.33608374384236456</v>
      </c>
      <c r="O19" s="253">
        <f>SUM('[2]American Eagle'!$JV$41:$JV$41)</f>
        <v>10849</v>
      </c>
      <c r="P19" s="2">
        <f>SUM('[2]American Eagle'!$JH$41:$JH$41)</f>
        <v>8120</v>
      </c>
      <c r="Q19" s="3">
        <f t="shared" si="26"/>
        <v>0.33608374384236456</v>
      </c>
      <c r="R19" s="63">
        <f t="shared" si="27"/>
        <v>4.5593535459490719E-3</v>
      </c>
      <c r="S19" s="36"/>
      <c r="T19" s="308" t="s">
        <v>158</v>
      </c>
      <c r="U19" s="253">
        <f>'[2]American Eagle'!$JV$64</f>
        <v>2064</v>
      </c>
      <c r="V19" s="2">
        <f>'[2]American Eagle'!$JH$64</f>
        <v>1194</v>
      </c>
      <c r="W19" s="63">
        <f>IFERROR((U19-V19)/V19,0)</f>
        <v>0.72864321608040206</v>
      </c>
      <c r="X19" s="253">
        <f>SUM('[2]American Eagle'!$JV$64:$JV$64)</f>
        <v>2064</v>
      </c>
      <c r="Y19" s="2">
        <f>SUM('[2]American Eagle'!$JH$64:$JH$64)</f>
        <v>1194</v>
      </c>
      <c r="Z19" s="313">
        <f>IFERROR((X19-Y19)/Y19,0)</f>
        <v>0.72864321608040206</v>
      </c>
      <c r="AA19" s="63">
        <f t="shared" si="30"/>
        <v>3.3661068191727025E-4</v>
      </c>
      <c r="AB19" s="36"/>
      <c r="AC19" s="308" t="s">
        <v>158</v>
      </c>
      <c r="AD19" s="253">
        <f>'[2]American Eagle'!$JV$43</f>
        <v>11352</v>
      </c>
      <c r="AE19" s="2">
        <f>'[2]American Eagle'!$JH$43</f>
        <v>8482</v>
      </c>
      <c r="AF19" s="63">
        <f t="shared" si="31"/>
        <v>0.33836359349210093</v>
      </c>
      <c r="AG19" s="253">
        <f>SUM('[2]American Eagle'!$JV$43:$JV$43)</f>
        <v>11352</v>
      </c>
      <c r="AH19" s="2">
        <f>SUM('[2]American Eagle'!$JH$43:$JH$43)</f>
        <v>8482</v>
      </c>
      <c r="AI19" s="3">
        <f t="shared" si="32"/>
        <v>0.33836359349210093</v>
      </c>
      <c r="AJ19" s="63">
        <f t="shared" si="33"/>
        <v>4.6090826374574042E-3</v>
      </c>
    </row>
    <row r="20" spans="1:36" ht="14.1" customHeight="1" x14ac:dyDescent="0.2">
      <c r="A20" s="36"/>
      <c r="B20" s="308" t="s">
        <v>51</v>
      </c>
      <c r="C20" s="253">
        <f>[2]Republic!$JV$19</f>
        <v>104</v>
      </c>
      <c r="D20" s="2">
        <f>[2]Republic!$JH$19</f>
        <v>134</v>
      </c>
      <c r="E20" s="63">
        <f t="shared" si="22"/>
        <v>-0.22388059701492538</v>
      </c>
      <c r="F20" s="2">
        <f>SUM([2]Republic!$JV$19:$JV$19)</f>
        <v>104</v>
      </c>
      <c r="G20" s="2">
        <f>SUM([2]Republic!$JH$19:$JH$19)</f>
        <v>134</v>
      </c>
      <c r="H20" s="3">
        <f t="shared" si="23"/>
        <v>-0.22388059701492538</v>
      </c>
      <c r="I20" s="63">
        <f t="shared" si="24"/>
        <v>4.525871447843683E-3</v>
      </c>
      <c r="J20" s="36"/>
      <c r="K20" s="256" t="s">
        <v>51</v>
      </c>
      <c r="L20" s="253">
        <f>[2]Republic!$JV$41</f>
        <v>5679</v>
      </c>
      <c r="M20" s="2">
        <f>[2]Republic!$JH$41</f>
        <v>7429</v>
      </c>
      <c r="N20" s="63">
        <f t="shared" si="25"/>
        <v>-0.23556333288464126</v>
      </c>
      <c r="O20" s="253">
        <f>SUM([2]Republic!$JV$41:$JV$41)</f>
        <v>5679</v>
      </c>
      <c r="P20" s="2">
        <f>SUM([2]Republic!$JH$41:$JH$41)</f>
        <v>7429</v>
      </c>
      <c r="Q20" s="3">
        <f t="shared" si="26"/>
        <v>-0.23556333288464126</v>
      </c>
      <c r="R20" s="63">
        <f t="shared" si="27"/>
        <v>2.3866318358784014E-3</v>
      </c>
      <c r="S20" s="36"/>
      <c r="T20" s="256" t="s">
        <v>51</v>
      </c>
      <c r="U20" s="253">
        <f>[2]Republic!$JV$64</f>
        <v>95</v>
      </c>
      <c r="V20" s="2">
        <f>[2]Republic!$JH$64</f>
        <v>2846</v>
      </c>
      <c r="W20" s="63">
        <f t="shared" si="28"/>
        <v>-0.96661981728742097</v>
      </c>
      <c r="X20" s="253">
        <f>SUM([2]Republic!$JV$64:$JV$64)</f>
        <v>95</v>
      </c>
      <c r="Y20" s="2">
        <f>SUM([2]Republic!$JH$64:$JH$64)</f>
        <v>2846</v>
      </c>
      <c r="Z20" s="3">
        <f t="shared" si="29"/>
        <v>-0.96661981728742097</v>
      </c>
      <c r="AA20" s="63">
        <f t="shared" si="30"/>
        <v>1.5493224216153428E-5</v>
      </c>
      <c r="AB20" s="36"/>
      <c r="AC20" s="256" t="s">
        <v>51</v>
      </c>
      <c r="AD20" s="253">
        <f>[2]Republic!$JV$43</f>
        <v>5936</v>
      </c>
      <c r="AE20" s="2">
        <f>[2]Republic!$JH$43</f>
        <v>7782</v>
      </c>
      <c r="AF20" s="63">
        <f t="shared" si="31"/>
        <v>-0.23721408378308917</v>
      </c>
      <c r="AG20" s="253">
        <f>SUM([2]Republic!$JV$43:$JV$43)</f>
        <v>5936</v>
      </c>
      <c r="AH20" s="2">
        <f>SUM([2]Republic!$JH$43:$JH$43)</f>
        <v>7782</v>
      </c>
      <c r="AI20" s="3">
        <f t="shared" si="32"/>
        <v>-0.23721408378308917</v>
      </c>
      <c r="AJ20" s="63">
        <f t="shared" si="33"/>
        <v>2.4101052269157107E-3</v>
      </c>
    </row>
    <row r="21" spans="1:36" ht="14.1" customHeight="1" x14ac:dyDescent="0.2">
      <c r="A21" s="36"/>
      <c r="B21" s="308" t="s">
        <v>169</v>
      </c>
      <c r="C21" s="253">
        <f>[2]PSA!$JV$19</f>
        <v>166</v>
      </c>
      <c r="D21" s="2">
        <f>[2]PSA!$JH$19</f>
        <v>179</v>
      </c>
      <c r="E21" s="63">
        <f t="shared" si="22"/>
        <v>-7.2625698324022353E-2</v>
      </c>
      <c r="F21" s="2">
        <f>SUM([2]PSA!$JV$19:$JV$19)</f>
        <v>166</v>
      </c>
      <c r="G21" s="2">
        <f>SUM([2]PSA!$JH$19:$JH$19)</f>
        <v>179</v>
      </c>
      <c r="H21" s="3">
        <f t="shared" si="23"/>
        <v>-7.2625698324022353E-2</v>
      </c>
      <c r="I21" s="63">
        <f t="shared" si="24"/>
        <v>7.2239871186735713E-3</v>
      </c>
      <c r="J21" s="36"/>
      <c r="K21" s="308" t="s">
        <v>169</v>
      </c>
      <c r="L21" s="253">
        <f>[2]PSA!$JV$41</f>
        <v>8475</v>
      </c>
      <c r="M21" s="2">
        <f>[2]PSA!$JH$41</f>
        <v>9162</v>
      </c>
      <c r="N21" s="63">
        <f t="shared" si="25"/>
        <v>-7.4983628028814669E-2</v>
      </c>
      <c r="O21" s="253">
        <f>SUM([2]PSA!$JV$41:$JV$41)</f>
        <v>8475</v>
      </c>
      <c r="P21" s="2">
        <f>SUM([2]PSA!$JH$41:$JH$41)</f>
        <v>9162</v>
      </c>
      <c r="Q21" s="3">
        <f t="shared" si="26"/>
        <v>-7.4983628028814669E-2</v>
      </c>
      <c r="R21" s="63">
        <f t="shared" si="27"/>
        <v>3.5616666330462146E-3</v>
      </c>
      <c r="S21" s="36"/>
      <c r="T21" s="308" t="s">
        <v>169</v>
      </c>
      <c r="U21" s="253">
        <f>[2]PSA!$JV$64</f>
        <v>0</v>
      </c>
      <c r="V21" s="2">
        <f>[2]PSA!$JH$64</f>
        <v>152</v>
      </c>
      <c r="W21" s="63">
        <f t="shared" si="28"/>
        <v>-1</v>
      </c>
      <c r="X21" s="253">
        <f>SUM([2]PSA!$JV$64:$JV$64)</f>
        <v>0</v>
      </c>
      <c r="Y21" s="2">
        <f>SUM([2]PSA!$JH$64:$JH$64)</f>
        <v>152</v>
      </c>
      <c r="Z21" s="3">
        <f t="shared" si="29"/>
        <v>-1</v>
      </c>
      <c r="AA21" s="63">
        <f t="shared" si="30"/>
        <v>0</v>
      </c>
      <c r="AB21" s="36"/>
      <c r="AC21" s="308" t="s">
        <v>169</v>
      </c>
      <c r="AD21" s="253">
        <f>[2]PSA!$JV$43</f>
        <v>8739</v>
      </c>
      <c r="AE21" s="2">
        <f>[2]PSA!$JH$43</f>
        <v>9470</v>
      </c>
      <c r="AF21" s="63">
        <f t="shared" si="31"/>
        <v>-7.7191129883843718E-2</v>
      </c>
      <c r="AG21" s="253">
        <f>SUM([2]PSA!$JV$43:$JV$43)</f>
        <v>8739</v>
      </c>
      <c r="AH21" s="2">
        <f>SUM([2]PSA!$JH$43:$JH$43)</f>
        <v>9470</v>
      </c>
      <c r="AI21" s="3">
        <f t="shared" si="32"/>
        <v>-7.7191129883843718E-2</v>
      </c>
      <c r="AJ21" s="63">
        <f t="shared" si="33"/>
        <v>3.5481653601779645E-3</v>
      </c>
    </row>
    <row r="22" spans="1:36" ht="14.1" customHeight="1" x14ac:dyDescent="0.2">
      <c r="A22" s="36"/>
      <c r="B22" s="308" t="s">
        <v>96</v>
      </c>
      <c r="C22" s="253">
        <f>'[2]Sky West_AA'!$JV$19</f>
        <v>10</v>
      </c>
      <c r="D22" s="2">
        <f>'[2]Sky West_AA'!$JH$19</f>
        <v>0</v>
      </c>
      <c r="E22" s="63">
        <f>IFERROR((C22-D22)/D22,0)</f>
        <v>0</v>
      </c>
      <c r="F22" s="2">
        <f>SUM('[2]Sky West_AA'!$JV$19:$JV$19)</f>
        <v>10</v>
      </c>
      <c r="G22" s="2">
        <f>SUM('[2]Sky West_AA'!$JH$19:$JH$19)</f>
        <v>0</v>
      </c>
      <c r="H22" s="3">
        <f>IFERROR((F22-G22)/G22,0)</f>
        <v>0</v>
      </c>
      <c r="I22" s="63">
        <f t="shared" si="24"/>
        <v>4.351799469080465E-4</v>
      </c>
      <c r="J22" s="36"/>
      <c r="K22" s="308" t="s">
        <v>96</v>
      </c>
      <c r="L22" s="253">
        <f>'[2]Sky West_AA'!$JV$41</f>
        <v>579</v>
      </c>
      <c r="M22" s="2">
        <f>'[2]Sky West_AA'!$JH$41</f>
        <v>0</v>
      </c>
      <c r="N22" s="63">
        <f>IFERROR((L22-M22)/M22,0)</f>
        <v>0</v>
      </c>
      <c r="O22" s="253">
        <f>SUM('[2]Sky West_AA'!$JV$41:$JV$41)</f>
        <v>579</v>
      </c>
      <c r="P22" s="2">
        <f>SUM('[2]Sky West_AA'!$JH$41:$JH$41)</f>
        <v>0</v>
      </c>
      <c r="Q22" s="3">
        <f>IFERROR((O22-P22)/P22,0)</f>
        <v>0</v>
      </c>
      <c r="R22" s="314">
        <f t="shared" si="27"/>
        <v>2.4332802130191838E-4</v>
      </c>
      <c r="S22" s="36"/>
      <c r="T22" s="308" t="s">
        <v>96</v>
      </c>
      <c r="U22" s="253">
        <f>'[2]Sky West_AA'!$JV$64</f>
        <v>1</v>
      </c>
      <c r="V22" s="2">
        <f>'[2]Sky West_AA'!$JH$64</f>
        <v>0</v>
      </c>
      <c r="W22" s="63">
        <f>IFERROR((U22-V22)/V22,0)</f>
        <v>0</v>
      </c>
      <c r="X22" s="253">
        <f>SUM('[2]Sky West_AA'!$JV$64:$JV$64)</f>
        <v>1</v>
      </c>
      <c r="Y22" s="2">
        <f>SUM('[2]Sky West_AA'!$JH$64:$JH$64)</f>
        <v>0</v>
      </c>
      <c r="Z22" s="313">
        <f>IFERROR((X22-Y22)/Y22,0)</f>
        <v>0</v>
      </c>
      <c r="AA22" s="314">
        <f t="shared" si="30"/>
        <v>1.6308657069635189E-7</v>
      </c>
      <c r="AB22" s="36"/>
      <c r="AC22" s="308" t="s">
        <v>96</v>
      </c>
      <c r="AD22" s="253">
        <f>'[2]Sky West_AA'!$JV$43</f>
        <v>612</v>
      </c>
      <c r="AE22" s="2">
        <f>'[2]Sky West_AA'!$JH$43</f>
        <v>0</v>
      </c>
      <c r="AF22" s="314">
        <f>IFERROR((AD22-AE22)/AE22,0)</f>
        <v>0</v>
      </c>
      <c r="AG22" s="253">
        <f>SUM('[2]Sky West_AA'!$JV$43:$JV$43)</f>
        <v>612</v>
      </c>
      <c r="AH22" s="2">
        <f>SUM('[2]Sky West_AA'!$JH$43:$JH$43)</f>
        <v>0</v>
      </c>
      <c r="AI22" s="313">
        <f>IFERROR((AG22-AH22)/AH22,0)</f>
        <v>0</v>
      </c>
      <c r="AJ22" s="63">
        <f t="shared" si="33"/>
        <v>2.4848119927095943E-4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197</v>
      </c>
      <c r="B24" s="37"/>
      <c r="C24" s="249">
        <f>'[2]Denver Air'!$JV$19</f>
        <v>158</v>
      </c>
      <c r="D24" s="251">
        <f>'[2]Denver Air'!$JH$19</f>
        <v>154</v>
      </c>
      <c r="E24" s="252">
        <f>(C24-D24)/D24</f>
        <v>2.5974025974025976E-2</v>
      </c>
      <c r="F24" s="251">
        <f>SUM('[2]Denver Air'!$JV$19:$JV$19)</f>
        <v>158</v>
      </c>
      <c r="G24" s="251">
        <f>SUM('[2]Denver Air'!$JH$19:$JH$19)</f>
        <v>154</v>
      </c>
      <c r="H24" s="250">
        <f>(F24-G24)/G24</f>
        <v>2.5974025974025976E-2</v>
      </c>
      <c r="I24" s="252">
        <f>F24/$F$56</f>
        <v>6.8758431611471342E-3</v>
      </c>
      <c r="J24" s="248" t="s">
        <v>197</v>
      </c>
      <c r="K24" s="37"/>
      <c r="L24" s="249">
        <f>'[2]Denver Air'!$JV$41</f>
        <v>1726</v>
      </c>
      <c r="M24" s="251">
        <f>'[2]Denver Air'!$JH$41</f>
        <v>1818</v>
      </c>
      <c r="N24" s="252">
        <f>(L24-M24)/M24</f>
        <v>-5.0605060506050605E-2</v>
      </c>
      <c r="O24" s="249">
        <f>SUM('[2]Denver Air'!$JV$41:$JV$41)</f>
        <v>1726</v>
      </c>
      <c r="P24" s="251">
        <f>SUM('[2]Denver Air'!$JH$41:$JH$41)</f>
        <v>1818</v>
      </c>
      <c r="Q24" s="250">
        <f>(O24-P24)/P24</f>
        <v>-5.0605060506050605E-2</v>
      </c>
      <c r="R24" s="252">
        <f>O24/$O$56</f>
        <v>7.2536125175666857E-4</v>
      </c>
      <c r="S24" s="248" t="s">
        <v>197</v>
      </c>
      <c r="T24" s="37"/>
      <c r="U24" s="249">
        <f>'[2]Denver Air'!$JV$64</f>
        <v>0</v>
      </c>
      <c r="V24" s="251">
        <f>'[2]Denver Air'!$JH$64</f>
        <v>0</v>
      </c>
      <c r="W24" s="252">
        <f>IFERROR((U24-V24)/V24,0)</f>
        <v>0</v>
      </c>
      <c r="X24" s="249">
        <f>SUM('[2]Denver Air'!$JV$64:$JV$64)</f>
        <v>0</v>
      </c>
      <c r="Y24" s="251">
        <f>SUM('[2]Denver Air'!$JH$64:$JH$64)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'[2]Denver Air'!$JV$43</f>
        <v>1793</v>
      </c>
      <c r="AE24" s="251">
        <f>'[2]Denver Air'!$JH$43</f>
        <v>1857</v>
      </c>
      <c r="AF24" s="252">
        <f>(AD24-AE24)/AE24</f>
        <v>-3.4464189553042542E-2</v>
      </c>
      <c r="AG24" s="249">
        <f>SUM('[2]Denver Air'!$JV$43:$JV$43)</f>
        <v>1793</v>
      </c>
      <c r="AH24" s="251">
        <f>SUM('[2]Denver Air'!$JH$43:$JH$43)</f>
        <v>1857</v>
      </c>
      <c r="AI24" s="250">
        <f>(AG24-AH24)/AH24</f>
        <v>-3.4464189553042542E-2</v>
      </c>
      <c r="AJ24" s="252">
        <f>AG24/$AG$56</f>
        <v>7.2798495145887294E-4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18</v>
      </c>
      <c r="B26" s="255"/>
      <c r="C26" s="249">
        <f>SUM(C27:C29)</f>
        <v>17679</v>
      </c>
      <c r="D26" s="251">
        <f>SUM(D27:D29)</f>
        <v>17764</v>
      </c>
      <c r="E26" s="252">
        <f t="shared" ref="E26:E29" si="34">(C26-D26)/D26</f>
        <v>-4.7849583427156048E-3</v>
      </c>
      <c r="F26" s="254">
        <f>SUM(F27:F29)</f>
        <v>17679</v>
      </c>
      <c r="G26" s="254">
        <f>SUM(G27:G29)</f>
        <v>17764</v>
      </c>
      <c r="H26" s="250">
        <f>(F26-G26)/G26</f>
        <v>-4.7849583427156048E-3</v>
      </c>
      <c r="I26" s="252">
        <f>F26/$F$56</f>
        <v>0.76935462813873534</v>
      </c>
      <c r="J26" s="248" t="s">
        <v>18</v>
      </c>
      <c r="K26" s="255"/>
      <c r="L26" s="249">
        <f>SUM(L27:L29)</f>
        <v>1768287</v>
      </c>
      <c r="M26" s="251">
        <f>SUM(M27:M29)</f>
        <v>1803506</v>
      </c>
      <c r="N26" s="252">
        <f t="shared" ref="N26:N29" si="35">(L26-M26)/M26</f>
        <v>-1.9528074761048758E-2</v>
      </c>
      <c r="O26" s="249">
        <f>SUM(O27:O29)</f>
        <v>1768287</v>
      </c>
      <c r="P26" s="251">
        <f>SUM(P27:P29)</f>
        <v>1803506</v>
      </c>
      <c r="Q26" s="250">
        <f t="shared" ref="Q26:Q29" si="36">(O26-P26)/P26</f>
        <v>-1.9528074761048758E-2</v>
      </c>
      <c r="R26" s="252">
        <f>O26/$O$56</f>
        <v>0.74313260242470702</v>
      </c>
      <c r="S26" s="248" t="s">
        <v>18</v>
      </c>
      <c r="T26" s="255"/>
      <c r="U26" s="249">
        <f>SUM(U27:U29)</f>
        <v>5424112</v>
      </c>
      <c r="V26" s="251">
        <f>SUM(V27:V29)</f>
        <v>5135791</v>
      </c>
      <c r="W26" s="252">
        <f t="shared" ref="W26:W27" si="37">(U26-V26)/V26</f>
        <v>5.6139550850102742E-2</v>
      </c>
      <c r="X26" s="249">
        <f>SUM(X27:X29)</f>
        <v>5424112</v>
      </c>
      <c r="Y26" s="251">
        <f>SUM(Y27:Y29)</f>
        <v>5135791</v>
      </c>
      <c r="Z26" s="250">
        <f t="shared" ref="Z26:Z27" si="38">(X26-Y26)/Y26</f>
        <v>5.6139550850102742E-2</v>
      </c>
      <c r="AA26" s="252">
        <f>X26/$X$56</f>
        <v>0.88459982515293056</v>
      </c>
      <c r="AB26" s="248" t="s">
        <v>18</v>
      </c>
      <c r="AC26" s="255"/>
      <c r="AD26" s="249">
        <f>SUM(AD27:AD29)</f>
        <v>1833037</v>
      </c>
      <c r="AE26" s="251">
        <f>SUM(AE27:AE29)</f>
        <v>1863655</v>
      </c>
      <c r="AF26" s="252">
        <f t="shared" ref="AF26:AF29" si="39">(AD26-AE26)/AE26</f>
        <v>-1.6429006441642902E-2</v>
      </c>
      <c r="AG26" s="249">
        <f>SUM(AG27:AG29)</f>
        <v>1833037</v>
      </c>
      <c r="AH26" s="251">
        <f>SUM(AH27:AH29)</f>
        <v>1863655</v>
      </c>
      <c r="AI26" s="250">
        <f t="shared" ref="AI26:AI29" si="40">(AG26-AH26)/AH26</f>
        <v>-1.6429006441642902E-2</v>
      </c>
      <c r="AJ26" s="252">
        <f>AG26/$AG$56</f>
        <v>0.74424057527457776</v>
      </c>
    </row>
    <row r="27" spans="1:36" ht="14.1" customHeight="1" x14ac:dyDescent="0.2">
      <c r="A27" s="36"/>
      <c r="B27" s="37" t="s">
        <v>18</v>
      </c>
      <c r="C27" s="253">
        <f>[2]Delta!$JV$19</f>
        <v>10452</v>
      </c>
      <c r="D27" s="2">
        <f>[2]Delta!$JH$19</f>
        <v>10888</v>
      </c>
      <c r="E27" s="63">
        <f t="shared" si="34"/>
        <v>-4.0044085231447465E-2</v>
      </c>
      <c r="F27" s="2">
        <f>SUM([2]Delta!$JV$19:$JV$19)</f>
        <v>10452</v>
      </c>
      <c r="G27" s="2">
        <f>SUM([2]Delta!$JH$19:$JH$19)</f>
        <v>10888</v>
      </c>
      <c r="H27" s="3">
        <f t="shared" ref="H27:H29" si="41">(F27-G27)/G27</f>
        <v>-4.0044085231447465E-2</v>
      </c>
      <c r="I27" s="63">
        <f>F27/$F$56</f>
        <v>0.45485008050829018</v>
      </c>
      <c r="J27" s="36"/>
      <c r="K27" s="37" t="s">
        <v>18</v>
      </c>
      <c r="L27" s="253">
        <f>[2]Delta!$JV$41</f>
        <v>1402368</v>
      </c>
      <c r="M27" s="2">
        <f>[2]Delta!$JH$41</f>
        <v>1449484</v>
      </c>
      <c r="N27" s="63">
        <f t="shared" si="35"/>
        <v>-3.2505360528298347E-2</v>
      </c>
      <c r="O27" s="253">
        <f>SUM([2]Delta!$JV$41:$JV$41)</f>
        <v>1402368</v>
      </c>
      <c r="P27" s="2">
        <f>SUM([2]Delta!$JH$41:$JH$41)</f>
        <v>1449484</v>
      </c>
      <c r="Q27" s="3">
        <f t="shared" si="36"/>
        <v>-3.2505360528298347E-2</v>
      </c>
      <c r="R27" s="63">
        <f>O27/$O$56</f>
        <v>0.58935307526274383</v>
      </c>
      <c r="S27" s="36"/>
      <c r="T27" s="37" t="s">
        <v>18</v>
      </c>
      <c r="U27" s="253">
        <f>[2]Delta!$JV$64</f>
        <v>5424112</v>
      </c>
      <c r="V27" s="2">
        <f>[2]Delta!$JH$64</f>
        <v>5135791</v>
      </c>
      <c r="W27" s="63">
        <f t="shared" si="37"/>
        <v>5.6139550850102742E-2</v>
      </c>
      <c r="X27" s="253">
        <f>SUM([2]Delta!$JV$64:$JV$64)</f>
        <v>5424112</v>
      </c>
      <c r="Y27" s="2">
        <f>SUM([2]Delta!$JH$64:$JH$64)</f>
        <v>5135791</v>
      </c>
      <c r="Z27" s="3">
        <f t="shared" si="38"/>
        <v>5.6139550850102742E-2</v>
      </c>
      <c r="AA27" s="63">
        <f>X27/$X$56</f>
        <v>0.88459982515293056</v>
      </c>
      <c r="AB27" s="36"/>
      <c r="AC27" s="37" t="s">
        <v>18</v>
      </c>
      <c r="AD27" s="253">
        <f>[2]Delta!$JV$43</f>
        <v>1454169</v>
      </c>
      <c r="AE27" s="2">
        <f>[2]Delta!$JH$43</f>
        <v>1498060</v>
      </c>
      <c r="AF27" s="63">
        <f t="shared" si="39"/>
        <v>-2.9298559470248186E-2</v>
      </c>
      <c r="AG27" s="253">
        <f>SUM([2]Delta!$JV$43:$JV$43)</f>
        <v>1454169</v>
      </c>
      <c r="AH27" s="2">
        <f>SUM([2]Delta!$JH$43:$JH$43)</f>
        <v>1498060</v>
      </c>
      <c r="AI27" s="3">
        <f>(AG27-AH27)/AH27</f>
        <v>-2.9298559470248186E-2</v>
      </c>
      <c r="AJ27" s="63">
        <f>AG27/$AG$56</f>
        <v>0.59041447232459443</v>
      </c>
    </row>
    <row r="28" spans="1:36" ht="14.1" customHeight="1" x14ac:dyDescent="0.2">
      <c r="A28" s="36"/>
      <c r="B28" s="37" t="s">
        <v>154</v>
      </c>
      <c r="C28" s="253">
        <f>[2]Pinnacle!$JV$19</f>
        <v>3053</v>
      </c>
      <c r="D28" s="2">
        <f>[2]Pinnacle!$JH$19</f>
        <v>2774</v>
      </c>
      <c r="E28" s="63">
        <f t="shared" si="34"/>
        <v>0.10057678442682047</v>
      </c>
      <c r="F28" s="2">
        <f>SUM([2]Pinnacle!$JV$19:$JV$19)</f>
        <v>3053</v>
      </c>
      <c r="G28" s="2">
        <f>SUM([2]Pinnacle!$JH$19:$JH$19)</f>
        <v>2774</v>
      </c>
      <c r="H28" s="3">
        <f t="shared" si="41"/>
        <v>0.10057678442682047</v>
      </c>
      <c r="I28" s="63">
        <f>F28/$F$56</f>
        <v>0.1328604377910266</v>
      </c>
      <c r="J28" s="36"/>
      <c r="K28" s="37" t="s">
        <v>154</v>
      </c>
      <c r="L28" s="253">
        <f>[2]Pinnacle!$JV$41</f>
        <v>169217</v>
      </c>
      <c r="M28" s="2">
        <f>[2]Pinnacle!$JH$41</f>
        <v>156940</v>
      </c>
      <c r="N28" s="63">
        <f t="shared" si="35"/>
        <v>7.8227348031094684E-2</v>
      </c>
      <c r="O28" s="253">
        <f>SUM([2]Pinnacle!$JV$41:$JV$41)</f>
        <v>169217</v>
      </c>
      <c r="P28" s="2">
        <f>SUM([2]Pinnacle!$JH$41:$JH$41)</f>
        <v>156940</v>
      </c>
      <c r="Q28" s="3">
        <f t="shared" si="36"/>
        <v>7.8227348031094684E-2</v>
      </c>
      <c r="R28" s="63">
        <f>O28/$O$56</f>
        <v>7.1114400311997797E-2</v>
      </c>
      <c r="S28" s="36"/>
      <c r="T28" s="37" t="s">
        <v>154</v>
      </c>
      <c r="U28" s="253">
        <f>[2]Pinnacle!$JV$64</f>
        <v>0</v>
      </c>
      <c r="V28" s="2">
        <f>[2]Pinnacle!$JH$64</f>
        <v>0</v>
      </c>
      <c r="W28" s="63">
        <f>IFERROR((U28-V28)/V28,0)</f>
        <v>0</v>
      </c>
      <c r="X28" s="253">
        <f>SUM([2]Pinnacle!$JV$64:$JV$64)</f>
        <v>0</v>
      </c>
      <c r="Y28" s="2">
        <f>SUM([2]Pinnacle!$JH$64:$JH$64)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[2]Pinnacle!$JV$43</f>
        <v>174974</v>
      </c>
      <c r="AE28" s="2">
        <f>[2]Pinnacle!$JH$43</f>
        <v>161915</v>
      </c>
      <c r="AF28" s="63">
        <f t="shared" si="39"/>
        <v>8.0653429268443322E-2</v>
      </c>
      <c r="AG28" s="253">
        <f>SUM([2]Pinnacle!$JV$43:$JV$43)</f>
        <v>174974</v>
      </c>
      <c r="AH28" s="2">
        <f>SUM([2]Pinnacle!$JH$43:$JH$43)</f>
        <v>161915</v>
      </c>
      <c r="AI28" s="3">
        <f t="shared" si="40"/>
        <v>8.0653429268443322E-2</v>
      </c>
      <c r="AJ28" s="63">
        <f>AG28/$AG$56</f>
        <v>7.1042074119668064E-2</v>
      </c>
    </row>
    <row r="29" spans="1:36" ht="14.1" customHeight="1" x14ac:dyDescent="0.2">
      <c r="A29" s="36"/>
      <c r="B29" s="37" t="s">
        <v>96</v>
      </c>
      <c r="C29" s="253">
        <f>'[2]Sky West'!$JV$19</f>
        <v>4174</v>
      </c>
      <c r="D29" s="2">
        <f>'[2]Sky West'!$JH$19</f>
        <v>4102</v>
      </c>
      <c r="E29" s="63">
        <f t="shared" si="34"/>
        <v>1.7552413456850317E-2</v>
      </c>
      <c r="F29" s="2">
        <f>SUM('[2]Sky West'!$JV$19:$JV$19)</f>
        <v>4174</v>
      </c>
      <c r="G29" s="2">
        <f>SUM('[2]Sky West'!$JH$19:$JH$19)</f>
        <v>4102</v>
      </c>
      <c r="H29" s="3">
        <f t="shared" si="41"/>
        <v>1.7552413456850317E-2</v>
      </c>
      <c r="I29" s="63">
        <f>F29/$F$56</f>
        <v>0.18164410983941859</v>
      </c>
      <c r="J29" s="36"/>
      <c r="K29" s="37" t="s">
        <v>96</v>
      </c>
      <c r="L29" s="253">
        <f>'[2]Sky West'!$JV$41</f>
        <v>196702</v>
      </c>
      <c r="M29" s="2">
        <f>'[2]Sky West'!$JH$41</f>
        <v>197082</v>
      </c>
      <c r="N29" s="63">
        <f t="shared" si="35"/>
        <v>-1.9281314376756883E-3</v>
      </c>
      <c r="O29" s="253">
        <f>SUM('[2]Sky West'!$JV$41:$JV$41)</f>
        <v>196702</v>
      </c>
      <c r="P29" s="2">
        <f>SUM('[2]Sky West'!$JH$41:$JH$41)</f>
        <v>197082</v>
      </c>
      <c r="Q29" s="3">
        <f t="shared" si="36"/>
        <v>-1.9281314376756883E-3</v>
      </c>
      <c r="R29" s="63">
        <f>O29/$O$56</f>
        <v>8.2665126849965367E-2</v>
      </c>
      <c r="S29" s="36"/>
      <c r="T29" s="37" t="s">
        <v>96</v>
      </c>
      <c r="U29" s="253">
        <f>'[2]Sky West'!$JV$64</f>
        <v>0</v>
      </c>
      <c r="V29" s="2">
        <f>'[2]Sky West'!$JH$64</f>
        <v>0</v>
      </c>
      <c r="W29" s="63">
        <f>IFERROR((U29-V29)/V29,0)</f>
        <v>0</v>
      </c>
      <c r="X29" s="253">
        <f>SUM('[2]Sky West'!$JV$64:$JV$64)</f>
        <v>0</v>
      </c>
      <c r="Y29" s="2">
        <f>SUM('[2]Sky West'!$JH$64:$JH$64)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'[2]Sky West'!$JV$43</f>
        <v>203894</v>
      </c>
      <c r="AE29" s="2">
        <f>'[2]Sky West'!$JH$43</f>
        <v>203680</v>
      </c>
      <c r="AF29" s="63">
        <f t="shared" si="39"/>
        <v>1.0506677140612725E-3</v>
      </c>
      <c r="AG29" s="253">
        <f>SUM('[2]Sky West'!$JV$43:$JV$43)</f>
        <v>203894</v>
      </c>
      <c r="AH29" s="2">
        <f>SUM('[2]Sky West'!$JH$43:$JH$43)</f>
        <v>203680</v>
      </c>
      <c r="AI29" s="3">
        <f t="shared" si="40"/>
        <v>1.0506677140612725E-3</v>
      </c>
      <c r="AJ29" s="63">
        <f>AG29/$AG$56</f>
        <v>8.2784028830315354E-2</v>
      </c>
    </row>
    <row r="30" spans="1:36" ht="14.1" customHeight="1" x14ac:dyDescent="0.2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">
      <c r="A31" s="248" t="s">
        <v>47</v>
      </c>
      <c r="B31" s="37"/>
      <c r="C31" s="249">
        <f>[2]Frontier!$JV$19</f>
        <v>153</v>
      </c>
      <c r="D31" s="251">
        <f>[2]Frontier!$JH$19</f>
        <v>168</v>
      </c>
      <c r="E31" s="252">
        <f>(C31-D31)/D31</f>
        <v>-8.9285714285714288E-2</v>
      </c>
      <c r="F31" s="251">
        <f>SUM([2]Frontier!$JV$19:$JV$19)</f>
        <v>153</v>
      </c>
      <c r="G31" s="251">
        <f>SUM([2]Frontier!$JH$19:$JH$19)</f>
        <v>168</v>
      </c>
      <c r="H31" s="250">
        <f>(F31-G31)/G31</f>
        <v>-8.9285714285714288E-2</v>
      </c>
      <c r="I31" s="252">
        <f>F31/$F$56</f>
        <v>6.6582531876931113E-3</v>
      </c>
      <c r="J31" s="248" t="s">
        <v>47</v>
      </c>
      <c r="K31" s="37"/>
      <c r="L31" s="249">
        <f>[2]Frontier!$JV$41</f>
        <v>25151</v>
      </c>
      <c r="M31" s="251">
        <f>[2]Frontier!$JH$41</f>
        <v>28503</v>
      </c>
      <c r="N31" s="252">
        <f>(L31-M31)/M31</f>
        <v>-0.11760165596603867</v>
      </c>
      <c r="O31" s="249">
        <f>SUM([2]Frontier!$JV$41:$JV$41)</f>
        <v>25151</v>
      </c>
      <c r="P31" s="251">
        <f>SUM([2]Frontier!$JH$41:$JH$41)</f>
        <v>28503</v>
      </c>
      <c r="Q31" s="250">
        <f>(O31-P31)/P31</f>
        <v>-0.11760165596603867</v>
      </c>
      <c r="R31" s="252">
        <f>O31/$O$56</f>
        <v>1.0569849851061398E-2</v>
      </c>
      <c r="S31" s="248" t="s">
        <v>47</v>
      </c>
      <c r="T31" s="37"/>
      <c r="U31" s="249">
        <f>[2]Frontier!$JV$64</f>
        <v>0</v>
      </c>
      <c r="V31" s="251">
        <f>[2]Frontier!$JH$64</f>
        <v>0</v>
      </c>
      <c r="W31" s="252">
        <f>IFERROR((U31-V31)/V31,0)</f>
        <v>0</v>
      </c>
      <c r="X31" s="249">
        <f>SUM([2]Frontier!$JV$64:$JV$64)</f>
        <v>0</v>
      </c>
      <c r="Y31" s="251">
        <f>SUM([2]Frontier!$JH$64:$JH$64)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[2]Frontier!$JV$43</f>
        <v>25388</v>
      </c>
      <c r="AE31" s="251">
        <f>[2]Frontier!$JH$43</f>
        <v>28696</v>
      </c>
      <c r="AF31" s="252">
        <f>(AD31-AE31)/AE31</f>
        <v>-0.11527739057708392</v>
      </c>
      <c r="AG31" s="249">
        <f>SUM([2]Frontier!$JV$43:$JV$43)</f>
        <v>25388</v>
      </c>
      <c r="AH31" s="251">
        <f>SUM([2]Frontier!$JH$43:$JH$43)</f>
        <v>28696</v>
      </c>
      <c r="AI31" s="250">
        <f>(AG31-AH31)/AH31</f>
        <v>-0.11527739057708392</v>
      </c>
      <c r="AJ31" s="252">
        <f>AG31/$AG$56</f>
        <v>1.030790961942993E-2</v>
      </c>
    </row>
    <row r="32" spans="1:36" ht="14.1" customHeight="1" x14ac:dyDescent="0.2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48</v>
      </c>
      <c r="B33" s="37"/>
      <c r="C33" s="249">
        <f>[2]Icelandair!$JV$19</f>
        <v>34</v>
      </c>
      <c r="D33" s="251">
        <f>[2]Icelandair!$JH$19</f>
        <v>8</v>
      </c>
      <c r="E33" s="252">
        <f>(C33-D33)/D33</f>
        <v>3.25</v>
      </c>
      <c r="F33" s="251">
        <f>SUM([2]Icelandair!$JV$19:$JV$19)</f>
        <v>34</v>
      </c>
      <c r="G33" s="251">
        <f>SUM([2]Icelandair!$JH$19:$JH$19)</f>
        <v>8</v>
      </c>
      <c r="H33" s="250">
        <f>(F33-G33)/G33</f>
        <v>3.25</v>
      </c>
      <c r="I33" s="252">
        <f>F33/$F$56</f>
        <v>1.479611819487358E-3</v>
      </c>
      <c r="J33" s="248" t="s">
        <v>48</v>
      </c>
      <c r="K33" s="37"/>
      <c r="L33" s="249">
        <f>[2]Icelandair!$JV$41</f>
        <v>4147</v>
      </c>
      <c r="M33" s="251">
        <f>[2]Icelandair!$JH$41</f>
        <v>1028</v>
      </c>
      <c r="N33" s="252">
        <f>(L33-M33)/M33</f>
        <v>3.0340466926070038</v>
      </c>
      <c r="O33" s="249">
        <f>SUM([2]Icelandair!$JV$41:$JV$41)</f>
        <v>4147</v>
      </c>
      <c r="P33" s="251">
        <f>SUM([2]Icelandair!$JH$41:$JH$41)</f>
        <v>1028</v>
      </c>
      <c r="Q33" s="250">
        <f>(O33-P33)/P33</f>
        <v>3.0340466926070038</v>
      </c>
      <c r="R33" s="252">
        <f>O33/$O$56</f>
        <v>1.7428001802056226E-3</v>
      </c>
      <c r="S33" s="248" t="s">
        <v>48</v>
      </c>
      <c r="T33" s="37"/>
      <c r="U33" s="249">
        <f>[2]Icelandair!$JV$64</f>
        <v>0</v>
      </c>
      <c r="V33" s="251">
        <f>[2]Icelandair!$JH$64</f>
        <v>0</v>
      </c>
      <c r="W33" s="252" t="e">
        <f>(U33-V33)/V33</f>
        <v>#DIV/0!</v>
      </c>
      <c r="X33" s="249">
        <f>SUM([2]Icelandair!$JV$64:$JV$64)</f>
        <v>0</v>
      </c>
      <c r="Y33" s="251">
        <f>SUM([2]Icelandair!$JH$64:$JH$64)</f>
        <v>0</v>
      </c>
      <c r="Z33" s="250" t="e">
        <f>(X33-Y33)/Y33</f>
        <v>#DIV/0!</v>
      </c>
      <c r="AA33" s="252">
        <f>X33/$X$56</f>
        <v>0</v>
      </c>
      <c r="AB33" s="248" t="s">
        <v>48</v>
      </c>
      <c r="AC33" s="37"/>
      <c r="AD33" s="249">
        <f>[2]Icelandair!$JV$43</f>
        <v>4230</v>
      </c>
      <c r="AE33" s="251">
        <f>[2]Icelandair!$JH$43</f>
        <v>1037</v>
      </c>
      <c r="AF33" s="252">
        <f>(AD33-AE33)/AE33</f>
        <v>3.0790742526518806</v>
      </c>
      <c r="AG33" s="249">
        <f>SUM([2]Icelandair!$JV$43:$JV$43)</f>
        <v>4230</v>
      </c>
      <c r="AH33" s="251">
        <f>SUM([2]Icelandair!$JH$43:$JH$43)</f>
        <v>1037</v>
      </c>
      <c r="AI33" s="250">
        <f>(AG33-AH33)/AH33</f>
        <v>3.0790742526518806</v>
      </c>
      <c r="AJ33" s="252">
        <f>AG33/$AG$56</f>
        <v>1.7174435831963371E-3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176</v>
      </c>
      <c r="B35" s="37"/>
      <c r="C35" s="249">
        <f>[2]KLM!$JV$19</f>
        <v>0</v>
      </c>
      <c r="D35" s="251">
        <f>[2]KLM!$JH$19</f>
        <v>0</v>
      </c>
      <c r="E35" s="252" t="e">
        <f>(C35-D35)/D35</f>
        <v>#DIV/0!</v>
      </c>
      <c r="F35" s="251">
        <f>SUM([2]KLM!$JV$19:$JV$19)</f>
        <v>0</v>
      </c>
      <c r="G35" s="251">
        <f>SUM([2]KLM!$JH$19:$JH$19)</f>
        <v>0</v>
      </c>
      <c r="H35" s="250" t="e">
        <f>(F35-G35)/G35</f>
        <v>#DIV/0!</v>
      </c>
      <c r="I35" s="252">
        <f>F35/$F$56</f>
        <v>0</v>
      </c>
      <c r="J35" s="248" t="s">
        <v>176</v>
      </c>
      <c r="K35" s="37"/>
      <c r="L35" s="249">
        <f>[2]KLM!$JV$41</f>
        <v>0</v>
      </c>
      <c r="M35" s="251">
        <f>[2]KLM!$JH$41</f>
        <v>0</v>
      </c>
      <c r="N35" s="252" t="e">
        <f>(L35-M35)/M35</f>
        <v>#DIV/0!</v>
      </c>
      <c r="O35" s="249">
        <f>SUM([2]KLM!$JV$41:$JV$41)</f>
        <v>0</v>
      </c>
      <c r="P35" s="251">
        <f>SUM([2]KLM!$JH$41:$JH$41)</f>
        <v>0</v>
      </c>
      <c r="Q35" s="250" t="e">
        <f>(O35-P35)/P35</f>
        <v>#DIV/0!</v>
      </c>
      <c r="R35" s="252">
        <f>O35/$O$56</f>
        <v>0</v>
      </c>
      <c r="S35" s="248" t="s">
        <v>176</v>
      </c>
      <c r="T35" s="37"/>
      <c r="U35" s="249">
        <f>[2]KLM!$JV$64</f>
        <v>0</v>
      </c>
      <c r="V35" s="251">
        <f>[2]KLM!$JH$64</f>
        <v>0</v>
      </c>
      <c r="W35" s="252" t="e">
        <f>(U35-V35)/V35</f>
        <v>#DIV/0!</v>
      </c>
      <c r="X35" s="249">
        <f>SUM([2]KLM!$JV$64:$JV$64)</f>
        <v>0</v>
      </c>
      <c r="Y35" s="251">
        <f>SUM([2]KLM!$JH$64:$JH$64)</f>
        <v>0</v>
      </c>
      <c r="Z35" s="250" t="e">
        <f>(X35-Y35)/Y35</f>
        <v>#DIV/0!</v>
      </c>
      <c r="AA35" s="252">
        <f>X35/$X$56</f>
        <v>0</v>
      </c>
      <c r="AB35" s="248" t="s">
        <v>176</v>
      </c>
      <c r="AC35" s="37"/>
      <c r="AD35" s="249">
        <f>[2]KLM!$JV$43</f>
        <v>0</v>
      </c>
      <c r="AE35" s="251">
        <f>[2]KLM!$JH$43</f>
        <v>0</v>
      </c>
      <c r="AF35" s="252" t="e">
        <f>(AD35-AE35)/AE35</f>
        <v>#DIV/0!</v>
      </c>
      <c r="AG35" s="249">
        <f>SUM([2]KLM!$JV$43:$JV$43)</f>
        <v>0</v>
      </c>
      <c r="AH35" s="251">
        <f>SUM([2]KLM!$JH$43:$JH$43)</f>
        <v>0</v>
      </c>
      <c r="AI35" s="250" t="e">
        <f>(AG35-AH35)/AH35</f>
        <v>#DIV/0!</v>
      </c>
      <c r="AJ35" s="252">
        <f>AG35/$AG$56</f>
        <v>0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242</v>
      </c>
      <c r="B37" s="37"/>
      <c r="C37" s="249">
        <f>[2]Lufthansa!$JV$19</f>
        <v>0</v>
      </c>
      <c r="D37" s="251">
        <f>[2]Lufthansa!$JH$19</f>
        <v>34</v>
      </c>
      <c r="E37" s="252">
        <f>IFERROR((C37-D37)/D37,0)</f>
        <v>-1</v>
      </c>
      <c r="F37" s="251">
        <f>SUM([2]Lufthansa!$JV$19:$JV$19)</f>
        <v>0</v>
      </c>
      <c r="G37" s="251">
        <f>SUM([2]Lufthansa!$JH$19:$JH$19)</f>
        <v>34</v>
      </c>
      <c r="H37" s="250">
        <f>IFERROR((F37-G37)/G37,0)</f>
        <v>-1</v>
      </c>
      <c r="I37" s="252">
        <f>F37/$F$56</f>
        <v>0</v>
      </c>
      <c r="J37" s="248" t="s">
        <v>242</v>
      </c>
      <c r="K37" s="37"/>
      <c r="L37" s="249">
        <f>[2]Lufthansa!$JV$41</f>
        <v>0</v>
      </c>
      <c r="M37" s="251">
        <f>[2]Lufthansa!$JH$41</f>
        <v>6268</v>
      </c>
      <c r="N37" s="252">
        <f>IFERROR((L37-M37)/M37,0)</f>
        <v>-1</v>
      </c>
      <c r="O37" s="249">
        <f>SUM([2]Lufthansa!$JV$41:$JV$41)</f>
        <v>0</v>
      </c>
      <c r="P37" s="251">
        <f>SUM([2]Lufthansa!$JH$41:$JH$41)</f>
        <v>6268</v>
      </c>
      <c r="Q37" s="250">
        <f>IFERROR((O37-P37)/P37,0)</f>
        <v>-1</v>
      </c>
      <c r="R37" s="252">
        <f>O37/$O$56</f>
        <v>0</v>
      </c>
      <c r="S37" s="248" t="s">
        <v>242</v>
      </c>
      <c r="T37" s="37"/>
      <c r="U37" s="249">
        <f>[2]Lufthansa!$JV$64</f>
        <v>0</v>
      </c>
      <c r="V37" s="251">
        <f>[2]Lufthansa!$JH$64</f>
        <v>534234</v>
      </c>
      <c r="W37" s="252">
        <f>IFERROR((U37-V37)/V37,0)</f>
        <v>-1</v>
      </c>
      <c r="X37" s="249">
        <f>SUM([2]Lufthansa!$JV$64:$JV$64)</f>
        <v>0</v>
      </c>
      <c r="Y37" s="251">
        <f>SUM([2]Lufthansa!$JH$64:$JH$64)</f>
        <v>534234</v>
      </c>
      <c r="Z37" s="250">
        <f>IFERROR((X37-Y37)/Y37,0)</f>
        <v>-1</v>
      </c>
      <c r="AA37" s="252">
        <f>X37/$X$56</f>
        <v>0</v>
      </c>
      <c r="AB37" s="248" t="s">
        <v>242</v>
      </c>
      <c r="AC37" s="37"/>
      <c r="AD37" s="249">
        <f>[2]Lufthansa!$JV$43</f>
        <v>0</v>
      </c>
      <c r="AE37" s="251">
        <f>[2]Lufthansa!$JH$43</f>
        <v>6409</v>
      </c>
      <c r="AF37" s="252">
        <f>IFERROR((AD37-AE37)/AE37,0)</f>
        <v>-1</v>
      </c>
      <c r="AG37" s="249">
        <f>SUM([2]Lufthansa!$JV$43:$JV$43)</f>
        <v>0</v>
      </c>
      <c r="AH37" s="251">
        <f>SUM([2]Lufthansa!$JH$43:$JH$43)</f>
        <v>6409</v>
      </c>
      <c r="AI37" s="250">
        <f>IFERROR((AG37-AH37)/AH37,0)</f>
        <v>-1</v>
      </c>
      <c r="AJ37" s="252">
        <f>AG37/$AG$56</f>
        <v>0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127</v>
      </c>
      <c r="B39" s="37"/>
      <c r="C39" s="249">
        <f>[2]Southwest!$JV$19</f>
        <v>754</v>
      </c>
      <c r="D39" s="251">
        <f>[2]Southwest!$JH$19</f>
        <v>885</v>
      </c>
      <c r="E39" s="252">
        <f>(C39-D39)/D39</f>
        <v>-0.1480225988700565</v>
      </c>
      <c r="F39" s="251">
        <f>SUM([2]Southwest!$JV$19:$JV$19)</f>
        <v>754</v>
      </c>
      <c r="G39" s="251">
        <f>SUM([2]Southwest!$JH$19:$JH$19)</f>
        <v>885</v>
      </c>
      <c r="H39" s="250">
        <f>(F39-G39)/G39</f>
        <v>-0.1480225988700565</v>
      </c>
      <c r="I39" s="252">
        <f>F39/$F$56</f>
        <v>3.2812567996866701E-2</v>
      </c>
      <c r="J39" s="248" t="s">
        <v>127</v>
      </c>
      <c r="K39" s="37"/>
      <c r="L39" s="249">
        <f>[2]Southwest!$JV$41</f>
        <v>84840</v>
      </c>
      <c r="M39" s="251">
        <f>[2]Southwest!$JH$41</f>
        <v>91333</v>
      </c>
      <c r="N39" s="252">
        <f>(L39-M39)/M39</f>
        <v>-7.109150033394282E-2</v>
      </c>
      <c r="O39" s="249">
        <f>SUM([2]Southwest!$JV$41:$JV$41)</f>
        <v>84840</v>
      </c>
      <c r="P39" s="251">
        <f>SUM([2]Southwest!$JH$41:$JH$41)</f>
        <v>91333</v>
      </c>
      <c r="Q39" s="250">
        <f>(O39-P39)/P39</f>
        <v>-7.109150033394282E-2</v>
      </c>
      <c r="R39" s="252">
        <f>O39/$O$56</f>
        <v>3.5654489338954674E-2</v>
      </c>
      <c r="S39" s="248" t="s">
        <v>127</v>
      </c>
      <c r="T39" s="37"/>
      <c r="U39" s="249">
        <f>[2]Southwest!$JV$64</f>
        <v>183808</v>
      </c>
      <c r="V39" s="251">
        <f>[2]Southwest!$JH$64</f>
        <v>197876</v>
      </c>
      <c r="W39" s="252">
        <f>(U39-V39)/V39</f>
        <v>-7.1095029210212463E-2</v>
      </c>
      <c r="X39" s="249">
        <f>SUM([2]Southwest!$JV$64:$JV$64)</f>
        <v>183808</v>
      </c>
      <c r="Y39" s="251">
        <f>SUM([2]Southwest!$JH$64:$JH$64)</f>
        <v>197876</v>
      </c>
      <c r="Z39" s="250">
        <f>(X39-Y39)/Y39</f>
        <v>-7.1095029210212463E-2</v>
      </c>
      <c r="AA39" s="252">
        <f>X39/$X$56</f>
        <v>2.9976616386555046E-2</v>
      </c>
      <c r="AB39" s="248" t="s">
        <v>127</v>
      </c>
      <c r="AC39" s="37"/>
      <c r="AD39" s="249">
        <f>[2]Southwest!$JV$43</f>
        <v>87950</v>
      </c>
      <c r="AE39" s="251">
        <f>[2]Southwest!$JH$43</f>
        <v>94783</v>
      </c>
      <c r="AF39" s="252">
        <f>(AD39-AE39)/AE39</f>
        <v>-7.209098678032981E-2</v>
      </c>
      <c r="AG39" s="249">
        <f>SUM([2]Southwest!$JV$43:$JV$43)</f>
        <v>87950</v>
      </c>
      <c r="AH39" s="251">
        <f>SUM([2]Southwest!$JH$43:$JH$43)</f>
        <v>94783</v>
      </c>
      <c r="AI39" s="250">
        <f>(AG39-AH39)/AH39</f>
        <v>-7.209098678032981E-2</v>
      </c>
      <c r="AJ39" s="252">
        <f>AG39/$AG$56</f>
        <v>3.57090220194132E-2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151</v>
      </c>
      <c r="B41" s="37"/>
      <c r="C41" s="249">
        <f>[2]Spirit!$JV$19</f>
        <v>0</v>
      </c>
      <c r="D41" s="251">
        <f>[2]Spirit!$JH$19</f>
        <v>150</v>
      </c>
      <c r="E41" s="252">
        <f>(C41-D41)/D41</f>
        <v>-1</v>
      </c>
      <c r="F41" s="251">
        <f>SUM([2]Spirit!$JV$19:$JV$19)</f>
        <v>0</v>
      </c>
      <c r="G41" s="251">
        <f>SUM([2]Spirit!$JH$19:$JH$19)</f>
        <v>150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[2]Spirit!$JV$41</f>
        <v>0</v>
      </c>
      <c r="M41" s="251">
        <f>[2]Spirit!$JH$41</f>
        <v>21226</v>
      </c>
      <c r="N41" s="252">
        <f>(L41-M41)/M41</f>
        <v>-1</v>
      </c>
      <c r="O41" s="249">
        <f>SUM([2]Spirit!$JV$41:$JV$41)</f>
        <v>0</v>
      </c>
      <c r="P41" s="251">
        <f>SUM([2]Spirit!$JH$41:$JH$41)</f>
        <v>21226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[2]Spirit!$JV$64</f>
        <v>0</v>
      </c>
      <c r="V41" s="251">
        <f>[2]Spirit!$JH$64</f>
        <v>0</v>
      </c>
      <c r="W41" s="252">
        <f>IFERROR((U41-V41)/V41,0)</f>
        <v>0</v>
      </c>
      <c r="X41" s="249">
        <f>SUM([2]Spirit!$JV$64:$JV$64)</f>
        <v>0</v>
      </c>
      <c r="Y41" s="251">
        <f>SUM([2]Spirit!$JH$64:$JH$64)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[2]Spirit!$JV$43</f>
        <v>0</v>
      </c>
      <c r="AE41" s="251">
        <f>[2]Spirit!$JH$43</f>
        <v>21435</v>
      </c>
      <c r="AF41" s="252">
        <f>(AD41-AE41)/AE41</f>
        <v>-1</v>
      </c>
      <c r="AG41" s="249">
        <f>SUM([2]Spirit!$JV$43:$JV$43)</f>
        <v>0</v>
      </c>
      <c r="AH41" s="251">
        <f>SUM([2]Spirit!$JH$43:$JH$43)</f>
        <v>21435</v>
      </c>
      <c r="AI41" s="250">
        <f>(AG41-AH41)/AH41</f>
        <v>-1</v>
      </c>
      <c r="AJ41" s="252">
        <f>AG41/$AG$56</f>
        <v>0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>
        <f>O42/$O$56</f>
        <v>0</v>
      </c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49</v>
      </c>
      <c r="B43" s="37"/>
      <c r="C43" s="249">
        <f>'[2]Sun Country'!$JV$19</f>
        <v>1810</v>
      </c>
      <c r="D43" s="251">
        <f>'[2]Sun Country'!$JH$19</f>
        <v>2089</v>
      </c>
      <c r="E43" s="252">
        <f>(C43-D43)/D43</f>
        <v>-0.13355672570607946</v>
      </c>
      <c r="F43" s="251">
        <f>SUM('[2]Sun Country'!$JV$19:$JV$19)</f>
        <v>1810</v>
      </c>
      <c r="G43" s="251">
        <f>SUM('[2]Sun Country'!$JH$19:$JH$19)</f>
        <v>2089</v>
      </c>
      <c r="H43" s="250">
        <f>(F43-G43)/G43</f>
        <v>-0.13355672570607946</v>
      </c>
      <c r="I43" s="252">
        <f>F43/$F$56</f>
        <v>7.8767570390356409E-2</v>
      </c>
      <c r="J43" s="248" t="s">
        <v>49</v>
      </c>
      <c r="K43" s="37"/>
      <c r="L43" s="249">
        <f>'[2]Sun Country'!$JV$41</f>
        <v>259896</v>
      </c>
      <c r="M43" s="251">
        <f>'[2]Sun Country'!$JH$41</f>
        <v>256789</v>
      </c>
      <c r="N43" s="252">
        <f>(L43-M43)/M43</f>
        <v>1.2099427934997216E-2</v>
      </c>
      <c r="O43" s="249">
        <f>SUM('[2]Sun Country'!$JV$41:$JV$41)</f>
        <v>259896</v>
      </c>
      <c r="P43" s="251">
        <f>SUM('[2]Sun Country'!$JH$41:$JH$41)</f>
        <v>256789</v>
      </c>
      <c r="Q43" s="250">
        <f>(O43-P43)/P43</f>
        <v>1.2099427934997216E-2</v>
      </c>
      <c r="R43" s="252">
        <f>O43/$O$56</f>
        <v>0.10922276239081759</v>
      </c>
      <c r="S43" s="248" t="s">
        <v>49</v>
      </c>
      <c r="T43" s="37"/>
      <c r="U43" s="249">
        <f>'[2]Sun Country'!$JV$64</f>
        <v>0</v>
      </c>
      <c r="V43" s="251">
        <f>'[2]Sun Country'!$JH$64</f>
        <v>0</v>
      </c>
      <c r="W43" s="252">
        <f>IFERROR((U43-V43)/V43,0)</f>
        <v>0</v>
      </c>
      <c r="X43" s="249">
        <f>SUM('[2]Sun Country'!$JV$64:$JV$64)</f>
        <v>0</v>
      </c>
      <c r="Y43" s="251">
        <f>SUM('[2]Sun Country'!$JH$64:$JH$64)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'[2]Sun Country'!$JV$43</f>
        <v>265892</v>
      </c>
      <c r="AE43" s="251">
        <f>'[2]Sun Country'!$JH$43</f>
        <v>262084</v>
      </c>
      <c r="AF43" s="252">
        <f>(AD43-AE43)/AE43</f>
        <v>1.4529692770256864E-2</v>
      </c>
      <c r="AG43" s="249">
        <f>SUM('[2]Sun Country'!$JV$43:$JV$43)</f>
        <v>265892</v>
      </c>
      <c r="AH43" s="251">
        <f>SUM('[2]Sun Country'!$JH$43:$JH$43)</f>
        <v>262084</v>
      </c>
      <c r="AI43" s="250">
        <f>(AG43-AH43)/AH43</f>
        <v>1.4529692770256864E-2</v>
      </c>
      <c r="AJ43" s="252">
        <f>AG43/$AG$56</f>
        <v>0.10795614875253912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19</v>
      </c>
      <c r="B45" s="255"/>
      <c r="C45" s="249">
        <f>SUM(C46:C49)</f>
        <v>1004</v>
      </c>
      <c r="D45" s="251">
        <f>SUM(D46:D49)</f>
        <v>1052</v>
      </c>
      <c r="E45" s="252">
        <f t="shared" ref="E45:E49" si="42">(C45-D45)/D45</f>
        <v>-4.5627376425855515E-2</v>
      </c>
      <c r="F45" s="251">
        <f>SUM(F46:F49)</f>
        <v>1004</v>
      </c>
      <c r="G45" s="251">
        <f>SUM(G46:G49)</f>
        <v>1052</v>
      </c>
      <c r="H45" s="250">
        <f t="shared" ref="H45:H49" si="43">(F45-G45)/G45</f>
        <v>-4.5627376425855515E-2</v>
      </c>
      <c r="I45" s="252">
        <f>F45/$F$56</f>
        <v>4.3692066669567868E-2</v>
      </c>
      <c r="J45" s="248" t="s">
        <v>19</v>
      </c>
      <c r="K45" s="255"/>
      <c r="L45" s="249">
        <f>SUM(L46:L49)</f>
        <v>101813</v>
      </c>
      <c r="M45" s="251">
        <f>SUM(M46:M49)</f>
        <v>104235</v>
      </c>
      <c r="N45" s="252">
        <f t="shared" ref="N45:N49" si="44">(L45-M45)/M45</f>
        <v>-2.3235957212068881E-2</v>
      </c>
      <c r="O45" s="249">
        <f>SUM(O46:O49)</f>
        <v>101813</v>
      </c>
      <c r="P45" s="251">
        <f>SUM(P46:P49)</f>
        <v>104235</v>
      </c>
      <c r="Q45" s="250">
        <f t="shared" ref="Q45:Q49" si="45">(O45-P45)/P45</f>
        <v>-2.3235957212068881E-2</v>
      </c>
      <c r="R45" s="252">
        <f>O45/$O$56</f>
        <v>4.2787488484995195E-2</v>
      </c>
      <c r="S45" s="248" t="s">
        <v>19</v>
      </c>
      <c r="T45" s="255"/>
      <c r="U45" s="249">
        <f>SUM(U46:U49)</f>
        <v>361196</v>
      </c>
      <c r="V45" s="251">
        <f>SUM(V46:V49)</f>
        <v>13175</v>
      </c>
      <c r="W45" s="252">
        <f t="shared" ref="W45:W46" si="46">(U45-V45)/V45</f>
        <v>26.415256166982921</v>
      </c>
      <c r="X45" s="249">
        <f>SUM(X46:X49)</f>
        <v>361196</v>
      </c>
      <c r="Y45" s="251">
        <f>SUM(Y46:Y49)</f>
        <v>13175</v>
      </c>
      <c r="Z45" s="250">
        <f t="shared" ref="Z45:Z46" si="47">(X45-Y45)/Y45</f>
        <v>26.415256166982921</v>
      </c>
      <c r="AA45" s="252">
        <f>X45/$X$56</f>
        <v>5.8906216989239514E-2</v>
      </c>
      <c r="AB45" s="248" t="s">
        <v>19</v>
      </c>
      <c r="AC45" s="255"/>
      <c r="AD45" s="249">
        <f>SUM(AD46:AD49)</f>
        <v>106493</v>
      </c>
      <c r="AE45" s="251">
        <f>SUM(AE46:AE49)</f>
        <v>109390</v>
      </c>
      <c r="AF45" s="252">
        <f t="shared" ref="AF45:AF49" si="48">(AD45-AE45)/AE45</f>
        <v>-2.648322515769266E-2</v>
      </c>
      <c r="AG45" s="249">
        <f>SUM(AG46:AG49)</f>
        <v>106493</v>
      </c>
      <c r="AH45" s="251">
        <f>SUM(AH46:AH49)</f>
        <v>109390</v>
      </c>
      <c r="AI45" s="250">
        <f t="shared" ref="AI45:AI49" si="49">(AG45-AH45)/AH45</f>
        <v>-2.648322515769266E-2</v>
      </c>
      <c r="AJ45" s="252">
        <f>AG45/$AG$56</f>
        <v>4.3237758748304378E-2</v>
      </c>
    </row>
    <row r="46" spans="1:36" ht="14.1" customHeight="1" x14ac:dyDescent="0.2">
      <c r="A46" s="36"/>
      <c r="B46" s="308" t="s">
        <v>19</v>
      </c>
      <c r="C46" s="253">
        <f>[2]United!$JV$19</f>
        <v>715</v>
      </c>
      <c r="D46" s="2">
        <f>[2]United!$JH$19+[2]Continental!$JH$19</f>
        <v>709</v>
      </c>
      <c r="E46" s="63">
        <f t="shared" si="42"/>
        <v>8.4626234132581107E-3</v>
      </c>
      <c r="F46" s="2">
        <f>SUM([2]United!$JV$19:$JV$19)</f>
        <v>715</v>
      </c>
      <c r="G46" s="2">
        <f>SUM([2]United!$JH$19:$JH$19)+SUM([2]Continental!$JH$19:$JH$19)</f>
        <v>709</v>
      </c>
      <c r="H46" s="3">
        <f t="shared" si="43"/>
        <v>8.4626234132581107E-3</v>
      </c>
      <c r="I46" s="63">
        <f>F46/$F$56</f>
        <v>3.1115366203925323E-2</v>
      </c>
      <c r="J46" s="36"/>
      <c r="K46" s="308" t="s">
        <v>19</v>
      </c>
      <c r="L46" s="253">
        <f>[2]United!$JV$41</f>
        <v>83983</v>
      </c>
      <c r="M46" s="2">
        <f>[2]United!$JH$41+[2]Continental!$JH$41</f>
        <v>83717</v>
      </c>
      <c r="N46" s="63">
        <f t="shared" si="44"/>
        <v>3.1773713821565512E-3</v>
      </c>
      <c r="O46" s="253">
        <f>SUM([2]United!$JV$41:$JV$41)</f>
        <v>83983</v>
      </c>
      <c r="P46" s="2">
        <f>SUM([2]United!$JH$41:$JH$41)+SUM([2]Continental!$JH$41:$JH$41)</f>
        <v>83717</v>
      </c>
      <c r="Q46" s="3">
        <f t="shared" si="45"/>
        <v>3.1773713821565512E-3</v>
      </c>
      <c r="R46" s="63">
        <f>O46/$O$56</f>
        <v>3.5294330246975841E-2</v>
      </c>
      <c r="S46" s="36"/>
      <c r="T46" s="308" t="s">
        <v>19</v>
      </c>
      <c r="U46" s="253">
        <f>[2]United!$JV$64</f>
        <v>361196</v>
      </c>
      <c r="V46" s="2">
        <f>[2]United!$JH$64+[2]Continental!$JH$64</f>
        <v>13175</v>
      </c>
      <c r="W46" s="63">
        <f t="shared" si="46"/>
        <v>26.415256166982921</v>
      </c>
      <c r="X46" s="253">
        <f>SUM([2]United!$JV$64:$JV$64)</f>
        <v>361196</v>
      </c>
      <c r="Y46" s="2">
        <f>SUM([2]United!$JH$64:$JH$64)+SUM([2]Continental!$JH$64:$JH$64)</f>
        <v>13175</v>
      </c>
      <c r="Z46" s="3">
        <f t="shared" si="47"/>
        <v>26.415256166982921</v>
      </c>
      <c r="AA46" s="63">
        <f>X46/$X$56</f>
        <v>5.8906216989239514E-2</v>
      </c>
      <c r="AB46" s="36"/>
      <c r="AC46" s="308" t="s">
        <v>19</v>
      </c>
      <c r="AD46" s="253">
        <f>[2]United!$JV$43</f>
        <v>87893</v>
      </c>
      <c r="AE46" s="2">
        <f>[2]United!$JH$43+[2]Continental!$JH$43</f>
        <v>88048</v>
      </c>
      <c r="AF46" s="63">
        <f t="shared" si="48"/>
        <v>-1.7604034163183717E-3</v>
      </c>
      <c r="AG46" s="253">
        <f>SUM([2]United!$JV$43:$JV$43)</f>
        <v>87893</v>
      </c>
      <c r="AH46" s="2">
        <f>SUM([2]United!$JH$43:$JH$43)+SUM([2]Continental!$JH$43:$JH$43)</f>
        <v>88048</v>
      </c>
      <c r="AI46" s="3">
        <f t="shared" si="49"/>
        <v>-1.7604034163183717E-3</v>
      </c>
      <c r="AJ46" s="63">
        <f>AG46/$AG$56</f>
        <v>3.568587916261836E-2</v>
      </c>
    </row>
    <row r="47" spans="1:36" ht="14.1" customHeight="1" x14ac:dyDescent="0.2">
      <c r="A47" s="36"/>
      <c r="B47" s="37" t="s">
        <v>50</v>
      </c>
      <c r="C47" s="253">
        <f>[2]MESA_UA!$JV$19</f>
        <v>92</v>
      </c>
      <c r="D47" s="2">
        <f>[2]MESA_UA!$JH$19</f>
        <v>80</v>
      </c>
      <c r="E47" s="63">
        <f t="shared" si="42"/>
        <v>0.15</v>
      </c>
      <c r="F47" s="2">
        <f>SUM([2]MESA_UA!$JV$19:$JV$19)</f>
        <v>92</v>
      </c>
      <c r="G47" s="2">
        <f>SUM([2]MESA_UA!$JH$19:$JH$19)</f>
        <v>80</v>
      </c>
      <c r="H47" s="3">
        <f>(F47-G47)/G47</f>
        <v>0.15</v>
      </c>
      <c r="I47" s="63">
        <f>F47/$F$56</f>
        <v>4.0036555115540275E-3</v>
      </c>
      <c r="J47" s="36"/>
      <c r="K47" s="37" t="s">
        <v>50</v>
      </c>
      <c r="L47" s="253">
        <f>[2]MESA_UA!$JV$41</f>
        <v>5450</v>
      </c>
      <c r="M47" s="2">
        <f>[2]MESA_UA!$JH$41</f>
        <v>4677</v>
      </c>
      <c r="N47" s="63">
        <f t="shared" si="44"/>
        <v>0.16527688689330769</v>
      </c>
      <c r="O47" s="253">
        <f>SUM([2]MESA_UA!$JV$41:$JV$41)</f>
        <v>5450</v>
      </c>
      <c r="P47" s="2">
        <f>SUM([2]MESA_UA!$JH$41:$JH$41)</f>
        <v>4677</v>
      </c>
      <c r="Q47" s="3">
        <f t="shared" si="45"/>
        <v>0.16527688689330769</v>
      </c>
      <c r="R47" s="63">
        <f>O47/$O$56</f>
        <v>2.2903932920474183E-3</v>
      </c>
      <c r="S47" s="36"/>
      <c r="T47" s="37" t="s">
        <v>50</v>
      </c>
      <c r="U47" s="253">
        <f>[2]MESA_UA!$JV$64</f>
        <v>0</v>
      </c>
      <c r="V47" s="2">
        <f>[2]MESA_UA!$JH$64</f>
        <v>0</v>
      </c>
      <c r="W47" s="63">
        <f>IFERROR((U47-V47)/V47,0)</f>
        <v>0</v>
      </c>
      <c r="X47" s="253">
        <f>SUM([2]MESA_UA!$JV$64:$JV$64)</f>
        <v>0</v>
      </c>
      <c r="Y47" s="2">
        <f>SUM([2]MESA_UA!$JH$64:$JH$64)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[2]MESA_UA!$JV$43</f>
        <v>5693</v>
      </c>
      <c r="AE47" s="2">
        <f>[2]MESA_UA!$JH$43</f>
        <v>4855</v>
      </c>
      <c r="AF47" s="63">
        <f t="shared" si="48"/>
        <v>0.172605561277034</v>
      </c>
      <c r="AG47" s="253">
        <f>SUM([2]MESA_UA!$JV$43:$JV$43)</f>
        <v>5693</v>
      </c>
      <c r="AH47" s="2">
        <f>SUM([2]MESA_UA!$JH$43:$JH$43)</f>
        <v>4855</v>
      </c>
      <c r="AI47" s="3">
        <f t="shared" si="49"/>
        <v>0.172605561277034</v>
      </c>
      <c r="AJ47" s="63">
        <f>AG47/$AG$56</f>
        <v>2.3114435742640064E-3</v>
      </c>
    </row>
    <row r="48" spans="1:36" ht="14.1" customHeight="1" x14ac:dyDescent="0.2">
      <c r="A48" s="36"/>
      <c r="B48" s="308" t="s">
        <v>51</v>
      </c>
      <c r="C48" s="253">
        <f>[2]Republic_UA!$JV$19</f>
        <v>143</v>
      </c>
      <c r="D48" s="2">
        <f>[2]Republic_UA!$JH$19</f>
        <v>189</v>
      </c>
      <c r="E48" s="63">
        <f t="shared" si="42"/>
        <v>-0.24338624338624337</v>
      </c>
      <c r="F48" s="2">
        <f>SUM([2]Republic_UA!$JV$19:$JV$19)</f>
        <v>143</v>
      </c>
      <c r="G48" s="2">
        <f>SUM([2]Republic_UA!$JH$19:$JH$19)</f>
        <v>189</v>
      </c>
      <c r="H48" s="3">
        <f t="shared" ref="H48" si="51">(F48-G48)/G48</f>
        <v>-0.24338624338624337</v>
      </c>
      <c r="I48" s="63">
        <f>F48/$F$56</f>
        <v>6.2230732407850646E-3</v>
      </c>
      <c r="J48" s="36"/>
      <c r="K48" s="308" t="s">
        <v>51</v>
      </c>
      <c r="L48" s="253">
        <f>[2]Republic_UA!$JV$41</f>
        <v>8514</v>
      </c>
      <c r="M48" s="2">
        <f>[2]Republic_UA!$JH$41</f>
        <v>11341</v>
      </c>
      <c r="N48" s="63">
        <f t="shared" si="44"/>
        <v>-0.24927255092143549</v>
      </c>
      <c r="O48" s="253">
        <f>SUM([2]Republic_UA!$JV$41:$JV$41)</f>
        <v>8514</v>
      </c>
      <c r="P48" s="2">
        <f>SUM([2]Republic_UA!$JH$41:$JH$41)</f>
        <v>11341</v>
      </c>
      <c r="Q48" s="3">
        <f t="shared" si="45"/>
        <v>-0.24927255092143549</v>
      </c>
      <c r="R48" s="63">
        <f>O48/$O$56</f>
        <v>3.5780566033929758E-3</v>
      </c>
      <c r="S48" s="36"/>
      <c r="T48" s="308" t="s">
        <v>51</v>
      </c>
      <c r="U48" s="253">
        <f>[2]Republic_UA!$JV$64</f>
        <v>0</v>
      </c>
      <c r="V48" s="2">
        <f>[2]Republic_UA!$JH$64</f>
        <v>0</v>
      </c>
      <c r="W48" s="63">
        <f>IFERROR((U48-V48)/V48,0)</f>
        <v>0</v>
      </c>
      <c r="X48" s="253">
        <f>SUM([2]Republic_UA!$JV$64:$JV$64)</f>
        <v>0</v>
      </c>
      <c r="Y48" s="2">
        <f>SUM([2]Republic_UA!$JH$64:$JH$64)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[2]Republic_UA!$JV$43</f>
        <v>8870</v>
      </c>
      <c r="AE48" s="2">
        <f>[2]Republic_UA!$JH$43</f>
        <v>11790</v>
      </c>
      <c r="AF48" s="63">
        <f t="shared" si="48"/>
        <v>-0.24766751484308736</v>
      </c>
      <c r="AG48" s="253">
        <f>SUM([2]Republic_UA!$JV$43:$JV$43)</f>
        <v>8870</v>
      </c>
      <c r="AH48" s="2">
        <f>SUM([2]Republic_UA!$JH$43:$JH$43)</f>
        <v>11790</v>
      </c>
      <c r="AI48" s="3">
        <f t="shared" si="49"/>
        <v>-0.24766751484308736</v>
      </c>
      <c r="AJ48" s="63">
        <f>AG48/$AG$56</f>
        <v>3.6013533293029576E-3</v>
      </c>
    </row>
    <row r="49" spans="1:36" ht="14.1" customHeight="1" x14ac:dyDescent="0.2">
      <c r="A49" s="36"/>
      <c r="B49" s="37" t="s">
        <v>96</v>
      </c>
      <c r="C49" s="253">
        <f>'[2]Sky West_UA'!$JV$19</f>
        <v>54</v>
      </c>
      <c r="D49" s="2">
        <f>'[2]Sky West_UA'!$JH$19+'[2]Sky West_CO'!$JH$19</f>
        <v>74</v>
      </c>
      <c r="E49" s="63">
        <f t="shared" si="42"/>
        <v>-0.27027027027027029</v>
      </c>
      <c r="F49" s="2">
        <f>SUM('[2]Sky West_UA'!$JV$19:$JV$19)</f>
        <v>54</v>
      </c>
      <c r="G49" s="2">
        <f>SUM('[2]Sky West_UA'!$JH$19:$JH$19)+SUM('[2]Sky West_CO'!$JH$19:$JH$19)</f>
        <v>74</v>
      </c>
      <c r="H49" s="3">
        <f t="shared" si="43"/>
        <v>-0.27027027027027029</v>
      </c>
      <c r="I49" s="63">
        <f>F49/$F$56</f>
        <v>2.3499717133034508E-3</v>
      </c>
      <c r="J49" s="36"/>
      <c r="K49" s="37" t="s">
        <v>96</v>
      </c>
      <c r="L49" s="253">
        <f>'[2]Sky West_UA'!$JV$41</f>
        <v>3866</v>
      </c>
      <c r="M49" s="2">
        <f>'[2]Sky West_UA'!$JH$41+'[2]Sky West_CO'!$JH$41</f>
        <v>4500</v>
      </c>
      <c r="N49" s="63">
        <f t="shared" si="44"/>
        <v>-0.1408888888888889</v>
      </c>
      <c r="O49" s="253">
        <f>SUM('[2]Sky West_UA'!$JV$41:$JV$41)</f>
        <v>3866</v>
      </c>
      <c r="P49" s="2">
        <f>SUM('[2]Sky West_UA'!$JH$41:$JH$41)+SUM('[2]Sky West_CO'!$JH$41:$JH$41)</f>
        <v>4500</v>
      </c>
      <c r="Q49" s="3">
        <f t="shared" si="45"/>
        <v>-0.1408888888888889</v>
      </c>
      <c r="R49" s="63">
        <f>O49/$O$56</f>
        <v>1.6247083425789577E-3</v>
      </c>
      <c r="S49" s="36"/>
      <c r="T49" s="37" t="s">
        <v>96</v>
      </c>
      <c r="U49" s="253">
        <f>'[2]Sky West_UA'!$JV$64</f>
        <v>0</v>
      </c>
      <c r="V49" s="2">
        <f>'[2]Sky West_UA'!$JH$64+'[2]Sky West_CO'!$JH$64</f>
        <v>0</v>
      </c>
      <c r="W49" s="63">
        <f>IFERROR((U49-V49)/V49,0)</f>
        <v>0</v>
      </c>
      <c r="X49" s="253">
        <f>SUM('[2]Sky West_UA'!$JV$64:$JV$64)</f>
        <v>0</v>
      </c>
      <c r="Y49" s="2">
        <f>SUM('[2]Sky West_UA'!$JH$64:$JH$64)+SUM('[2]Sky West_CO'!$JH$64:$JH$64)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'[2]Sky West_UA'!$JV$43</f>
        <v>4037</v>
      </c>
      <c r="AE49" s="2">
        <f>'[2]Sky West_UA'!$JH$43+'[2]Sky West_CO'!$JH$43</f>
        <v>4697</v>
      </c>
      <c r="AF49" s="63">
        <f t="shared" si="48"/>
        <v>-0.14051522248243559</v>
      </c>
      <c r="AG49" s="253">
        <f>SUM('[2]Sky West_UA'!$JV$43:$JV$43)</f>
        <v>4037</v>
      </c>
      <c r="AH49" s="2">
        <f>SUM('[2]Sky West_UA'!$JH$43:$JH$43)+SUM('[2]Sky West_CO'!$JH$43:$JH$43)</f>
        <v>4697</v>
      </c>
      <c r="AI49" s="3">
        <f t="shared" si="49"/>
        <v>-0.14051522248243559</v>
      </c>
      <c r="AJ49" s="63">
        <f>AG49/$AG$56</f>
        <v>1.6390826821190575E-3</v>
      </c>
    </row>
    <row r="50" spans="1:36" ht="14.1" customHeight="1" x14ac:dyDescent="0.2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">
      <c r="A51" s="248" t="s">
        <v>209</v>
      </c>
      <c r="B51" s="256"/>
      <c r="C51" s="249">
        <f>[2]WestJet!$JV$19</f>
        <v>122</v>
      </c>
      <c r="D51" s="251">
        <f>[2]WestJet!$JH$19</f>
        <v>128</v>
      </c>
      <c r="E51" s="252">
        <f>(C51-D51)/D51</f>
        <v>-4.6875E-2</v>
      </c>
      <c r="F51" s="251">
        <f>SUM([2]WestJet!$JV$19:$JV$19)</f>
        <v>122</v>
      </c>
      <c r="G51" s="251">
        <f>SUM([2]WestJet!$JH$19:$JH$19)</f>
        <v>128</v>
      </c>
      <c r="H51" s="250">
        <f>(F51-G51)/G51</f>
        <v>-4.6875E-2</v>
      </c>
      <c r="I51" s="252">
        <f>F51/$F$56</f>
        <v>5.3091953522781668E-3</v>
      </c>
      <c r="J51" s="248" t="s">
        <v>209</v>
      </c>
      <c r="K51" s="37"/>
      <c r="L51" s="249">
        <f>[2]WestJet!$JV$41</f>
        <v>9254</v>
      </c>
      <c r="M51" s="251">
        <f>[2]WestJet!$JH$41</f>
        <v>9844</v>
      </c>
      <c r="N51" s="252">
        <f>(L51-M51)/M51</f>
        <v>-5.9934985778138966E-2</v>
      </c>
      <c r="O51" s="249">
        <f>SUM([2]WestJet!$JV$41:$JV$41)</f>
        <v>9254</v>
      </c>
      <c r="P51" s="251">
        <f>SUM([2]WestJet!$JH$41:$JH$41)</f>
        <v>9844</v>
      </c>
      <c r="Q51" s="250">
        <f>(O51-P51)/P51</f>
        <v>-5.9934985778138966E-2</v>
      </c>
      <c r="R51" s="252">
        <f>O51/$O$56</f>
        <v>3.8890457843315245E-3</v>
      </c>
      <c r="S51" s="248" t="s">
        <v>209</v>
      </c>
      <c r="T51" s="37"/>
      <c r="U51" s="249">
        <f>[2]WestJet!$JV$64</f>
        <v>0</v>
      </c>
      <c r="V51" s="251">
        <f>[2]WestJet!$JH$64</f>
        <v>0</v>
      </c>
      <c r="W51" s="252">
        <f>IFERROR((U51-V51)/V51,0)</f>
        <v>0</v>
      </c>
      <c r="X51" s="249">
        <f>SUM([2]WestJet!$JV$64:$JV$64)</f>
        <v>0</v>
      </c>
      <c r="Y51" s="251">
        <f>SUM([2]WestJet!$JH$64:$JH$64)</f>
        <v>0</v>
      </c>
      <c r="Z51" s="250">
        <f>IFERROR((X51-Y51)/Y51,0)</f>
        <v>0</v>
      </c>
      <c r="AA51" s="252">
        <f>X51/$X$56</f>
        <v>0</v>
      </c>
      <c r="AB51" s="248" t="s">
        <v>209</v>
      </c>
      <c r="AC51" s="37"/>
      <c r="AD51" s="249">
        <f>[2]WestJet!$JV$43</f>
        <v>9255</v>
      </c>
      <c r="AE51" s="251">
        <f>[2]WestJet!$JH$43</f>
        <v>9849</v>
      </c>
      <c r="AF51" s="252">
        <f>(AD51-AE51)/AE51</f>
        <v>-6.0310691440755404E-2</v>
      </c>
      <c r="AG51" s="249">
        <f>SUM([2]WestJet!$JV$43:$JV$43)</f>
        <v>9255</v>
      </c>
      <c r="AH51" s="251">
        <f>SUM([2]WestJet!$JH$43:$JH$43)</f>
        <v>9849</v>
      </c>
      <c r="AI51" s="250">
        <f>(AG51-AH51)/AH51</f>
        <v>-6.0310691440755404E-2</v>
      </c>
      <c r="AJ51" s="252">
        <f>AG51/$AG$56</f>
        <v>3.7576691164260285E-3</v>
      </c>
    </row>
    <row r="52" spans="1:36" ht="14.1" customHeight="1" thickBot="1" x14ac:dyDescent="0.25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25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">
      <c r="B54" s="264" t="s">
        <v>130</v>
      </c>
      <c r="C54" s="317">
        <f>+C56-C55</f>
        <v>14945</v>
      </c>
      <c r="D54" s="449">
        <f>+D56-D55</f>
        <v>16162</v>
      </c>
      <c r="E54" s="318">
        <f>(C54-D54)/D54</f>
        <v>-7.53000866229427E-2</v>
      </c>
      <c r="F54" s="317">
        <f>+F56-F55</f>
        <v>14945</v>
      </c>
      <c r="G54" s="449">
        <f>+G56-G55</f>
        <v>16162</v>
      </c>
      <c r="H54" s="318">
        <f>(F54-G54)/G54</f>
        <v>-7.53000866229427E-2</v>
      </c>
      <c r="I54" s="342">
        <f>F54/$F$56</f>
        <v>0.65037643065407547</v>
      </c>
      <c r="K54" s="264" t="s">
        <v>130</v>
      </c>
      <c r="L54" s="317">
        <f>+L56-L55</f>
        <v>1967405</v>
      </c>
      <c r="M54" s="449">
        <f>+M56-M55</f>
        <v>2069087</v>
      </c>
      <c r="N54" s="318">
        <f>(L54-M54)/M54</f>
        <v>-4.9143414462514141E-2</v>
      </c>
      <c r="O54" s="317">
        <f>+O56-O55</f>
        <v>1967405</v>
      </c>
      <c r="P54" s="449">
        <f>+P56-P55</f>
        <v>2069087</v>
      </c>
      <c r="Q54" s="340">
        <f>(O54-P54)/P54</f>
        <v>-4.9143414462514141E-2</v>
      </c>
      <c r="R54" s="386">
        <f>+O54/O56</f>
        <v>0.82681306692487178</v>
      </c>
      <c r="S54" s="3"/>
      <c r="T54" s="264" t="s">
        <v>130</v>
      </c>
      <c r="U54" s="317">
        <f>+U56-U55</f>
        <v>6123369.6200000001</v>
      </c>
      <c r="V54" s="449">
        <f>+V56-V55</f>
        <v>5922433</v>
      </c>
      <c r="W54" s="318">
        <f>(U54-V54)/V54</f>
        <v>3.392805287961892E-2</v>
      </c>
      <c r="X54" s="317">
        <f>+X56-X55</f>
        <v>6123369.6200000001</v>
      </c>
      <c r="Y54" s="449">
        <f>+Y56-Y55</f>
        <v>5922433</v>
      </c>
      <c r="Z54" s="340">
        <f>(X54-Y54)/Y54</f>
        <v>3.392805287961892E-2</v>
      </c>
      <c r="AA54" s="386">
        <f>+X54/X56</f>
        <v>0.99863935243202329</v>
      </c>
      <c r="AB54" s="3"/>
      <c r="AC54" s="264" t="s">
        <v>130</v>
      </c>
      <c r="AD54" s="317">
        <f>+AD56-AD55</f>
        <v>2036020</v>
      </c>
      <c r="AE54" s="449">
        <f>+AE56-AE55</f>
        <v>2135730</v>
      </c>
      <c r="AF54" s="342">
        <f>(AD54-AE54)/AE54</f>
        <v>-4.6686613008198603E-2</v>
      </c>
      <c r="AG54" s="317">
        <f>+AG56-AG55</f>
        <v>2036020</v>
      </c>
      <c r="AH54" s="449">
        <f>+AH56-AH55</f>
        <v>2135730</v>
      </c>
      <c r="AI54" s="342">
        <f>(AG54-AH54)/AH54</f>
        <v>-4.6686613008198603E-2</v>
      </c>
      <c r="AJ54" s="386">
        <f>+AG54/AG56</f>
        <v>0.82665472441120713</v>
      </c>
    </row>
    <row r="55" spans="1:36" ht="14.1" customHeight="1" x14ac:dyDescent="0.2">
      <c r="B55" s="163" t="s">
        <v>131</v>
      </c>
      <c r="C55" s="319">
        <f>+C29+C28+C19+C49+C47+C20+C48+C21+C22+C6</f>
        <v>8034</v>
      </c>
      <c r="D55" s="450">
        <f>+D29+D28+D19+D49+D47+D20+D48+D21+D22+D6</f>
        <v>7858</v>
      </c>
      <c r="E55" s="265">
        <f>(C55-D55)/D55</f>
        <v>2.2397556630185798E-2</v>
      </c>
      <c r="F55" s="319">
        <f>+F29+F28+F19+F49+F47+F20+F48+F21+F22+F6</f>
        <v>8034</v>
      </c>
      <c r="G55" s="450">
        <f>+G29+G28+G19+G49+G47+G20+G48+G21+G22+G6</f>
        <v>7858</v>
      </c>
      <c r="H55" s="265">
        <f>(F55-G55)/G55</f>
        <v>2.2397556630185798E-2</v>
      </c>
      <c r="I55" s="343">
        <f>F55/$F$56</f>
        <v>0.34962356934592453</v>
      </c>
      <c r="K55" s="163" t="s">
        <v>131</v>
      </c>
      <c r="L55" s="319">
        <f>+L29+L28+L19+L49+L47+L20+L48+L21+L22+L6</f>
        <v>412099</v>
      </c>
      <c r="M55" s="450">
        <f>+M29+M28+M19+M49+M47+M20+M48+M21+M22+M6</f>
        <v>406985</v>
      </c>
      <c r="N55" s="265">
        <f>(L55-M55)/M55</f>
        <v>1.2565573669791269E-2</v>
      </c>
      <c r="O55" s="319">
        <f>+O29+O28+O19+O49+O47+O20+O48+O21+O22+O6</f>
        <v>412099</v>
      </c>
      <c r="P55" s="450">
        <f>+P29+P28+P19+P49+P47+P20+P48+P21+P22+P6</f>
        <v>406985</v>
      </c>
      <c r="Q55" s="339">
        <f>(O55-P55)/P55</f>
        <v>1.2565573669791269E-2</v>
      </c>
      <c r="R55" s="387">
        <f>+O55/O56</f>
        <v>0.17318693307512825</v>
      </c>
      <c r="S55" s="3"/>
      <c r="T55" s="163" t="s">
        <v>131</v>
      </c>
      <c r="U55" s="319">
        <f>+U29+U28+U19+U49+U47+U20+U48+U21+U22+U6</f>
        <v>8343.1</v>
      </c>
      <c r="V55" s="450">
        <f>+V29+V28+V19+V49+V47+V20+V48+V21+V22+V6</f>
        <v>14833.7</v>
      </c>
      <c r="W55" s="265">
        <f>(U55-V55)/V55</f>
        <v>-0.43755772329223325</v>
      </c>
      <c r="X55" s="319">
        <f>+X29+X28+X19+X49+X47+X20+X48+X21+X22+X6</f>
        <v>8343.1</v>
      </c>
      <c r="Y55" s="450">
        <f>+Y29+Y28+Y19+Y49+Y47+Y20+Y48+Y21+Y22+Y6</f>
        <v>14833.7</v>
      </c>
      <c r="Z55" s="339">
        <f>(X55-Y55)/Y55</f>
        <v>-0.43755772329223325</v>
      </c>
      <c r="AA55" s="387">
        <f>+X55/X56</f>
        <v>1.3606475679767333E-3</v>
      </c>
      <c r="AB55" s="3"/>
      <c r="AC55" s="163" t="s">
        <v>131</v>
      </c>
      <c r="AD55" s="319">
        <f>+AD29+AD28+AD19+AD49+AD47+AD20+AD48+AD21+AD22+AD6</f>
        <v>426943</v>
      </c>
      <c r="AE55" s="450">
        <f>+AE29+AE28+AE19+AE49+AE47+AE20+AE48+AE21+AE22+AE6</f>
        <v>420578</v>
      </c>
      <c r="AF55" s="343">
        <f>(AD55-AE55)/AE55</f>
        <v>1.5133934727922051E-2</v>
      </c>
      <c r="AG55" s="319">
        <f>+AG29+AG28+AG19+AG49+AG47+AG20+AG48+AG21+AG22+AG6</f>
        <v>426943</v>
      </c>
      <c r="AH55" s="450">
        <f>+AH29+AH28+AH19+AH49+AH47+AH20+AH48+AH21+AH22+AH6</f>
        <v>420578</v>
      </c>
      <c r="AI55" s="343">
        <f>(AG55-AH55)/AH55</f>
        <v>1.5133934727922051E-2</v>
      </c>
      <c r="AJ55" s="387">
        <f>+AG55/AG56</f>
        <v>0.17334527558879284</v>
      </c>
    </row>
    <row r="56" spans="1:36" ht="14.1" customHeight="1" thickBot="1" x14ac:dyDescent="0.25">
      <c r="B56" s="163" t="s">
        <v>132</v>
      </c>
      <c r="C56" s="320">
        <f>C45+C43+C39+C33+C31+C26+C17+C14+C4+C41+C35+C8+C24+C12+C51+C10+C37</f>
        <v>22979</v>
      </c>
      <c r="D56" s="447">
        <f>D45+D43+D39+D33+D31+D26+D17+D14+D4+D41+D35+D8+D24+D12+D51+D10+D37</f>
        <v>24020</v>
      </c>
      <c r="E56" s="321">
        <f>(C56-D56)/D56</f>
        <v>-4.3338884263114073E-2</v>
      </c>
      <c r="F56" s="320">
        <f>F45+F43+F39+F33+F31+F26+F17+F14+F4+F41+F35+F8+F24+F12+F51+F10+F37</f>
        <v>22979</v>
      </c>
      <c r="G56" s="447">
        <f>G45+G43+G39+G33+G31+G26+G17+G14+G4+G41+G35+G8+G24+G12+G51+G10+G37</f>
        <v>24020</v>
      </c>
      <c r="H56" s="321">
        <f>(F56-G56)/G56</f>
        <v>-4.3338884263114073E-2</v>
      </c>
      <c r="I56" s="344">
        <f>+H56/H56</f>
        <v>1</v>
      </c>
      <c r="K56" s="163" t="s">
        <v>132</v>
      </c>
      <c r="L56" s="320">
        <f>L45+L43+L39+L33+L31+L26+L17+L14+L4+L41+L35+L8+L24+L12+L51+L10+L37</f>
        <v>2379504</v>
      </c>
      <c r="M56" s="447">
        <f>M45+M43+M39+M33+M31+M26+M17+M14+M4+M41+M35+M8+M24+M12+M51+M10+M37</f>
        <v>2476072</v>
      </c>
      <c r="N56" s="321">
        <f>(L56-M56)/M56</f>
        <v>-3.900048140764889E-2</v>
      </c>
      <c r="O56" s="320">
        <f>O45+O43+O39+O33+O31+O26+O17+O14+O4+O41+O35+O8+O24+O12+O51+O10+O37</f>
        <v>2379504</v>
      </c>
      <c r="P56" s="447">
        <f>P45+P43+P39+P33+P31+P26+P17+P14+P4+P41+P35+P8+P24+P12+P51+P10+P37</f>
        <v>2476072</v>
      </c>
      <c r="Q56" s="385">
        <f>(O56-P56)/P56</f>
        <v>-3.900048140764889E-2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6131712.7199999997</v>
      </c>
      <c r="V56" s="447">
        <f>V45+V43+V39+V33+V31+V26+V17+V14+V4+V41+V35+V8+V24+V12+V51+V10+V37</f>
        <v>5937266.7000000002</v>
      </c>
      <c r="W56" s="321">
        <f>(U56-V56)/V56</f>
        <v>3.2750090205649604E-2</v>
      </c>
      <c r="X56" s="320">
        <f>X45+X43+X39+X33+X31+X26+X17+X14+X4+X41+X35+X8+X24+X12+X51+X10+X37</f>
        <v>6131712.7199999997</v>
      </c>
      <c r="Y56" s="447">
        <f>Y45+Y43+Y39+Y33+Y31+Y26+Y17+Y14+Y4+Y41+Y35+Y8+Y24+Y12+Y51+Y10+Y37</f>
        <v>5937266.7000000002</v>
      </c>
      <c r="Z56" s="385">
        <f>(X56-Y56)/Y56</f>
        <v>3.2750090205649604E-2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2462963</v>
      </c>
      <c r="AE56" s="447">
        <f>AE45+AE43+AE39+AE33+AE31+AE26+AE17+AE14+AE4+AE41+AE35+AE8+AE24+AE12+AE51+AE10+AE37</f>
        <v>2556308</v>
      </c>
      <c r="AF56" s="344">
        <f>(AD56-AE56)/AE56</f>
        <v>-3.6515552898946452E-2</v>
      </c>
      <c r="AG56" s="320">
        <f>AG45+AG43+AG39+AG33+AG31+AG26+AG17+AG14+AG4+AG41+AG35+AG8+AG24+AG12+AG51+AG10+AG37</f>
        <v>2462963</v>
      </c>
      <c r="AH56" s="447">
        <f>AH45+AH43+AH39+AH33+AH31+AH26+AH17+AH14+AH4+AH41+AH35+AH8+AH24+AH12+AH51+AH10+AH37</f>
        <v>2556308</v>
      </c>
      <c r="AI56" s="344">
        <f>(AG56-AH56)/AH56</f>
        <v>-3.6515552898946452E-2</v>
      </c>
      <c r="AJ56" s="344">
        <f>+AI56/AI56</f>
        <v>1</v>
      </c>
    </row>
    <row r="57" spans="1:36" x14ac:dyDescent="0.2">
      <c r="D57" s="3"/>
      <c r="F57" s="2"/>
      <c r="G57"/>
      <c r="H57"/>
      <c r="I57"/>
      <c r="J57"/>
      <c r="K57"/>
      <c r="M57"/>
      <c r="N57"/>
    </row>
    <row r="58" spans="1:36" x14ac:dyDescent="0.2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">
      <c r="E62"/>
      <c r="F62" s="2"/>
      <c r="H62"/>
      <c r="I62"/>
      <c r="J62"/>
      <c r="K62"/>
      <c r="N62"/>
      <c r="O62" s="2"/>
      <c r="P62" s="2"/>
    </row>
    <row r="63" spans="1:36" x14ac:dyDescent="0.2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">
      <c r="D64" s="3"/>
      <c r="F64"/>
      <c r="G64"/>
      <c r="H64"/>
      <c r="I64"/>
      <c r="J64"/>
      <c r="K64"/>
      <c r="M64"/>
      <c r="N64"/>
      <c r="AD64" s="2"/>
    </row>
    <row r="65" spans="4:34" x14ac:dyDescent="0.2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">
      <c r="D66" s="3"/>
      <c r="F66"/>
      <c r="G66"/>
      <c r="H66"/>
      <c r="I66"/>
      <c r="J66"/>
      <c r="K66"/>
      <c r="L66"/>
      <c r="M66"/>
      <c r="N66"/>
    </row>
    <row r="67" spans="4:34" x14ac:dyDescent="0.2">
      <c r="D67" s="3"/>
      <c r="F67"/>
      <c r="G67"/>
      <c r="H67"/>
      <c r="I67"/>
      <c r="J67"/>
      <c r="K67"/>
      <c r="L67"/>
      <c r="M67"/>
      <c r="N67"/>
    </row>
    <row r="68" spans="4:34" x14ac:dyDescent="0.2">
      <c r="D68" s="3"/>
      <c r="F68"/>
      <c r="G68"/>
      <c r="H68"/>
      <c r="I68"/>
      <c r="J68"/>
      <c r="K68"/>
      <c r="L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F128" s="165"/>
      <c r="K128"/>
    </row>
    <row r="129" spans="6:11" x14ac:dyDescent="0.2">
      <c r="F129" s="165"/>
      <c r="K129"/>
    </row>
    <row r="130" spans="6:11" x14ac:dyDescent="0.2">
      <c r="F130" s="165"/>
      <c r="K130"/>
    </row>
    <row r="131" spans="6:11" x14ac:dyDescent="0.2">
      <c r="F131" s="165"/>
      <c r="K131"/>
    </row>
    <row r="132" spans="6:11" x14ac:dyDescent="0.2">
      <c r="F132" s="165"/>
      <c r="K132"/>
    </row>
    <row r="133" spans="6:11" x14ac:dyDescent="0.2">
      <c r="F133" s="165"/>
      <c r="K133"/>
    </row>
    <row r="134" spans="6:11" x14ac:dyDescent="0.2">
      <c r="F134" s="165"/>
      <c r="K134"/>
    </row>
    <row r="135" spans="6:11" x14ac:dyDescent="0.2">
      <c r="F135" s="165"/>
      <c r="K135"/>
    </row>
    <row r="136" spans="6:11" x14ac:dyDescent="0.2">
      <c r="F136" s="165"/>
      <c r="K136"/>
    </row>
    <row r="137" spans="6:11" x14ac:dyDescent="0.2">
      <c r="F137" s="165"/>
      <c r="K137"/>
    </row>
    <row r="138" spans="6:11" x14ac:dyDescent="0.2">
      <c r="F138" s="165"/>
      <c r="K138"/>
    </row>
    <row r="139" spans="6:11" x14ac:dyDescent="0.2">
      <c r="F139" s="165"/>
      <c r="K139"/>
    </row>
    <row r="140" spans="6:11" x14ac:dyDescent="0.2">
      <c r="F140" s="165"/>
      <c r="K140"/>
    </row>
    <row r="141" spans="6:11" x14ac:dyDescent="0.2">
      <c r="F141" s="165"/>
      <c r="K141"/>
    </row>
    <row r="142" spans="6:11" x14ac:dyDescent="0.2">
      <c r="F142" s="165"/>
      <c r="K142"/>
    </row>
    <row r="143" spans="6:11" x14ac:dyDescent="0.2">
      <c r="F143" s="165"/>
      <c r="K143"/>
    </row>
    <row r="144" spans="6:11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86" fitToWidth="0" orientation="portrait" r:id="rId1"/>
  <headerFooter alignWithMargins="0">
    <oddHeader>&amp;L
Schedule 10
&amp;CMinneapolis-St. Paul International Airport
&amp;"Arial,Bold"&amp;A
January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topLeftCell="A8" zoomScale="115" zoomScaleNormal="115" zoomScaleSheetLayoutView="100" workbookViewId="0">
      <selection activeCell="F7" sqref="F7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10.42578125" bestFit="1" customWidth="1"/>
    <col min="6" max="6" width="10.42578125" customWidth="1"/>
    <col min="7" max="7" width="9.85546875" bestFit="1" customWidth="1"/>
    <col min="8" max="8" width="10.85546875" customWidth="1"/>
    <col min="9" max="9" width="11.7109375" bestFit="1" customWidth="1"/>
    <col min="10" max="10" width="12.7109375" bestFit="1" customWidth="1"/>
  </cols>
  <sheetData>
    <row r="1" spans="1:19" ht="26.25" thickBot="1" x14ac:dyDescent="0.25">
      <c r="A1" s="384">
        <v>46023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242</v>
      </c>
      <c r="I1" s="316" t="s">
        <v>20</v>
      </c>
      <c r="J1" s="315" t="s">
        <v>21</v>
      </c>
    </row>
    <row r="2" spans="1:19" ht="15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">
      <c r="A3" s="43" t="s">
        <v>29</v>
      </c>
      <c r="J3" s="37"/>
    </row>
    <row r="4" spans="1:19" x14ac:dyDescent="0.2">
      <c r="A4" s="43" t="s">
        <v>30</v>
      </c>
      <c r="B4" s="11">
        <f>[2]American!$JV$22</f>
        <v>36866</v>
      </c>
      <c r="C4" s="11">
        <f>[2]Delta!$JV$22+[2]Delta!$JV$32</f>
        <v>690144</v>
      </c>
      <c r="D4" s="11">
        <f>[2]United!$JV$22</f>
        <v>41846</v>
      </c>
      <c r="E4" s="11">
        <f>'[2]Air France'!$JV$32</f>
        <v>0</v>
      </c>
      <c r="F4" s="11">
        <f>[2]AirCanada!$JV$32</f>
        <v>103</v>
      </c>
      <c r="G4" s="11">
        <f>[2]KLM!$JV$22+[2]KLM!$JV$32</f>
        <v>0</v>
      </c>
      <c r="H4" s="11">
        <f>[2]Lufthansa!$JV$22+[2]Lufthansa!$JV$32</f>
        <v>0</v>
      </c>
      <c r="I4" s="11">
        <f>'Other Major Airline Stats'!K5</f>
        <v>199719</v>
      </c>
      <c r="J4" s="197">
        <f>SUM(B4:I4)</f>
        <v>968678</v>
      </c>
    </row>
    <row r="5" spans="1:19" x14ac:dyDescent="0.2">
      <c r="A5" s="43" t="s">
        <v>31</v>
      </c>
      <c r="B5" s="7">
        <f>[2]American!$JV$23</f>
        <v>38128</v>
      </c>
      <c r="C5" s="7">
        <f>[2]Delta!$JV$23+[2]Delta!$JV$33</f>
        <v>712224</v>
      </c>
      <c r="D5" s="7">
        <f>[2]United!$JV$23</f>
        <v>42137</v>
      </c>
      <c r="E5" s="7">
        <f>'[2]Air France'!$JV$33</f>
        <v>0</v>
      </c>
      <c r="F5" s="7">
        <f>[2]AirCanada!$JV$33</f>
        <v>284</v>
      </c>
      <c r="G5" s="7">
        <f>[2]KLM!$JV$23+[2]KLM!$JV$33</f>
        <v>0</v>
      </c>
      <c r="H5" s="7">
        <f>[2]Lufthansa!$JV$23+[2]Lufthansa!$JV$33</f>
        <v>0</v>
      </c>
      <c r="I5" s="7">
        <f>'Other Major Airline Stats'!K6</f>
        <v>205954</v>
      </c>
      <c r="J5" s="198">
        <f>SUM(B5:I5)</f>
        <v>998727</v>
      </c>
      <c r="L5" s="221"/>
      <c r="M5" s="221"/>
      <c r="N5" s="221"/>
      <c r="O5" s="221"/>
      <c r="P5" s="221"/>
      <c r="Q5" s="221"/>
      <c r="R5" s="221"/>
      <c r="S5" s="221"/>
    </row>
    <row r="6" spans="1:19" ht="15" x14ac:dyDescent="0.25">
      <c r="A6" s="41" t="s">
        <v>7</v>
      </c>
      <c r="B6" s="23">
        <f t="shared" ref="B6:D6" si="0">SUM(B4:B5)</f>
        <v>74994</v>
      </c>
      <c r="C6" s="23">
        <f t="shared" si="0"/>
        <v>1402368</v>
      </c>
      <c r="D6" s="23">
        <f t="shared" si="0"/>
        <v>83983</v>
      </c>
      <c r="E6" s="23">
        <f t="shared" ref="E6:G6" si="1">SUM(E4:E5)</f>
        <v>0</v>
      </c>
      <c r="F6" s="23">
        <f t="shared" ref="F6" si="2">SUM(F4:F5)</f>
        <v>387</v>
      </c>
      <c r="G6" s="23">
        <f t="shared" si="1"/>
        <v>0</v>
      </c>
      <c r="H6" s="23">
        <f t="shared" ref="H6" si="3">SUM(H4:H5)</f>
        <v>0</v>
      </c>
      <c r="I6" s="23">
        <f>SUM(I4:I5)</f>
        <v>405673</v>
      </c>
      <c r="J6" s="199">
        <f>SUM(B6:I6)</f>
        <v>1967405</v>
      </c>
      <c r="M6" s="89"/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">
      <c r="A9" s="43" t="s">
        <v>30</v>
      </c>
      <c r="B9" s="11">
        <f>[2]American!$JV$27</f>
        <v>1269</v>
      </c>
      <c r="C9" s="11">
        <f>[2]Delta!$JV$27+[2]Delta!$JV$37</f>
        <v>25756</v>
      </c>
      <c r="D9" s="11">
        <f>[2]United!$JV$27</f>
        <v>1900</v>
      </c>
      <c r="E9" s="11">
        <f>'[2]Air France'!$JV$37</f>
        <v>0</v>
      </c>
      <c r="F9" s="11">
        <f>[2]AirCanada!$JV$37</f>
        <v>2</v>
      </c>
      <c r="G9" s="11">
        <f>[2]KLM!$JV$27+[2]KLM!$JV$37</f>
        <v>0</v>
      </c>
      <c r="H9" s="11">
        <f>[2]Lufthansa!$JV$27+[2]Lufthansa!$JV$37</f>
        <v>0</v>
      </c>
      <c r="I9" s="11">
        <f>'Other Major Airline Stats'!K10</f>
        <v>4878</v>
      </c>
      <c r="J9" s="197">
        <f>SUM(B9:I9)</f>
        <v>33805</v>
      </c>
      <c r="M9" s="221"/>
    </row>
    <row r="10" spans="1:19" x14ac:dyDescent="0.2">
      <c r="A10" s="43" t="s">
        <v>33</v>
      </c>
      <c r="B10" s="7">
        <f>[2]American!$JV$28</f>
        <v>1503</v>
      </c>
      <c r="C10" s="7">
        <f>[2]Delta!$JV$28+[2]Delta!$JV$38</f>
        <v>26045</v>
      </c>
      <c r="D10" s="7">
        <f>[2]United!$JV$28</f>
        <v>2010</v>
      </c>
      <c r="E10" s="7">
        <f>'[2]Air France'!$JV$38</f>
        <v>0</v>
      </c>
      <c r="F10" s="7">
        <f>[2]AirCanada!$JV$38</f>
        <v>1</v>
      </c>
      <c r="G10" s="7">
        <f>[2]KLM!$JV$28+[2]KLM!$JV$38</f>
        <v>0</v>
      </c>
      <c r="H10" s="7">
        <f>[2]Lufthansa!$JV$28+[2]Lufthansa!$JV$38</f>
        <v>0</v>
      </c>
      <c r="I10" s="7">
        <f>'Other Major Airline Stats'!K11</f>
        <v>5251</v>
      </c>
      <c r="J10" s="198">
        <f>SUM(B10:I10)</f>
        <v>34810</v>
      </c>
      <c r="M10" s="221"/>
    </row>
    <row r="11" spans="1:19" ht="15.75" thickBot="1" x14ac:dyDescent="0.3">
      <c r="A11" s="44" t="s">
        <v>34</v>
      </c>
      <c r="B11" s="200">
        <f t="shared" ref="B11:I11" si="4">SUM(B9:B10)</f>
        <v>2772</v>
      </c>
      <c r="C11" s="200">
        <f t="shared" si="4"/>
        <v>51801</v>
      </c>
      <c r="D11" s="200">
        <f t="shared" si="4"/>
        <v>3910</v>
      </c>
      <c r="E11" s="200">
        <f t="shared" ref="E11:G11" si="5">SUM(E9:E10)</f>
        <v>0</v>
      </c>
      <c r="F11" s="200">
        <f t="shared" ref="F11" si="6">SUM(F9:F10)</f>
        <v>3</v>
      </c>
      <c r="G11" s="200">
        <f t="shared" si="5"/>
        <v>0</v>
      </c>
      <c r="H11" s="200">
        <f t="shared" ref="H11" si="7">SUM(H9:H10)</f>
        <v>0</v>
      </c>
      <c r="I11" s="200">
        <f t="shared" si="4"/>
        <v>10129</v>
      </c>
      <c r="J11" s="201">
        <f>SUM(B11:I11)</f>
        <v>68615</v>
      </c>
    </row>
    <row r="12" spans="1:19" x14ac:dyDescent="0.2">
      <c r="B12" s="221"/>
      <c r="C12" s="221"/>
      <c r="D12" s="221"/>
      <c r="E12" s="221">
        <f t="shared" ref="E12:G12" si="8">+E6+E11</f>
        <v>0</v>
      </c>
      <c r="F12" s="221">
        <f t="shared" ref="F12" si="9">+F6+F11</f>
        <v>390</v>
      </c>
      <c r="G12" s="221">
        <f t="shared" si="8"/>
        <v>0</v>
      </c>
      <c r="H12" s="221"/>
      <c r="M12" s="221"/>
    </row>
    <row r="13" spans="1:19" ht="13.5" thickBot="1" x14ac:dyDescent="0.25"/>
    <row r="14" spans="1:19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">
      <c r="A15" s="43" t="s">
        <v>22</v>
      </c>
      <c r="B15" s="11">
        <f>[2]American!$JV$4</f>
        <v>294</v>
      </c>
      <c r="C15" s="11">
        <f>[2]Delta!$JV$4+[2]Delta!$JV$15</f>
        <v>5227</v>
      </c>
      <c r="D15" s="11">
        <f>[2]United!$JV$4</f>
        <v>358</v>
      </c>
      <c r="E15" s="11">
        <f>'[2]Air France'!$JV$15</f>
        <v>0</v>
      </c>
      <c r="F15" s="11">
        <f>[2]AirCanada!$JV$15</f>
        <v>5</v>
      </c>
      <c r="G15" s="11">
        <f>[2]KLM!$JV$4+[2]KLM!$JV$15</f>
        <v>0</v>
      </c>
      <c r="H15" s="11">
        <f>[2]Lufthansa!$JV$4+[2]Lufthansa!$JV$15</f>
        <v>0</v>
      </c>
      <c r="I15" s="11">
        <f>'Other Major Airline Stats'!K16</f>
        <v>1516</v>
      </c>
      <c r="J15" s="16">
        <f>SUM(B15:I15)</f>
        <v>7400</v>
      </c>
    </row>
    <row r="16" spans="1:19" x14ac:dyDescent="0.2">
      <c r="A16" s="43" t="s">
        <v>23</v>
      </c>
      <c r="B16" s="7">
        <f>[2]American!$JV$5</f>
        <v>293</v>
      </c>
      <c r="C16" s="7">
        <f>[2]Delta!$JV$5+[2]Delta!$JV$16</f>
        <v>5216</v>
      </c>
      <c r="D16" s="7">
        <f>[2]United!$JV$5</f>
        <v>354</v>
      </c>
      <c r="E16" s="7">
        <f>'[2]Air France'!$JV$16</f>
        <v>0</v>
      </c>
      <c r="F16" s="7">
        <f>[2]AirCanada!$JV$16</f>
        <v>5</v>
      </c>
      <c r="G16" s="7">
        <f>[2]KLM!$JV$5+[2]KLM!$JV$16</f>
        <v>0</v>
      </c>
      <c r="H16" s="7">
        <f>[2]Lufthansa!$JV$5+[2]Lufthansa!$JV$16</f>
        <v>0</v>
      </c>
      <c r="I16" s="7">
        <f>'Other Major Airline Stats'!K17</f>
        <v>1519</v>
      </c>
      <c r="J16" s="22">
        <f>SUM(B16:I16)</f>
        <v>7387</v>
      </c>
    </row>
    <row r="17" spans="1:10" x14ac:dyDescent="0.2">
      <c r="A17" s="43" t="s">
        <v>24</v>
      </c>
      <c r="B17" s="204">
        <f t="shared" ref="B17:I17" si="10">SUM(B15:B16)</f>
        <v>587</v>
      </c>
      <c r="C17" s="202">
        <f t="shared" si="10"/>
        <v>10443</v>
      </c>
      <c r="D17" s="202">
        <f t="shared" si="10"/>
        <v>712</v>
      </c>
      <c r="E17" s="202">
        <f t="shared" ref="E17:G17" si="11">SUM(E15:E16)</f>
        <v>0</v>
      </c>
      <c r="F17" s="202">
        <f t="shared" ref="F17" si="12">SUM(F15:F16)</f>
        <v>10</v>
      </c>
      <c r="G17" s="202">
        <f t="shared" si="11"/>
        <v>0</v>
      </c>
      <c r="H17" s="202">
        <f t="shared" ref="H17" si="13">SUM(H15:H16)</f>
        <v>0</v>
      </c>
      <c r="I17" s="202">
        <f t="shared" si="10"/>
        <v>3035</v>
      </c>
      <c r="J17" s="203">
        <f>SUM(B17:I17)</f>
        <v>14787</v>
      </c>
    </row>
    <row r="18" spans="1:10" x14ac:dyDescent="0.2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">
      <c r="A19" s="43" t="s">
        <v>25</v>
      </c>
      <c r="B19" s="11">
        <f>[2]American!$JV$8</f>
        <v>0</v>
      </c>
      <c r="C19" s="11">
        <f>[2]Delta!$JV$8</f>
        <v>3</v>
      </c>
      <c r="D19" s="11">
        <f>[2]United!$JV$8</f>
        <v>0</v>
      </c>
      <c r="E19" s="11">
        <f>'[2]Air France'!$JV$8</f>
        <v>0</v>
      </c>
      <c r="F19" s="11">
        <f>[2]AirCanada!$JV$8</f>
        <v>0</v>
      </c>
      <c r="G19" s="11">
        <f>[2]KLM!$JV$8</f>
        <v>0</v>
      </c>
      <c r="H19" s="11">
        <f>[2]Lufthansa!$JV$8</f>
        <v>0</v>
      </c>
      <c r="I19" s="11">
        <f>'Other Major Airline Stats'!K20</f>
        <v>71</v>
      </c>
      <c r="J19" s="16">
        <f>SUM(B19:I19)</f>
        <v>74</v>
      </c>
    </row>
    <row r="20" spans="1:10" x14ac:dyDescent="0.2">
      <c r="A20" s="43" t="s">
        <v>26</v>
      </c>
      <c r="B20" s="7">
        <f>[2]American!$JV$9</f>
        <v>0</v>
      </c>
      <c r="C20" s="7">
        <f>[2]Delta!$JV$9</f>
        <v>6</v>
      </c>
      <c r="D20" s="7">
        <f>[2]United!$JV$9</f>
        <v>3</v>
      </c>
      <c r="E20" s="7">
        <f>'[2]Air France'!$JV$9</f>
        <v>0</v>
      </c>
      <c r="F20" s="7">
        <f>[2]AirCanada!$JV$9</f>
        <v>0</v>
      </c>
      <c r="G20" s="7">
        <f>[2]KLM!$JV$9</f>
        <v>0</v>
      </c>
      <c r="H20" s="7">
        <f>[2]Lufthansa!$JV$9</f>
        <v>0</v>
      </c>
      <c r="I20" s="7">
        <f>'Other Major Airline Stats'!K21</f>
        <v>75</v>
      </c>
      <c r="J20" s="22">
        <f>SUM(B20:I20)</f>
        <v>84</v>
      </c>
    </row>
    <row r="21" spans="1:10" x14ac:dyDescent="0.2">
      <c r="A21" s="43" t="s">
        <v>27</v>
      </c>
      <c r="B21" s="204">
        <f t="shared" ref="B21:I21" si="14">SUM(B19:B20)</f>
        <v>0</v>
      </c>
      <c r="C21" s="202">
        <f t="shared" si="14"/>
        <v>9</v>
      </c>
      <c r="D21" s="202">
        <f t="shared" si="14"/>
        <v>3</v>
      </c>
      <c r="E21" s="202">
        <f t="shared" ref="E21:G21" si="15">SUM(E19:E20)</f>
        <v>0</v>
      </c>
      <c r="F21" s="202">
        <f t="shared" ref="F21" si="16">SUM(F19:F20)</f>
        <v>0</v>
      </c>
      <c r="G21" s="202">
        <f t="shared" si="15"/>
        <v>0</v>
      </c>
      <c r="H21" s="202">
        <f t="shared" ref="H21" si="17">SUM(H19:H20)</f>
        <v>0</v>
      </c>
      <c r="I21" s="202">
        <f t="shared" si="14"/>
        <v>146</v>
      </c>
      <c r="J21" s="139">
        <f>SUM(B21:I21)</f>
        <v>158</v>
      </c>
    </row>
    <row r="22" spans="1:10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5.75" thickBot="1" x14ac:dyDescent="0.3">
      <c r="A23" s="44" t="s">
        <v>28</v>
      </c>
      <c r="B23" s="17">
        <f t="shared" ref="B23:I23" si="18">B17+B21</f>
        <v>587</v>
      </c>
      <c r="C23" s="17">
        <f t="shared" si="18"/>
        <v>10452</v>
      </c>
      <c r="D23" s="17">
        <f t="shared" si="18"/>
        <v>715</v>
      </c>
      <c r="E23" s="17">
        <f t="shared" ref="E23:G23" si="19">E17+E21</f>
        <v>0</v>
      </c>
      <c r="F23" s="17">
        <f t="shared" ref="F23" si="20">F17+F21</f>
        <v>10</v>
      </c>
      <c r="G23" s="17">
        <f t="shared" si="19"/>
        <v>0</v>
      </c>
      <c r="H23" s="17">
        <f t="shared" ref="H23" si="21">H17+H21</f>
        <v>0</v>
      </c>
      <c r="I23" s="17">
        <f t="shared" si="18"/>
        <v>3181</v>
      </c>
      <c r="J23" s="18">
        <f>SUM(B23:I23)</f>
        <v>14945</v>
      </c>
    </row>
    <row r="25" spans="1:10" ht="13.5" thickBot="1" x14ac:dyDescent="0.25">
      <c r="B25" s="301"/>
      <c r="C25" s="301"/>
      <c r="D25" s="301"/>
      <c r="E25" s="301"/>
      <c r="F25" s="301"/>
      <c r="G25" s="301"/>
      <c r="H25" s="301"/>
      <c r="I25" s="301"/>
    </row>
    <row r="26" spans="1:10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">
      <c r="A28" s="43" t="s">
        <v>37</v>
      </c>
      <c r="B28" s="11">
        <f>[2]American!$JV$47</f>
        <v>12154</v>
      </c>
      <c r="C28" s="11">
        <f>[2]Delta!$JV$47</f>
        <v>3033329</v>
      </c>
      <c r="D28" s="11">
        <f>[2]United!$JV$47</f>
        <v>34819</v>
      </c>
      <c r="E28" s="11">
        <f>'[2]Air France'!$JV$47</f>
        <v>0</v>
      </c>
      <c r="F28" s="11">
        <f>[2]AirCanada!$JV$47</f>
        <v>22</v>
      </c>
      <c r="G28" s="11">
        <f>[2]KLM!$JV$47</f>
        <v>0</v>
      </c>
      <c r="H28" s="11">
        <f>[2]Lufthansa!$JV$47</f>
        <v>0</v>
      </c>
      <c r="I28" s="11">
        <f>'Other Major Airline Stats'!K28</f>
        <v>143489.29999999999</v>
      </c>
      <c r="J28" s="16">
        <f>SUM(B28:I28)</f>
        <v>3223813.3</v>
      </c>
    </row>
    <row r="29" spans="1:10" x14ac:dyDescent="0.2">
      <c r="A29" s="43" t="s">
        <v>38</v>
      </c>
      <c r="B29" s="7">
        <f>[2]American!$JV$48</f>
        <v>23651</v>
      </c>
      <c r="C29" s="7">
        <f>[2]Delta!$JV$48</f>
        <v>153217</v>
      </c>
      <c r="D29" s="7">
        <f>[2]United!$JV$48</f>
        <v>153534</v>
      </c>
      <c r="E29" s="7">
        <f>'[2]Air France'!$JV$48</f>
        <v>0</v>
      </c>
      <c r="F29" s="7">
        <f>[2]AirCanada!$JV$48</f>
        <v>0</v>
      </c>
      <c r="G29" s="7">
        <f>[2]KLM!$JV$48</f>
        <v>0</v>
      </c>
      <c r="H29" s="7">
        <f>[2]Lufthansa!$JV$48</f>
        <v>0</v>
      </c>
      <c r="I29" s="7">
        <f>'Other Major Airline Stats'!K29</f>
        <v>4245</v>
      </c>
      <c r="J29" s="22">
        <f>SUM(B29:I29)</f>
        <v>334647</v>
      </c>
    </row>
    <row r="30" spans="1:10" x14ac:dyDescent="0.2">
      <c r="A30" s="47" t="s">
        <v>39</v>
      </c>
      <c r="B30" s="204">
        <f t="shared" ref="B30:I30" si="22">SUM(B28:B29)</f>
        <v>35805</v>
      </c>
      <c r="C30" s="204">
        <f t="shared" si="22"/>
        <v>3186546</v>
      </c>
      <c r="D30" s="204">
        <f t="shared" si="22"/>
        <v>188353</v>
      </c>
      <c r="E30" s="204">
        <f t="shared" ref="E30:G30" si="23">SUM(E28:E29)</f>
        <v>0</v>
      </c>
      <c r="F30" s="204">
        <f t="shared" ref="F30" si="24">SUM(F28:F29)</f>
        <v>22</v>
      </c>
      <c r="G30" s="204">
        <f t="shared" si="23"/>
        <v>0</v>
      </c>
      <c r="H30" s="204">
        <f t="shared" ref="H30" si="25">SUM(H28:H29)</f>
        <v>0</v>
      </c>
      <c r="I30" s="204">
        <f t="shared" si="22"/>
        <v>147734.29999999999</v>
      </c>
      <c r="J30" s="16">
        <f>SUM(B30:I30)</f>
        <v>3558460.3</v>
      </c>
    </row>
    <row r="31" spans="1:10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6">SUM(B32:I32)</f>
        <v>0</v>
      </c>
    </row>
    <row r="33" spans="1:10" x14ac:dyDescent="0.2">
      <c r="A33" s="43" t="s">
        <v>37</v>
      </c>
      <c r="B33" s="11">
        <f>[2]American!$JV$52</f>
        <v>3958</v>
      </c>
      <c r="C33" s="11">
        <f>[2]Delta!$JV$52</f>
        <v>1926427</v>
      </c>
      <c r="D33" s="11">
        <f>[2]United!$JV$52</f>
        <v>6351</v>
      </c>
      <c r="E33" s="11">
        <f>'[2]Air France'!$JV$52</f>
        <v>0</v>
      </c>
      <c r="F33" s="11">
        <f>[2]AirCanada!$JV$52</f>
        <v>10694.7</v>
      </c>
      <c r="G33" s="11">
        <f>[2]KLM!$JV$52</f>
        <v>0</v>
      </c>
      <c r="H33" s="11">
        <f>[2]Lufthansa!$JV$52</f>
        <v>0</v>
      </c>
      <c r="I33" s="11">
        <f>'Other Major Airline Stats'!K33</f>
        <v>64138.62</v>
      </c>
      <c r="J33" s="16">
        <f t="shared" si="26"/>
        <v>2011569.32</v>
      </c>
    </row>
    <row r="34" spans="1:10" x14ac:dyDescent="0.2">
      <c r="A34" s="43" t="s">
        <v>38</v>
      </c>
      <c r="B34" s="7">
        <f>[2]American!$JV$53</f>
        <v>73243</v>
      </c>
      <c r="C34" s="7">
        <f>[2]Delta!$JV$53</f>
        <v>311139</v>
      </c>
      <c r="D34" s="7">
        <f>[2]United!$JV$53</f>
        <v>166492</v>
      </c>
      <c r="E34" s="7">
        <f>'[2]Air France'!$JV$53</f>
        <v>0</v>
      </c>
      <c r="F34" s="7">
        <f>[2]AirCanada!$JV$53</f>
        <v>0</v>
      </c>
      <c r="G34" s="7">
        <f>[2]KLM!$JV$53</f>
        <v>0</v>
      </c>
      <c r="H34" s="7">
        <f>[2]Lufthansa!$JV$53</f>
        <v>0</v>
      </c>
      <c r="I34" s="7">
        <f>'Other Major Airline Stats'!K34</f>
        <v>2466</v>
      </c>
      <c r="J34" s="22">
        <f t="shared" si="26"/>
        <v>553340</v>
      </c>
    </row>
    <row r="35" spans="1:10" x14ac:dyDescent="0.2">
      <c r="A35" s="47" t="s">
        <v>41</v>
      </c>
      <c r="B35" s="204">
        <f t="shared" ref="B35:I35" si="27">SUM(B33:B34)</f>
        <v>77201</v>
      </c>
      <c r="C35" s="204">
        <f t="shared" si="27"/>
        <v>2237566</v>
      </c>
      <c r="D35" s="204">
        <f t="shared" si="27"/>
        <v>172843</v>
      </c>
      <c r="E35" s="204">
        <f t="shared" ref="E35:G35" si="28">SUM(E33:E34)</f>
        <v>0</v>
      </c>
      <c r="F35" s="204">
        <f t="shared" ref="F35" si="29">SUM(F33:F34)</f>
        <v>10694.7</v>
      </c>
      <c r="G35" s="204">
        <f t="shared" si="28"/>
        <v>0</v>
      </c>
      <c r="H35" s="204">
        <f t="shared" ref="H35" si="30">SUM(H33:H34)</f>
        <v>0</v>
      </c>
      <c r="I35" s="204">
        <f t="shared" si="27"/>
        <v>66604.62</v>
      </c>
      <c r="J35" s="16">
        <f t="shared" si="26"/>
        <v>2564909.3200000003</v>
      </c>
    </row>
    <row r="36" spans="1:10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6"/>
        <v>0</v>
      </c>
    </row>
    <row r="37" spans="1:10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6"/>
        <v>0</v>
      </c>
    </row>
    <row r="38" spans="1:10" hidden="1" x14ac:dyDescent="0.2">
      <c r="A38" s="43" t="s">
        <v>37</v>
      </c>
      <c r="B38" s="11">
        <f>[2]American!$JV$57</f>
        <v>0</v>
      </c>
      <c r="C38" s="11">
        <f>[2]Delta!$JV$57</f>
        <v>0</v>
      </c>
      <c r="D38" s="11">
        <f>[2]United!$JV$57</f>
        <v>0</v>
      </c>
      <c r="E38" s="11">
        <f>'[2]Air France'!$JV$57</f>
        <v>0</v>
      </c>
      <c r="F38" s="11">
        <f>[2]AirCanada!$JV$57</f>
        <v>0</v>
      </c>
      <c r="G38" s="11">
        <f>[2]KLM!$JV$57</f>
        <v>0</v>
      </c>
      <c r="H38" s="11">
        <f>[2]Lufthansa!$JV$57</f>
        <v>0</v>
      </c>
      <c r="I38" s="11">
        <f>'Other Major Airline Stats'!K38</f>
        <v>0</v>
      </c>
      <c r="J38" s="16">
        <f t="shared" si="26"/>
        <v>0</v>
      </c>
    </row>
    <row r="39" spans="1:10" hidden="1" x14ac:dyDescent="0.2">
      <c r="A39" s="43" t="s">
        <v>38</v>
      </c>
      <c r="B39" s="7">
        <f>[2]American!$JV$58</f>
        <v>0</v>
      </c>
      <c r="C39" s="7">
        <f>[2]Delta!$JV$58</f>
        <v>0</v>
      </c>
      <c r="D39" s="7">
        <f>[2]United!$JV$58</f>
        <v>0</v>
      </c>
      <c r="E39" s="7">
        <f>'[2]Air France'!$JV$58</f>
        <v>0</v>
      </c>
      <c r="F39" s="7">
        <f>[2]AirCanada!$JV$58</f>
        <v>0</v>
      </c>
      <c r="G39" s="7">
        <f>[2]KLM!$JV$58</f>
        <v>0</v>
      </c>
      <c r="H39" s="7">
        <f>[2]Lufthansa!$JV$58</f>
        <v>0</v>
      </c>
      <c r="I39" s="7">
        <f>'Other Major Airline Stats'!K39</f>
        <v>0</v>
      </c>
      <c r="J39" s="22">
        <f t="shared" si="26"/>
        <v>0</v>
      </c>
    </row>
    <row r="40" spans="1:10" hidden="1" x14ac:dyDescent="0.2">
      <c r="A40" s="47" t="s">
        <v>43</v>
      </c>
      <c r="B40" s="204">
        <f t="shared" ref="B40:I40" si="31">SUM(B38:B39)</f>
        <v>0</v>
      </c>
      <c r="C40" s="204">
        <f t="shared" si="31"/>
        <v>0</v>
      </c>
      <c r="D40" s="204">
        <f t="shared" si="31"/>
        <v>0</v>
      </c>
      <c r="E40" s="204">
        <f t="shared" ref="E40:G40" si="32">SUM(E38:E39)</f>
        <v>0</v>
      </c>
      <c r="F40" s="204">
        <f t="shared" ref="F40" si="33">SUM(F38:F39)</f>
        <v>0</v>
      </c>
      <c r="G40" s="204">
        <f t="shared" si="32"/>
        <v>0</v>
      </c>
      <c r="H40" s="204">
        <f t="shared" ref="H40" si="34">SUM(H38:H39)</f>
        <v>0</v>
      </c>
      <c r="I40" s="204">
        <f t="shared" si="31"/>
        <v>0</v>
      </c>
      <c r="J40" s="16">
        <f t="shared" si="26"/>
        <v>0</v>
      </c>
    </row>
    <row r="41" spans="1:10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">
      <c r="A43" s="43" t="s">
        <v>45</v>
      </c>
      <c r="B43" s="11">
        <f t="shared" ref="B43:I44" si="35">B28+B33+B38</f>
        <v>16112</v>
      </c>
      <c r="C43" s="11">
        <f t="shared" si="35"/>
        <v>4959756</v>
      </c>
      <c r="D43" s="11">
        <f t="shared" si="35"/>
        <v>41170</v>
      </c>
      <c r="E43" s="11">
        <f t="shared" ref="E43:G43" si="36">E28+E33+E38</f>
        <v>0</v>
      </c>
      <c r="F43" s="11">
        <f t="shared" ref="F43" si="37">F28+F33+F38</f>
        <v>10716.7</v>
      </c>
      <c r="G43" s="11">
        <f t="shared" si="36"/>
        <v>0</v>
      </c>
      <c r="H43" s="11">
        <f t="shared" ref="H43" si="38">H28+H33+H38</f>
        <v>0</v>
      </c>
      <c r="I43" s="11">
        <f t="shared" si="35"/>
        <v>207627.91999999998</v>
      </c>
      <c r="J43" s="16">
        <f>SUM(B43:I43)</f>
        <v>5235382.62</v>
      </c>
    </row>
    <row r="44" spans="1:10" x14ac:dyDescent="0.2">
      <c r="A44" s="43" t="s">
        <v>38</v>
      </c>
      <c r="B44" s="7">
        <f t="shared" si="35"/>
        <v>96894</v>
      </c>
      <c r="C44" s="7">
        <f t="shared" si="35"/>
        <v>464356</v>
      </c>
      <c r="D44" s="7">
        <f t="shared" si="35"/>
        <v>320026</v>
      </c>
      <c r="E44" s="7">
        <f t="shared" ref="E44:G44" si="39">E29+E34+E39</f>
        <v>0</v>
      </c>
      <c r="F44" s="7">
        <f t="shared" ref="F44" si="40">F29+F34+F39</f>
        <v>0</v>
      </c>
      <c r="G44" s="7">
        <f t="shared" si="39"/>
        <v>0</v>
      </c>
      <c r="H44" s="7">
        <f t="shared" ref="H44" si="41">H29+H34+H39</f>
        <v>0</v>
      </c>
      <c r="I44" s="7">
        <f t="shared" si="35"/>
        <v>6711</v>
      </c>
      <c r="J44" s="16">
        <f>SUM(B44:I44)</f>
        <v>887987</v>
      </c>
    </row>
    <row r="45" spans="1:10" ht="15.75" thickBot="1" x14ac:dyDescent="0.3">
      <c r="A45" s="44" t="s">
        <v>46</v>
      </c>
      <c r="B45" s="205">
        <f t="shared" ref="B45:I45" si="42">SUM(B43:B44)</f>
        <v>113006</v>
      </c>
      <c r="C45" s="205">
        <f t="shared" si="42"/>
        <v>5424112</v>
      </c>
      <c r="D45" s="205">
        <f t="shared" si="42"/>
        <v>361196</v>
      </c>
      <c r="E45" s="205">
        <f t="shared" ref="E45:G45" si="43">SUM(E43:E44)</f>
        <v>0</v>
      </c>
      <c r="F45" s="205">
        <f t="shared" ref="F45" si="44">SUM(F43:F44)</f>
        <v>10716.7</v>
      </c>
      <c r="G45" s="205">
        <f t="shared" si="43"/>
        <v>0</v>
      </c>
      <c r="H45" s="205">
        <f t="shared" ref="H45" si="45">SUM(H43:H44)</f>
        <v>0</v>
      </c>
      <c r="I45" s="205">
        <f t="shared" si="42"/>
        <v>214338.91999999998</v>
      </c>
      <c r="J45" s="206">
        <f>SUM(B45:I45)</f>
        <v>6123369.6200000001</v>
      </c>
    </row>
    <row r="46" spans="1:10" x14ac:dyDescent="0.2">
      <c r="B46" s="1"/>
      <c r="C46" s="1"/>
      <c r="D46" s="1"/>
      <c r="E46" s="1"/>
      <c r="F46" s="1"/>
      <c r="G46" s="1"/>
      <c r="H46" s="1"/>
      <c r="I46" s="1"/>
    </row>
    <row r="47" spans="1:10" hidden="1" x14ac:dyDescent="0.2">
      <c r="A47" s="266" t="s">
        <v>119</v>
      </c>
      <c r="C47" s="230">
        <f>[2]Delta!$JV$70+[2]Delta!$JV$73</f>
        <v>471631</v>
      </c>
      <c r="D47" s="219"/>
      <c r="E47" s="219"/>
      <c r="F47" s="219"/>
      <c r="G47" s="219"/>
      <c r="H47" s="219"/>
      <c r="I47" s="219"/>
      <c r="J47" s="220">
        <f>SUM(B47:I47)</f>
        <v>471631</v>
      </c>
    </row>
    <row r="48" spans="1:10" hidden="1" x14ac:dyDescent="0.2">
      <c r="A48" s="267" t="s">
        <v>120</v>
      </c>
      <c r="C48" s="230">
        <f>[2]Delta!$JV$71+[2]Delta!$JV$74</f>
        <v>240593</v>
      </c>
      <c r="D48" s="219"/>
      <c r="E48" s="219"/>
      <c r="F48" s="219"/>
      <c r="G48" s="219"/>
      <c r="H48" s="219"/>
      <c r="I48" s="219"/>
      <c r="J48" s="220">
        <f>SUM(B48:I48)</f>
        <v>240593</v>
      </c>
    </row>
    <row r="49" spans="1:10" hidden="1" x14ac:dyDescent="0.2">
      <c r="A49" s="268" t="s">
        <v>121</v>
      </c>
      <c r="C49" s="231">
        <f>SUM(C47:C48)</f>
        <v>712224</v>
      </c>
      <c r="J49" s="220">
        <f>SUM(B49:I49)</f>
        <v>712224</v>
      </c>
    </row>
    <row r="50" spans="1:10" x14ac:dyDescent="0.2">
      <c r="A50" s="266" t="s">
        <v>119</v>
      </c>
      <c r="B50" s="277"/>
      <c r="C50" s="233">
        <f>[2]Delta!$JV$70+[2]Delta!$JV$73</f>
        <v>471631</v>
      </c>
      <c r="D50" s="277"/>
      <c r="E50" s="277"/>
      <c r="F50" s="277"/>
      <c r="G50" s="277"/>
      <c r="H50" s="277"/>
      <c r="I50" s="232">
        <f>'Other Major Airline Stats'!K48</f>
        <v>0</v>
      </c>
      <c r="J50" s="222">
        <f>SUM(B50:I50)</f>
        <v>471631</v>
      </c>
    </row>
    <row r="51" spans="1:10" x14ac:dyDescent="0.2">
      <c r="A51" s="279" t="s">
        <v>120</v>
      </c>
      <c r="B51" s="277"/>
      <c r="C51" s="233">
        <f>[2]Delta!$JV$71+[2]Delta!$JV$74</f>
        <v>240593</v>
      </c>
      <c r="D51" s="277"/>
      <c r="E51" s="277"/>
      <c r="F51" s="277"/>
      <c r="G51" s="277"/>
      <c r="H51" s="277"/>
      <c r="I51" s="232">
        <f>+'Other Major Airline Stats'!K49</f>
        <v>0</v>
      </c>
      <c r="J51" s="222">
        <f>SUM(B51:I51)</f>
        <v>240593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C14" sqref="C1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1.7109375" customWidth="1"/>
    <col min="9" max="9" width="12.14062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84">
        <v>46023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209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[2]Frontier!$JV$22+[2]Frontier!$JV$32</f>
        <v>12506</v>
      </c>
      <c r="C5" s="89">
        <f>'[2]Allegiant '!$JV$22</f>
        <v>0</v>
      </c>
      <c r="D5" s="89">
        <f>'[2]Aer Lingus'!$JV$22+'[2]Aer Lingus'!$JV$32</f>
        <v>1721</v>
      </c>
      <c r="E5" s="89">
        <f>'[2]Denver Air'!$JV$22+'[2]Denver Air'!$JV$32</f>
        <v>910</v>
      </c>
      <c r="F5" s="89">
        <f>[2]WestJet!$JV$22+[2]WestJet!$JV$32</f>
        <v>4197</v>
      </c>
      <c r="G5" s="89">
        <f>[2]Icelandair!$JV$32</f>
        <v>2133</v>
      </c>
      <c r="H5" s="89">
        <f>[2]Southwest!$JV$22</f>
        <v>42479</v>
      </c>
      <c r="I5" s="89">
        <f>'[2]Sun Country'!$JV$22+'[2]Sun Country'!$JV$32</f>
        <v>127314</v>
      </c>
      <c r="J5" s="89">
        <f>[2]Alaska!$JV$22</f>
        <v>8459</v>
      </c>
      <c r="K5" s="112">
        <f>SUM(B5:J5)</f>
        <v>199719</v>
      </c>
      <c r="N5" s="89"/>
    </row>
    <row r="6" spans="1:14" x14ac:dyDescent="0.2">
      <c r="A6" s="43" t="s">
        <v>31</v>
      </c>
      <c r="B6" s="89">
        <f>[2]Frontier!$JV$23+[2]Frontier!$JV$33</f>
        <v>12645</v>
      </c>
      <c r="C6" s="89">
        <f>'[2]Allegiant '!$JV$23</f>
        <v>0</v>
      </c>
      <c r="D6" s="89">
        <f>'[2]Aer Lingus'!$JV$23+'[2]Aer Lingus'!$JV$33</f>
        <v>1316</v>
      </c>
      <c r="E6" s="89">
        <f>'[2]Denver Air'!$JV$23+'[2]Denver Air'!$JV$33</f>
        <v>816</v>
      </c>
      <c r="F6" s="89">
        <f>[2]WestJet!$JV$23+[2]WestJet!$JV$33</f>
        <v>5057</v>
      </c>
      <c r="G6" s="89">
        <f>[2]Icelandair!$JV$33</f>
        <v>2014</v>
      </c>
      <c r="H6" s="89">
        <f>[2]Southwest!$JV$23</f>
        <v>42361</v>
      </c>
      <c r="I6" s="89">
        <f>'[2]Sun Country'!$JV$23+'[2]Sun Country'!$JV$33</f>
        <v>132582</v>
      </c>
      <c r="J6" s="89">
        <f>[2]Alaska!$JV$23</f>
        <v>9163</v>
      </c>
      <c r="K6" s="112">
        <f>SUM(B6:J6)</f>
        <v>205954</v>
      </c>
    </row>
    <row r="7" spans="1:14" ht="15" x14ac:dyDescent="0.25">
      <c r="A7" s="41" t="s">
        <v>7</v>
      </c>
      <c r="B7" s="120">
        <f>SUM(B5:B6)</f>
        <v>25151</v>
      </c>
      <c r="C7" s="120">
        <f t="shared" ref="C7:F7" si="0">SUM(C5:C6)</f>
        <v>0</v>
      </c>
      <c r="D7" s="120">
        <f>SUM(D5:D6)</f>
        <v>3037</v>
      </c>
      <c r="E7" s="120">
        <f>SUM(E5:E6)</f>
        <v>1726</v>
      </c>
      <c r="F7" s="120">
        <f t="shared" si="0"/>
        <v>9254</v>
      </c>
      <c r="G7" s="120">
        <f t="shared" ref="G7:J7" si="1">SUM(G5:G6)</f>
        <v>4147</v>
      </c>
      <c r="H7" s="120">
        <f t="shared" si="1"/>
        <v>84840</v>
      </c>
      <c r="I7" s="120">
        <f>SUM(I5:I6)</f>
        <v>259896</v>
      </c>
      <c r="J7" s="120">
        <f t="shared" si="1"/>
        <v>17622</v>
      </c>
      <c r="K7" s="121">
        <f>SUM(B7:J7)</f>
        <v>405673</v>
      </c>
    </row>
    <row r="8" spans="1:14" x14ac:dyDescent="0.2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[2]Frontier!$JV$27+[2]Frontier!$JV$37</f>
        <v>113</v>
      </c>
      <c r="C10" s="119">
        <f>'[2]Allegiant '!$JV$27</f>
        <v>0</v>
      </c>
      <c r="D10" s="348">
        <f>'[2]Aer Lingus'!$JV$27+'[2]Aer Lingus'!$JV$37</f>
        <v>7</v>
      </c>
      <c r="E10" s="119">
        <f>'[2]Denver Air'!$JV$27+'[2]Denver Air'!$JV$37</f>
        <v>33</v>
      </c>
      <c r="F10" s="119">
        <f>[2]WestJet!$JV$27+[2]WestJet!$JV$37</f>
        <v>1</v>
      </c>
      <c r="G10" s="119">
        <f>[2]Icelandair!$JV$37</f>
        <v>41</v>
      </c>
      <c r="H10" s="119">
        <f>[2]Southwest!$JV$27</f>
        <v>1438</v>
      </c>
      <c r="I10" s="119">
        <f>'[2]Sun Country'!$JV$27+'[2]Sun Country'!$JV$37</f>
        <v>2957</v>
      </c>
      <c r="J10" s="119">
        <f>[2]Alaska!$JV$27</f>
        <v>288</v>
      </c>
      <c r="K10" s="112">
        <f>SUM(B10:J10)</f>
        <v>4878</v>
      </c>
    </row>
    <row r="11" spans="1:14" x14ac:dyDescent="0.2">
      <c r="A11" s="43" t="s">
        <v>33</v>
      </c>
      <c r="B11" s="122">
        <f>[2]Frontier!$JV$28+[2]Frontier!$JV$38</f>
        <v>124</v>
      </c>
      <c r="C11" s="122">
        <f>'[2]Allegiant '!$JV$28</f>
        <v>0</v>
      </c>
      <c r="D11" s="122">
        <f>'[2]Aer Lingus'!$JV$28+'[2]Aer Lingus'!$JV$38</f>
        <v>8</v>
      </c>
      <c r="E11" s="122">
        <f>'[2]Denver Air'!$JV$28+'[2]Denver Air'!$JV$38</f>
        <v>34</v>
      </c>
      <c r="F11" s="122">
        <f>[2]WestJet!$JV$28+[2]WestJet!$JV$38</f>
        <v>0</v>
      </c>
      <c r="G11" s="122">
        <f>[2]Icelandair!$JV$38</f>
        <v>42</v>
      </c>
      <c r="H11" s="122">
        <f>[2]Southwest!$JV$28</f>
        <v>1672</v>
      </c>
      <c r="I11" s="122">
        <f>'[2]Sun Country'!$JV$28+'[2]Sun Country'!$JV$38</f>
        <v>3039</v>
      </c>
      <c r="J11" s="122">
        <f>[2]Alaska!$JV$28</f>
        <v>332</v>
      </c>
      <c r="K11" s="112">
        <f>SUM(B11:J11)</f>
        <v>5251</v>
      </c>
    </row>
    <row r="12" spans="1:14" ht="15.75" thickBot="1" x14ac:dyDescent="0.3">
      <c r="A12" s="44" t="s">
        <v>34</v>
      </c>
      <c r="B12" s="115">
        <f>SUM(B10:B11)</f>
        <v>237</v>
      </c>
      <c r="C12" s="115">
        <f t="shared" ref="C12:F12" si="2">SUM(C10:C11)</f>
        <v>0</v>
      </c>
      <c r="D12" s="115">
        <f>SUM(D10:D11)</f>
        <v>15</v>
      </c>
      <c r="E12" s="115">
        <f>SUM(E10:E11)</f>
        <v>67</v>
      </c>
      <c r="F12" s="115">
        <f t="shared" si="2"/>
        <v>1</v>
      </c>
      <c r="G12" s="115">
        <f t="shared" ref="G12:J12" si="3">SUM(G10:G11)</f>
        <v>83</v>
      </c>
      <c r="H12" s="115">
        <f t="shared" si="3"/>
        <v>3110</v>
      </c>
      <c r="I12" s="115">
        <f>SUM(I10:I11)</f>
        <v>5996</v>
      </c>
      <c r="J12" s="115">
        <f t="shared" si="3"/>
        <v>620</v>
      </c>
      <c r="K12" s="123">
        <f>SUM(B12:J12)</f>
        <v>10129</v>
      </c>
      <c r="N12" s="89"/>
    </row>
    <row r="13" spans="1:14" ht="15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[2]Frontier!$JV$4+[2]Frontier!$JV$15</f>
        <v>77</v>
      </c>
      <c r="C16" s="79">
        <f>'[2]Allegiant '!$JV$4</f>
        <v>0</v>
      </c>
      <c r="D16" s="89">
        <f>'[2]Aer Lingus'!$JV$4+'[2]Aer Lingus'!$JV$15</f>
        <v>17</v>
      </c>
      <c r="E16" s="89">
        <f>'[2]Denver Air'!$JV$4+'[2]Denver Air'!$JV$15</f>
        <v>79</v>
      </c>
      <c r="F16" s="79">
        <f>[2]WestJet!$JV$4+[2]WestJet!$JV$15</f>
        <v>61</v>
      </c>
      <c r="G16" s="89">
        <f>[2]Icelandair!$JV$15</f>
        <v>17</v>
      </c>
      <c r="H16" s="79">
        <f>[2]Southwest!$JV$4</f>
        <v>378</v>
      </c>
      <c r="I16" s="89">
        <f>'[2]Sun Country'!$JV$4+'[2]Sun Country'!$JV$15</f>
        <v>830</v>
      </c>
      <c r="J16" s="89">
        <f>[2]Alaska!$JV$4</f>
        <v>57</v>
      </c>
      <c r="K16" s="112">
        <f>SUM(B16:J16)</f>
        <v>1516</v>
      </c>
    </row>
    <row r="17" spans="1:258" x14ac:dyDescent="0.2">
      <c r="A17" s="43" t="s">
        <v>23</v>
      </c>
      <c r="B17" s="89">
        <f>[2]Frontier!$JV$5+[2]Frontier!$JV$16</f>
        <v>76</v>
      </c>
      <c r="C17" s="79">
        <f>'[2]Allegiant '!$JV$5</f>
        <v>0</v>
      </c>
      <c r="D17" s="89">
        <f>'[2]Aer Lingus'!$JV$5+'[2]Aer Lingus'!$JV$16</f>
        <v>17</v>
      </c>
      <c r="E17" s="89">
        <f>'[2]Denver Air'!$JV$5+'[2]Denver Air'!$JV$16</f>
        <v>79</v>
      </c>
      <c r="F17" s="79">
        <f>[2]WestJet!$JV$5+[2]WestJet!$JV$16</f>
        <v>61</v>
      </c>
      <c r="G17" s="89">
        <f>[2]Icelandair!$JV$16</f>
        <v>17</v>
      </c>
      <c r="H17" s="79">
        <f>[2]Southwest!$JV$5</f>
        <v>376</v>
      </c>
      <c r="I17" s="89">
        <f>'[2]Sun Country'!$JV$5+'[2]Sun Country'!$JV$16</f>
        <v>836</v>
      </c>
      <c r="J17" s="89">
        <f>[2]Alaska!$JV$5</f>
        <v>57</v>
      </c>
      <c r="K17" s="112">
        <f>SUM(B17:J17)</f>
        <v>1519</v>
      </c>
    </row>
    <row r="18" spans="1:258" x14ac:dyDescent="0.2">
      <c r="A18" s="47" t="s">
        <v>24</v>
      </c>
      <c r="B18" s="113">
        <f t="shared" ref="B18" si="4">SUM(B16:B17)</f>
        <v>153</v>
      </c>
      <c r="C18" s="113">
        <f t="shared" ref="C18:F18" si="5">SUM(C16:C17)</f>
        <v>0</v>
      </c>
      <c r="D18" s="113">
        <f t="shared" si="5"/>
        <v>34</v>
      </c>
      <c r="E18" s="113">
        <f t="shared" si="5"/>
        <v>158</v>
      </c>
      <c r="F18" s="113">
        <f t="shared" si="5"/>
        <v>122</v>
      </c>
      <c r="G18" s="113">
        <f t="shared" ref="G18:J18" si="6">SUM(G16:G17)</f>
        <v>34</v>
      </c>
      <c r="H18" s="113">
        <f t="shared" si="6"/>
        <v>754</v>
      </c>
      <c r="I18" s="113">
        <f t="shared" si="6"/>
        <v>1666</v>
      </c>
      <c r="J18" s="113">
        <f t="shared" si="6"/>
        <v>114</v>
      </c>
      <c r="K18" s="114">
        <f>SUM(B18:J18)</f>
        <v>3035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[2]Frontier!$JV$8</f>
        <v>0</v>
      </c>
      <c r="C20" s="89">
        <f>'[2]Allegiant '!$JV$8</f>
        <v>0</v>
      </c>
      <c r="D20" s="89">
        <f>'[2]Aer Lingus'!$JV$8</f>
        <v>0</v>
      </c>
      <c r="E20" s="89">
        <f>'[2]Denver Air'!$JV$8</f>
        <v>0</v>
      </c>
      <c r="F20" s="89">
        <f>[2]WestJet!$JV$8</f>
        <v>0</v>
      </c>
      <c r="G20" s="89">
        <f>[2]Icelandair!$JV$8</f>
        <v>0</v>
      </c>
      <c r="H20" s="89">
        <f>[2]Southwest!$JV$8</f>
        <v>0</v>
      </c>
      <c r="I20" s="89">
        <f>'[2]Sun Country'!$JV$8</f>
        <v>70</v>
      </c>
      <c r="J20" s="89">
        <f>[2]Alaska!$JV$8</f>
        <v>1</v>
      </c>
      <c r="K20" s="112">
        <f>SUM(B20:J20)</f>
        <v>71</v>
      </c>
    </row>
    <row r="21" spans="1:258" x14ac:dyDescent="0.2">
      <c r="A21" s="43" t="s">
        <v>26</v>
      </c>
      <c r="B21" s="89">
        <f>[2]Frontier!$JV$9</f>
        <v>0</v>
      </c>
      <c r="C21" s="89">
        <f>'[2]Allegiant '!$JV$9</f>
        <v>0</v>
      </c>
      <c r="D21" s="89">
        <f>'[2]Aer Lingus'!$JV$9</f>
        <v>0</v>
      </c>
      <c r="E21" s="89">
        <f>'[2]Denver Air'!$JV$9</f>
        <v>0</v>
      </c>
      <c r="F21" s="89">
        <f>[2]WestJet!$JV$9</f>
        <v>0</v>
      </c>
      <c r="G21" s="89">
        <f>[2]Icelandair!$JV$9</f>
        <v>0</v>
      </c>
      <c r="H21" s="89">
        <f>[2]Southwest!$JV$9</f>
        <v>0</v>
      </c>
      <c r="I21" s="89">
        <f>'[2]Sun Country'!$JV$9</f>
        <v>74</v>
      </c>
      <c r="J21" s="89">
        <f>[2]Alaska!$JV$9</f>
        <v>1</v>
      </c>
      <c r="K21" s="112">
        <f>SUM(B21:J21)</f>
        <v>75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144</v>
      </c>
      <c r="J22" s="113">
        <f t="shared" si="9"/>
        <v>2</v>
      </c>
      <c r="K22" s="114">
        <f>SUM(B22:J22)</f>
        <v>146</v>
      </c>
    </row>
    <row r="23" spans="1:258" ht="15.75" thickBot="1" x14ac:dyDescent="0.3">
      <c r="A23" s="44" t="s">
        <v>28</v>
      </c>
      <c r="B23" s="115">
        <f t="shared" ref="B23" si="10">B22+B18</f>
        <v>153</v>
      </c>
      <c r="C23" s="115">
        <f t="shared" ref="C23:F23" si="11">C22+C18</f>
        <v>0</v>
      </c>
      <c r="D23" s="115">
        <f t="shared" si="11"/>
        <v>34</v>
      </c>
      <c r="E23" s="115">
        <f t="shared" si="11"/>
        <v>158</v>
      </c>
      <c r="F23" s="115">
        <f t="shared" si="11"/>
        <v>122</v>
      </c>
      <c r="G23" s="115">
        <f t="shared" ref="G23:J23" si="12">G22+G18</f>
        <v>34</v>
      </c>
      <c r="H23" s="115">
        <f t="shared" si="12"/>
        <v>754</v>
      </c>
      <c r="I23" s="115">
        <f>I22+I18</f>
        <v>1810</v>
      </c>
      <c r="J23" s="115">
        <f t="shared" si="12"/>
        <v>116</v>
      </c>
      <c r="K23" s="116">
        <f>SUM(B23:J23)</f>
        <v>3181</v>
      </c>
      <c r="O23" s="89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[2]Frontier!$JV$47</f>
        <v>0</v>
      </c>
      <c r="C28" s="89">
        <f>'[2]Allegiant '!$JV$47</f>
        <v>0</v>
      </c>
      <c r="D28" s="89">
        <f>'[2]Aer Lingus'!$JV$47</f>
        <v>143.30000000000001</v>
      </c>
      <c r="E28" s="89">
        <f>'[2]Denver Air'!$JV$47</f>
        <v>0</v>
      </c>
      <c r="F28" s="89">
        <f>[2]WestJet!$JV$47</f>
        <v>0</v>
      </c>
      <c r="G28" s="89">
        <f>[2]Icelandair!$JV$47</f>
        <v>0</v>
      </c>
      <c r="H28" s="89">
        <f>[2]Southwest!$JV$47</f>
        <v>129746</v>
      </c>
      <c r="I28" s="89">
        <f>'[2]Sun Country'!$JV$47</f>
        <v>0</v>
      </c>
      <c r="J28" s="89">
        <f>[2]Alaska!$JV$47</f>
        <v>13600</v>
      </c>
      <c r="K28" s="112">
        <f>SUM(B28:J28)</f>
        <v>143489.29999999999</v>
      </c>
    </row>
    <row r="29" spans="1:258" x14ac:dyDescent="0.2">
      <c r="A29" s="43" t="s">
        <v>38</v>
      </c>
      <c r="B29" s="89">
        <f>[2]Frontier!$JV$48</f>
        <v>0</v>
      </c>
      <c r="C29" s="89">
        <f>'[2]Allegiant '!$JV$48</f>
        <v>0</v>
      </c>
      <c r="D29" s="89">
        <f>'[2]Aer Lingus'!$JV$48</f>
        <v>0</v>
      </c>
      <c r="E29" s="89">
        <f>'[2]Denver Air'!$JV$48</f>
        <v>0</v>
      </c>
      <c r="F29" s="89">
        <f>[2]WestJet!$JV$48</f>
        <v>0</v>
      </c>
      <c r="G29" s="89">
        <f>[2]Icelandair!$JV$48</f>
        <v>0</v>
      </c>
      <c r="H29" s="89">
        <f>[2]Southwest!$JV$48</f>
        <v>0</v>
      </c>
      <c r="I29" s="89">
        <f>'[2]Sun Country'!$JV$48</f>
        <v>0</v>
      </c>
      <c r="J29" s="89">
        <f>[2]Alaska!$JV$48</f>
        <v>4245</v>
      </c>
      <c r="K29" s="112">
        <f>SUM(B29:J29)</f>
        <v>4245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143.30000000000001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0</v>
      </c>
      <c r="H30" s="127">
        <f t="shared" si="15"/>
        <v>129746</v>
      </c>
      <c r="I30" s="127">
        <f t="shared" si="15"/>
        <v>0</v>
      </c>
      <c r="J30" s="127">
        <f t="shared" si="15"/>
        <v>17845</v>
      </c>
      <c r="K30" s="129">
        <f>SUM(B30:J30)</f>
        <v>147734.29999999999</v>
      </c>
    </row>
    <row r="31" spans="1:258" x14ac:dyDescent="0.2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[2]Frontier!$JV$52</f>
        <v>0</v>
      </c>
      <c r="C33" s="89">
        <f>'[2]Allegiant '!$JV$52</f>
        <v>0</v>
      </c>
      <c r="D33" s="89">
        <f>'[2]Aer Lingus'!$JV$52</f>
        <v>2301.62</v>
      </c>
      <c r="E33" s="89">
        <f>'[2]Denver Air'!$JV$52</f>
        <v>0</v>
      </c>
      <c r="F33" s="89">
        <f>[2]WestJet!$JV$52</f>
        <v>0</v>
      </c>
      <c r="G33" s="89">
        <f>[2]Icelandair!$JV$52</f>
        <v>0</v>
      </c>
      <c r="H33" s="89">
        <f>[2]Southwest!$JV$52</f>
        <v>54062</v>
      </c>
      <c r="I33" s="89">
        <f>'[2]Sun Country'!$JV$52</f>
        <v>0</v>
      </c>
      <c r="J33" s="89">
        <f>[2]Alaska!$JV$52</f>
        <v>7775</v>
      </c>
      <c r="K33" s="112">
        <f>SUM(B33:J33)</f>
        <v>64138.62</v>
      </c>
    </row>
    <row r="34" spans="1:11" x14ac:dyDescent="0.2">
      <c r="A34" s="43" t="s">
        <v>38</v>
      </c>
      <c r="B34" s="89">
        <f>[2]Frontier!$JV$53</f>
        <v>0</v>
      </c>
      <c r="C34" s="89">
        <f>'[2]Allegiant '!$JV$53</f>
        <v>0</v>
      </c>
      <c r="D34" s="89">
        <f>'[2]Aer Lingus'!$JV$53</f>
        <v>0</v>
      </c>
      <c r="E34" s="89">
        <f>'[2]Denver Air'!$JV$53</f>
        <v>0</v>
      </c>
      <c r="F34" s="89">
        <f>[2]WestJet!$JV$53</f>
        <v>0</v>
      </c>
      <c r="G34" s="89">
        <f>[2]Icelandair!$JV$53</f>
        <v>0</v>
      </c>
      <c r="H34" s="89">
        <f>[2]Southwest!$JV$53</f>
        <v>0</v>
      </c>
      <c r="I34" s="89">
        <f>'[2]Sun Country'!$JV$53</f>
        <v>0</v>
      </c>
      <c r="J34" s="89">
        <f>[2]Alaska!$JV$53</f>
        <v>2466</v>
      </c>
      <c r="K34" s="128">
        <f>SUM(B34:J34)</f>
        <v>2466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2301.62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54062</v>
      </c>
      <c r="I35" s="113">
        <f t="shared" si="18"/>
        <v>0</v>
      </c>
      <c r="J35" s="113">
        <f t="shared" si="18"/>
        <v>10241</v>
      </c>
      <c r="K35" s="129">
        <f>SUM(B35:J35)</f>
        <v>66604.62</v>
      </c>
    </row>
    <row r="36" spans="1:11" hidden="1" x14ac:dyDescent="0.2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[2]Frontier!$JV$57</f>
        <v>0</v>
      </c>
      <c r="C38" s="119">
        <f>'[2]Allegiant '!$JV$57</f>
        <v>0</v>
      </c>
      <c r="D38" s="348">
        <f>'[2]Aer Lingus'!$JV$57</f>
        <v>0</v>
      </c>
      <c r="E38" s="119">
        <f>'[2]Denver Air'!$JV$57</f>
        <v>0</v>
      </c>
      <c r="F38" s="119">
        <f>[2]WestJet!$JV$57</f>
        <v>0</v>
      </c>
      <c r="G38" s="119">
        <f>[2]Icelandair!$JV$57</f>
        <v>0</v>
      </c>
      <c r="H38" s="119">
        <f>[2]Southwest!$JV$57</f>
        <v>0</v>
      </c>
      <c r="I38" s="119">
        <f>'[2]Sun Country'!$JV$57</f>
        <v>0</v>
      </c>
      <c r="J38" s="119">
        <f>[2]Alaska!$JV$57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[2]Frontier!$JV$58</f>
        <v>0</v>
      </c>
      <c r="C39" s="122">
        <f>'[2]Allegiant '!$JV$58</f>
        <v>0</v>
      </c>
      <c r="D39" s="122">
        <f>'[2]Aer Lingus'!$JV$58</f>
        <v>0</v>
      </c>
      <c r="E39" s="122">
        <f>'[2]Denver Air'!$JV$58</f>
        <v>0</v>
      </c>
      <c r="F39" s="122">
        <f>[2]WestJet!$JV$58</f>
        <v>0</v>
      </c>
      <c r="G39" s="122">
        <f>[2]Icelandair!$JV$58</f>
        <v>0</v>
      </c>
      <c r="H39" s="122">
        <f>[2]Southwest!$JV$58</f>
        <v>0</v>
      </c>
      <c r="I39" s="122">
        <f>'[2]Sun Country'!$JV$58</f>
        <v>0</v>
      </c>
      <c r="J39" s="122">
        <f>[2]Alaska!$JV$58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2444.92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0</v>
      </c>
      <c r="H43" s="119">
        <f t="shared" si="24"/>
        <v>183808</v>
      </c>
      <c r="I43" s="119">
        <f t="shared" si="24"/>
        <v>0</v>
      </c>
      <c r="J43" s="119">
        <f t="shared" si="24"/>
        <v>21375</v>
      </c>
      <c r="K43" s="112">
        <f>SUM(B43:J43)</f>
        <v>207627.92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6711</v>
      </c>
      <c r="K44" s="112">
        <f>SUM(B44:J44)</f>
        <v>6711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2444.92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0</v>
      </c>
      <c r="H45" s="131">
        <f t="shared" si="30"/>
        <v>183808</v>
      </c>
      <c r="I45" s="131">
        <f t="shared" si="30"/>
        <v>0</v>
      </c>
      <c r="J45" s="131">
        <f t="shared" si="30"/>
        <v>28086</v>
      </c>
      <c r="K45" s="132">
        <f>SUM(B45:J45)</f>
        <v>214338.92</v>
      </c>
    </row>
    <row r="48" spans="1:11" x14ac:dyDescent="0.2">
      <c r="A48" s="266" t="s">
        <v>119</v>
      </c>
      <c r="B48" s="277"/>
      <c r="C48" s="277"/>
      <c r="D48" s="277"/>
      <c r="E48" s="277"/>
      <c r="F48" s="277"/>
      <c r="H48" s="233">
        <f>[2]Southwest!$JV$70+[2]Southwest!$JV$73</f>
        <v>0</v>
      </c>
      <c r="I48" s="233">
        <f>'[2]Sun Country'!$JV$70+'[2]Sun Country'!$JV$73</f>
        <v>0</v>
      </c>
      <c r="J48" s="277"/>
      <c r="K48" s="222">
        <f>SUM(B48:J48)</f>
        <v>0</v>
      </c>
    </row>
    <row r="49" spans="1:11" x14ac:dyDescent="0.2">
      <c r="A49" s="279" t="s">
        <v>120</v>
      </c>
      <c r="B49" s="277"/>
      <c r="C49" s="277"/>
      <c r="D49" s="277"/>
      <c r="E49" s="277"/>
      <c r="F49" s="277"/>
      <c r="H49" s="233">
        <f>[2]Southwest!$JV$71+[2]Southwest!$JV$74</f>
        <v>0</v>
      </c>
      <c r="I49" s="233">
        <f>'[2]Sun Country'!$JV$71+'[2]Sun Country'!$JV$74</f>
        <v>0</v>
      </c>
      <c r="J49" s="277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January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="115" zoomScaleNormal="115" zoomScaleSheetLayoutView="115" workbookViewId="0">
      <selection activeCell="F11" activeCellId="1" sqref="F6 F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5"/>
    </row>
    <row r="2" spans="1:14" ht="26.25" thickBot="1" x14ac:dyDescent="0.25">
      <c r="A2" s="384">
        <v>46023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4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4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4" x14ac:dyDescent="0.2">
      <c r="A5" s="43" t="s">
        <v>30</v>
      </c>
      <c r="B5" s="81">
        <f>[2]Pinnacle!$JV$22+[2]Pinnacle!$JV$32</f>
        <v>85274</v>
      </c>
      <c r="C5" s="81">
        <f>[2]MESA_UA!$JV$22</f>
        <v>2468</v>
      </c>
      <c r="D5" s="89">
        <f>'[2]Sky West'!$JV$22+'[2]Sky West'!$JV$32</f>
        <v>98351</v>
      </c>
      <c r="E5" s="89">
        <f>'[2]Sky West_UA'!$JV$22</f>
        <v>1981</v>
      </c>
      <c r="F5" s="89">
        <f>'[2]Sky West_AA'!$JV$22</f>
        <v>271</v>
      </c>
      <c r="G5" s="89">
        <f>[2]Republic!$JV$22</f>
        <v>2685</v>
      </c>
      <c r="H5" s="89">
        <f>[2]Republic_UA!$JV$22</f>
        <v>4326</v>
      </c>
      <c r="I5" s="89">
        <f>'[2]American Eagle'!$JV$22</f>
        <v>5486</v>
      </c>
      <c r="J5" s="89">
        <f>'Other Regional'!H5</f>
        <v>5611</v>
      </c>
      <c r="K5" s="82">
        <f>SUM(B5:J5)</f>
        <v>206453</v>
      </c>
    </row>
    <row r="6" spans="1:14" s="6" customFormat="1" x14ac:dyDescent="0.2">
      <c r="A6" s="43" t="s">
        <v>31</v>
      </c>
      <c r="B6" s="81">
        <f>[2]Pinnacle!$JV$23+[2]Pinnacle!$JV$33</f>
        <v>83943</v>
      </c>
      <c r="C6" s="81">
        <f>[2]MESA_UA!$JV$23</f>
        <v>2982</v>
      </c>
      <c r="D6" s="89">
        <f>'[2]Sky West'!$JV$23+'[2]Sky West'!$JV$33</f>
        <v>98351</v>
      </c>
      <c r="E6" s="89">
        <f>'[2]Sky West_UA'!$JV$23</f>
        <v>1885</v>
      </c>
      <c r="F6" s="89">
        <f>'[2]Sky West_AA'!$JV$23</f>
        <v>308</v>
      </c>
      <c r="G6" s="89">
        <f>[2]Republic!$JV$23</f>
        <v>2994</v>
      </c>
      <c r="H6" s="89">
        <f>[2]Republic_UA!$JV$23</f>
        <v>4188</v>
      </c>
      <c r="I6" s="89">
        <f>'[2]American Eagle'!$JV$23</f>
        <v>5363</v>
      </c>
      <c r="J6" s="89">
        <f>'Other Regional'!H6</f>
        <v>5632</v>
      </c>
      <c r="K6" s="86">
        <f>SUM(B6:J6)</f>
        <v>205646</v>
      </c>
    </row>
    <row r="7" spans="1:14" ht="15" thickBot="1" x14ac:dyDescent="0.25">
      <c r="A7" s="52" t="s">
        <v>7</v>
      </c>
      <c r="B7" s="99">
        <f>SUM(B5:B6)</f>
        <v>169217</v>
      </c>
      <c r="C7" s="99">
        <f t="shared" ref="C7:J7" si="0">SUM(C5:C6)</f>
        <v>5450</v>
      </c>
      <c r="D7" s="99">
        <f t="shared" si="0"/>
        <v>196702</v>
      </c>
      <c r="E7" s="99">
        <f t="shared" si="0"/>
        <v>3866</v>
      </c>
      <c r="F7" s="99">
        <f t="shared" ref="F7" si="1">SUM(F5:F6)</f>
        <v>579</v>
      </c>
      <c r="G7" s="99">
        <f t="shared" si="0"/>
        <v>5679</v>
      </c>
      <c r="H7" s="99">
        <f t="shared" si="0"/>
        <v>8514</v>
      </c>
      <c r="I7" s="99">
        <f t="shared" si="0"/>
        <v>10849</v>
      </c>
      <c r="J7" s="99">
        <f t="shared" si="0"/>
        <v>11243</v>
      </c>
      <c r="K7" s="100">
        <f>SUM(B7:J7)</f>
        <v>412099</v>
      </c>
    </row>
    <row r="8" spans="1:14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4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4" x14ac:dyDescent="0.2">
      <c r="A10" s="43" t="s">
        <v>30</v>
      </c>
      <c r="B10" s="81">
        <f>[2]Pinnacle!$JV$27+[2]Pinnacle!$JV$37</f>
        <v>2939</v>
      </c>
      <c r="C10" s="81">
        <f>[2]MESA_UA!$JV$27</f>
        <v>127</v>
      </c>
      <c r="D10" s="89">
        <f>'[2]Sky West'!$JV$27+'[2]Sky West'!$JV$37</f>
        <v>3734</v>
      </c>
      <c r="E10" s="89">
        <f>'[2]Sky West_UA'!$JV$27</f>
        <v>93</v>
      </c>
      <c r="F10" s="89">
        <f>'[2]Sky West_AA'!$JV$27</f>
        <v>17</v>
      </c>
      <c r="G10" s="89">
        <f>[2]Republic!$JV$27</f>
        <v>127</v>
      </c>
      <c r="H10" s="89">
        <f>[2]Republic_UA!$JV$27</f>
        <v>181</v>
      </c>
      <c r="I10" s="89">
        <f>'[2]American Eagle'!$JV$27</f>
        <v>261</v>
      </c>
      <c r="J10" s="89">
        <f>'Other Regional'!H10</f>
        <v>166</v>
      </c>
      <c r="K10" s="82">
        <f>SUM(B10:J10)</f>
        <v>7645</v>
      </c>
    </row>
    <row r="11" spans="1:14" x14ac:dyDescent="0.2">
      <c r="A11" s="43" t="s">
        <v>33</v>
      </c>
      <c r="B11" s="81">
        <f>[2]Pinnacle!$JV$28+[2]Pinnacle!$JV$38</f>
        <v>2818</v>
      </c>
      <c r="C11" s="81">
        <f>[2]MESA_UA!$JV$28</f>
        <v>116</v>
      </c>
      <c r="D11" s="89">
        <f>'[2]Sky West'!$JV$28+'[2]Sky West'!$JV$38</f>
        <v>3458</v>
      </c>
      <c r="E11" s="89">
        <f>'[2]Sky West_UA'!$JV$28</f>
        <v>78</v>
      </c>
      <c r="F11" s="89">
        <f>'[2]Sky West_AA'!$JV$28</f>
        <v>16</v>
      </c>
      <c r="G11" s="89">
        <f>[2]Republic!$JV$28</f>
        <v>130</v>
      </c>
      <c r="H11" s="89">
        <f>[2]Republic_UA!$JV$28</f>
        <v>175</v>
      </c>
      <c r="I11" s="89">
        <f>'[2]American Eagle'!$JV$28</f>
        <v>242</v>
      </c>
      <c r="J11" s="89">
        <f>'Other Regional'!H11</f>
        <v>166</v>
      </c>
      <c r="K11" s="86">
        <f>SUM(B11:J11)</f>
        <v>7199</v>
      </c>
    </row>
    <row r="12" spans="1:14" ht="15" thickBot="1" x14ac:dyDescent="0.25">
      <c r="A12" s="53" t="s">
        <v>34</v>
      </c>
      <c r="B12" s="102">
        <f t="shared" ref="B12:J12" si="2">SUM(B10:B11)</f>
        <v>5757</v>
      </c>
      <c r="C12" s="102">
        <f t="shared" si="2"/>
        <v>243</v>
      </c>
      <c r="D12" s="102">
        <f t="shared" si="2"/>
        <v>7192</v>
      </c>
      <c r="E12" s="102">
        <f t="shared" si="2"/>
        <v>171</v>
      </c>
      <c r="F12" s="102">
        <f t="shared" ref="F12" si="3">SUM(F10:F11)</f>
        <v>33</v>
      </c>
      <c r="G12" s="102">
        <f t="shared" si="2"/>
        <v>257</v>
      </c>
      <c r="H12" s="102">
        <f t="shared" si="2"/>
        <v>356</v>
      </c>
      <c r="I12" s="102">
        <f t="shared" si="2"/>
        <v>503</v>
      </c>
      <c r="J12" s="102">
        <f t="shared" si="2"/>
        <v>332</v>
      </c>
      <c r="K12" s="103">
        <f>SUM(B12:J12)</f>
        <v>14844</v>
      </c>
    </row>
    <row r="13" spans="1:14" ht="13.5" thickBot="1" x14ac:dyDescent="0.25">
      <c r="B13" s="89"/>
      <c r="C13" s="89"/>
      <c r="D13" s="89"/>
      <c r="E13" s="89"/>
      <c r="F13" s="89"/>
      <c r="G13" s="89"/>
      <c r="H13" s="89"/>
      <c r="I13" s="89"/>
    </row>
    <row r="14" spans="1:14" ht="15.75" thickTop="1" x14ac:dyDescent="0.25">
      <c r="A14" s="42" t="s">
        <v>9</v>
      </c>
      <c r="B14" s="423" t="s">
        <v>211</v>
      </c>
      <c r="C14" s="77"/>
      <c r="D14" s="76"/>
      <c r="E14" s="76"/>
      <c r="F14" s="76"/>
      <c r="G14" s="76"/>
      <c r="H14" s="76"/>
      <c r="I14" s="76"/>
      <c r="J14" s="76"/>
      <c r="K14" s="78"/>
    </row>
    <row r="15" spans="1:14" x14ac:dyDescent="0.2">
      <c r="A15" s="43" t="s">
        <v>52</v>
      </c>
      <c r="B15" s="11">
        <f>[2]Pinnacle!$JV$4+[2]Pinnacle!$JV$15</f>
        <v>1527</v>
      </c>
      <c r="C15" s="80">
        <f>[2]MESA_UA!$JV$4</f>
        <v>45</v>
      </c>
      <c r="D15" s="79">
        <f>'[2]Sky West'!$JV$4+'[2]Sky West'!$JV$15</f>
        <v>2086</v>
      </c>
      <c r="E15" s="79">
        <f>'[2]Sky West_UA'!$JV$4</f>
        <v>25</v>
      </c>
      <c r="F15" s="79">
        <f>'[2]Sky West_AA'!$JV$4</f>
        <v>5</v>
      </c>
      <c r="G15" s="81">
        <f>[2]Republic!$JV$4</f>
        <v>52</v>
      </c>
      <c r="H15" s="323">
        <f>[2]Republic_UA!$JV$4</f>
        <v>72</v>
      </c>
      <c r="I15" s="81">
        <f>'[2]American Eagle'!$JV$4</f>
        <v>97</v>
      </c>
      <c r="J15" s="80">
        <f>'Other Regional'!H15</f>
        <v>105</v>
      </c>
      <c r="K15" s="82">
        <f t="shared" ref="K15:K21" si="4">SUM(B15:J15)</f>
        <v>4014</v>
      </c>
    </row>
    <row r="16" spans="1:14" x14ac:dyDescent="0.2">
      <c r="A16" s="43" t="s">
        <v>53</v>
      </c>
      <c r="B16" s="7">
        <f>[2]Pinnacle!$JV$5+[2]Pinnacle!$JV$16</f>
        <v>1524</v>
      </c>
      <c r="C16" s="84">
        <f>[2]MESA_UA!$JV$5</f>
        <v>46</v>
      </c>
      <c r="D16" s="83">
        <f>'[2]Sky West'!$JV$5+'[2]Sky West'!$JV$16</f>
        <v>2087</v>
      </c>
      <c r="E16" s="83">
        <f>'[2]Sky West_UA'!$JV$5</f>
        <v>25</v>
      </c>
      <c r="F16" s="83">
        <f>'[2]Sky West_AA'!$JV$5</f>
        <v>5</v>
      </c>
      <c r="G16" s="85">
        <f>[2]Republic!$JV$5</f>
        <v>52</v>
      </c>
      <c r="H16" s="210">
        <f>[2]Republic_UA!$JV$5</f>
        <v>71</v>
      </c>
      <c r="I16" s="85">
        <f>'[2]American Eagle'!$JV$5</f>
        <v>95</v>
      </c>
      <c r="J16" s="84">
        <f>'Other Regional'!H16</f>
        <v>107</v>
      </c>
      <c r="K16" s="86">
        <f t="shared" si="4"/>
        <v>4012</v>
      </c>
      <c r="M16" s="89"/>
      <c r="N16" s="89"/>
    </row>
    <row r="17" spans="1:11" x14ac:dyDescent="0.2">
      <c r="A17" s="47" t="s">
        <v>54</v>
      </c>
      <c r="B17" s="87">
        <f t="shared" ref="B17:D17" si="5">SUM(B15:B16)</f>
        <v>3051</v>
      </c>
      <c r="C17" s="87">
        <f t="shared" si="5"/>
        <v>91</v>
      </c>
      <c r="D17" s="87">
        <f t="shared" si="5"/>
        <v>4173</v>
      </c>
      <c r="E17" s="87">
        <f>SUM(E15:E16)</f>
        <v>50</v>
      </c>
      <c r="F17" s="87">
        <f>SUM(F15:F16)</f>
        <v>10</v>
      </c>
      <c r="G17" s="87">
        <f>SUM(G15:G16)</f>
        <v>104</v>
      </c>
      <c r="H17" s="87">
        <f t="shared" ref="H17" si="6">SUM(H15:H16)</f>
        <v>143</v>
      </c>
      <c r="I17" s="87">
        <f>SUM(I15:I16)</f>
        <v>192</v>
      </c>
      <c r="J17" s="87">
        <f>SUM(J15:J16)</f>
        <v>212</v>
      </c>
      <c r="K17" s="88">
        <f t="shared" si="4"/>
        <v>8026</v>
      </c>
    </row>
    <row r="18" spans="1:11" x14ac:dyDescent="0.2">
      <c r="A18" s="43" t="s">
        <v>55</v>
      </c>
      <c r="B18" s="89">
        <f>[2]Pinnacle!$JV$8</f>
        <v>1</v>
      </c>
      <c r="C18" s="81">
        <f>[2]MESA_UA!$JV$8</f>
        <v>1</v>
      </c>
      <c r="D18" s="89">
        <f>'[2]Sky West'!$JV$8</f>
        <v>0</v>
      </c>
      <c r="E18" s="89">
        <f>'[2]Sky West_UA'!$JV$8</f>
        <v>2</v>
      </c>
      <c r="F18" s="89">
        <f>'[2]Sky West_AA'!$JV$8</f>
        <v>0</v>
      </c>
      <c r="G18" s="89">
        <f>[2]Republic!$JV$8</f>
        <v>0</v>
      </c>
      <c r="H18" s="89">
        <f>[2]Republic_UA!$JV$8</f>
        <v>0</v>
      </c>
      <c r="I18" s="89">
        <f>'[2]American Eagle'!$JV$8</f>
        <v>0</v>
      </c>
      <c r="J18" s="89">
        <f>'Other Regional'!H18</f>
        <v>0</v>
      </c>
      <c r="K18" s="82">
        <f t="shared" si="4"/>
        <v>4</v>
      </c>
    </row>
    <row r="19" spans="1:11" x14ac:dyDescent="0.2">
      <c r="A19" s="43" t="s">
        <v>56</v>
      </c>
      <c r="B19" s="90">
        <f>[2]Pinnacle!$JV$9</f>
        <v>1</v>
      </c>
      <c r="C19" s="85">
        <f>[2]MESA_UA!$JV$9</f>
        <v>0</v>
      </c>
      <c r="D19" s="90">
        <f>'[2]Sky West'!$JV$9</f>
        <v>1</v>
      </c>
      <c r="E19" s="90">
        <f>'[2]Sky West_UA'!$JV$9</f>
        <v>2</v>
      </c>
      <c r="F19" s="90">
        <f>'[2]Sky West_AA'!$JV$9</f>
        <v>0</v>
      </c>
      <c r="G19" s="90">
        <f>[2]Republic!$JV$9</f>
        <v>0</v>
      </c>
      <c r="H19" s="90">
        <f>[2]Republic_UA!$JV$9</f>
        <v>0</v>
      </c>
      <c r="I19" s="90">
        <f>'[2]American Eagle'!$JV$9</f>
        <v>0</v>
      </c>
      <c r="J19" s="90">
        <f>'Other Regional'!H19</f>
        <v>0</v>
      </c>
      <c r="K19" s="86">
        <f t="shared" si="4"/>
        <v>4</v>
      </c>
    </row>
    <row r="20" spans="1:11" x14ac:dyDescent="0.2">
      <c r="A20" s="47" t="s">
        <v>57</v>
      </c>
      <c r="B20" s="87">
        <f t="shared" ref="B20:J20" si="7">SUM(B18:B19)</f>
        <v>2</v>
      </c>
      <c r="C20" s="87">
        <f t="shared" si="7"/>
        <v>1</v>
      </c>
      <c r="D20" s="87">
        <f t="shared" si="7"/>
        <v>1</v>
      </c>
      <c r="E20" s="87">
        <f t="shared" si="7"/>
        <v>4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 t="shared" si="4"/>
        <v>8</v>
      </c>
    </row>
    <row r="21" spans="1:11" ht="15.75" thickBot="1" x14ac:dyDescent="0.3">
      <c r="A21" s="51" t="s">
        <v>28</v>
      </c>
      <c r="B21" s="91">
        <f>SUM(B20,B17)</f>
        <v>3053</v>
      </c>
      <c r="C21" s="91">
        <f t="shared" ref="C21:I21" si="9">SUM(C20,C17)</f>
        <v>92</v>
      </c>
      <c r="D21" s="91">
        <f t="shared" si="9"/>
        <v>4174</v>
      </c>
      <c r="E21" s="91">
        <f t="shared" si="9"/>
        <v>54</v>
      </c>
      <c r="F21" s="91">
        <f t="shared" ref="F21" si="10">SUM(F20,F17)</f>
        <v>10</v>
      </c>
      <c r="G21" s="91">
        <f t="shared" si="9"/>
        <v>104</v>
      </c>
      <c r="H21" s="91">
        <f t="shared" si="9"/>
        <v>143</v>
      </c>
      <c r="I21" s="91">
        <f t="shared" si="9"/>
        <v>192</v>
      </c>
      <c r="J21" s="91">
        <f>SUM(J20,J17)</f>
        <v>212</v>
      </c>
      <c r="K21" s="92">
        <f t="shared" si="4"/>
        <v>8034</v>
      </c>
    </row>
    <row r="22" spans="1:11" ht="13.5" thickBot="1" x14ac:dyDescent="0.25"/>
    <row r="23" spans="1:11" ht="15.75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[2]Pinnacle!$JV$47</f>
        <v>0</v>
      </c>
      <c r="C25" s="81">
        <f>[2]MESA_UA!$JV$47</f>
        <v>0</v>
      </c>
      <c r="D25" s="89">
        <f>'[2]Sky West'!$JV$47</f>
        <v>0</v>
      </c>
      <c r="E25" s="89">
        <f>'[2]Sky West_UA'!$JV$47</f>
        <v>0</v>
      </c>
      <c r="F25" s="89">
        <f>'[2]Sky West_AA'!$JV$47</f>
        <v>1</v>
      </c>
      <c r="G25" s="89">
        <f>[2]Republic!$JV$47</f>
        <v>95</v>
      </c>
      <c r="H25" s="89">
        <f>[2]Republic_UA!$JV$47</f>
        <v>0</v>
      </c>
      <c r="I25" s="89">
        <f>'[2]American Eagle'!$JV$47</f>
        <v>917</v>
      </c>
      <c r="J25" s="89">
        <f>'Other Regional'!H25</f>
        <v>3016.6</v>
      </c>
      <c r="K25" s="82">
        <f>SUM(B25:J25)</f>
        <v>4029.6</v>
      </c>
    </row>
    <row r="26" spans="1:11" x14ac:dyDescent="0.2">
      <c r="A26" s="43" t="s">
        <v>38</v>
      </c>
      <c r="B26" s="89">
        <f>[2]Pinnacle!$JV$48</f>
        <v>0</v>
      </c>
      <c r="C26" s="81">
        <f>[2]MESA_UA!$JV$48</f>
        <v>0</v>
      </c>
      <c r="D26" s="89">
        <f>'[2]Sky West'!$JV$48</f>
        <v>0</v>
      </c>
      <c r="E26" s="89">
        <f>'[2]Sky West_UA'!$JV$48</f>
        <v>0</v>
      </c>
      <c r="F26" s="89">
        <f>'[2]Sky West_AA'!$JV$48</f>
        <v>0</v>
      </c>
      <c r="G26" s="89">
        <f>[2]Republic!$JV$48</f>
        <v>0</v>
      </c>
      <c r="H26" s="89">
        <f>[2]Republic_UA!$JV$48</f>
        <v>0</v>
      </c>
      <c r="I26" s="89">
        <f>'[2]American Eagle'!$JV$48</f>
        <v>0</v>
      </c>
      <c r="J26" s="89">
        <f>'Other Regional'!H26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1">SUM(B25:B26)</f>
        <v>0</v>
      </c>
      <c r="C27" s="99">
        <f t="shared" si="11"/>
        <v>0</v>
      </c>
      <c r="D27" s="99">
        <f t="shared" si="11"/>
        <v>0</v>
      </c>
      <c r="E27" s="99">
        <f t="shared" si="11"/>
        <v>0</v>
      </c>
      <c r="F27" s="99">
        <f t="shared" ref="F27" si="12">SUM(F25:F26)</f>
        <v>1</v>
      </c>
      <c r="G27" s="99">
        <f t="shared" si="11"/>
        <v>95</v>
      </c>
      <c r="H27" s="99">
        <f t="shared" si="11"/>
        <v>0</v>
      </c>
      <c r="I27" s="99">
        <f t="shared" si="11"/>
        <v>917</v>
      </c>
      <c r="J27" s="99">
        <f t="shared" si="11"/>
        <v>3016.6</v>
      </c>
      <c r="K27" s="100">
        <f>SUM(B27:J27)</f>
        <v>4029.6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58</v>
      </c>
      <c r="B30" s="89">
        <f>[2]Pinnacle!$JV$52</f>
        <v>0</v>
      </c>
      <c r="C30" s="81">
        <f>[2]MESA_UA!$JV$52</f>
        <v>0</v>
      </c>
      <c r="D30" s="89">
        <f>'[2]Sky West'!$JV$52</f>
        <v>0</v>
      </c>
      <c r="E30" s="89">
        <f>'[2]Sky West_UA'!$JV$52</f>
        <v>0</v>
      </c>
      <c r="F30" s="89">
        <f>'[2]Sky West_AA'!$JV$52</f>
        <v>0</v>
      </c>
      <c r="G30" s="89">
        <f>[2]Republic!$JV$52</f>
        <v>0</v>
      </c>
      <c r="H30" s="89">
        <f>[2]Republic_UA!$JV$52</f>
        <v>0</v>
      </c>
      <c r="I30" s="89">
        <f>'[2]American Eagle'!$JV$52</f>
        <v>1147</v>
      </c>
      <c r="J30" s="89">
        <f>'Other Regional'!H30</f>
        <v>3166.5</v>
      </c>
      <c r="K30" s="82">
        <f t="shared" ref="K30:K37" si="13">SUM(B30:J30)</f>
        <v>4313.5</v>
      </c>
    </row>
    <row r="31" spans="1:11" x14ac:dyDescent="0.2">
      <c r="A31" s="43" t="s">
        <v>59</v>
      </c>
      <c r="B31" s="89">
        <f>[2]Pinnacle!$JV$53</f>
        <v>0</v>
      </c>
      <c r="C31" s="81">
        <f>[2]MESA_UA!$JV$53</f>
        <v>0</v>
      </c>
      <c r="D31" s="89">
        <f>'[2]Sky West'!$JV$53</f>
        <v>0</v>
      </c>
      <c r="E31" s="89">
        <f>'[2]Sky West_UA'!$JV$53</f>
        <v>0</v>
      </c>
      <c r="F31" s="89">
        <f>'[2]Sky West_AA'!$JV$53</f>
        <v>0</v>
      </c>
      <c r="G31" s="89">
        <f>[2]Republic!$JV$53</f>
        <v>0</v>
      </c>
      <c r="H31" s="89">
        <f>[2]Republic_UA!$JV$53</f>
        <v>0</v>
      </c>
      <c r="I31" s="89">
        <f>'[2]American Eagle'!$JV$53</f>
        <v>0</v>
      </c>
      <c r="J31" s="89">
        <f>'Other Regional'!H31</f>
        <v>0</v>
      </c>
      <c r="K31" s="82">
        <f t="shared" si="13"/>
        <v>0</v>
      </c>
    </row>
    <row r="32" spans="1:11" ht="15" thickBot="1" x14ac:dyDescent="0.25">
      <c r="A32" s="52" t="s">
        <v>41</v>
      </c>
      <c r="B32" s="99">
        <f t="shared" ref="B32:I32" si="14">SUM(B30:B31)</f>
        <v>0</v>
      </c>
      <c r="C32" s="99">
        <f t="shared" si="14"/>
        <v>0</v>
      </c>
      <c r="D32" s="99">
        <f t="shared" si="14"/>
        <v>0</v>
      </c>
      <c r="E32" s="99">
        <f t="shared" si="14"/>
        <v>0</v>
      </c>
      <c r="F32" s="99">
        <f t="shared" ref="F32" si="15">SUM(F30:F31)</f>
        <v>0</v>
      </c>
      <c r="G32" s="99">
        <f t="shared" si="14"/>
        <v>0</v>
      </c>
      <c r="H32" s="99">
        <f t="shared" si="14"/>
        <v>0</v>
      </c>
      <c r="I32" s="99">
        <f t="shared" si="14"/>
        <v>1147</v>
      </c>
      <c r="J32" s="99">
        <f>SUM(J30:J31)</f>
        <v>3166.5</v>
      </c>
      <c r="K32" s="100">
        <f t="shared" si="13"/>
        <v>4313.5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3"/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3"/>
        <v>0</v>
      </c>
    </row>
    <row r="35" spans="1:11" ht="13.5" hidden="1" thickTop="1" x14ac:dyDescent="0.2">
      <c r="A35" s="43" t="s">
        <v>37</v>
      </c>
      <c r="B35" s="89">
        <f>[2]Pinnacle!$JV$57</f>
        <v>0</v>
      </c>
      <c r="C35" s="81">
        <f>[2]MESA_UA!$JV$57</f>
        <v>0</v>
      </c>
      <c r="D35" s="89">
        <f>'[2]Sky West'!$JV$57</f>
        <v>0</v>
      </c>
      <c r="E35" s="89">
        <f>'[2]Sky West_UA'!$JV$57</f>
        <v>0</v>
      </c>
      <c r="F35" s="89">
        <f>'[2]Sky West_AA'!$JV$57</f>
        <v>0</v>
      </c>
      <c r="G35" s="89">
        <f>[2]Republic!$JV$57</f>
        <v>0</v>
      </c>
      <c r="H35" s="89">
        <f>[2]Republic!$JV$57</f>
        <v>0</v>
      </c>
      <c r="I35" s="89">
        <f>'[2]American Eagle'!$JV$57</f>
        <v>0</v>
      </c>
      <c r="J35" s="89">
        <f>'Other Regional'!H35</f>
        <v>0</v>
      </c>
      <c r="K35" s="82">
        <f t="shared" si="13"/>
        <v>0</v>
      </c>
    </row>
    <row r="36" spans="1:11" ht="13.5" hidden="1" thickTop="1" x14ac:dyDescent="0.2">
      <c r="A36" s="43" t="s">
        <v>38</v>
      </c>
      <c r="B36" s="89">
        <f>[2]Pinnacle!$JV$58</f>
        <v>0</v>
      </c>
      <c r="C36" s="81">
        <f>[2]MESA_UA!$JV$58</f>
        <v>0</v>
      </c>
      <c r="D36" s="89">
        <f>'[2]Sky West'!$JV$58</f>
        <v>0</v>
      </c>
      <c r="E36" s="89">
        <f>'[2]Sky West_UA'!$JV$58</f>
        <v>0</v>
      </c>
      <c r="F36" s="89">
        <f>'[2]Sky West_AA'!$JV$58</f>
        <v>0</v>
      </c>
      <c r="G36" s="89">
        <f>[2]Republic!$JV$58</f>
        <v>0</v>
      </c>
      <c r="H36" s="89">
        <f>[2]Republic!$JV$58</f>
        <v>0</v>
      </c>
      <c r="I36" s="89">
        <f>'[2]American Eagle'!$JV$58</f>
        <v>0</v>
      </c>
      <c r="J36" s="89">
        <f>'Other Regional'!H36</f>
        <v>0</v>
      </c>
      <c r="K36" s="82">
        <f t="shared" si="13"/>
        <v>0</v>
      </c>
    </row>
    <row r="37" spans="1:11" ht="13.5" hidden="1" thickTop="1" x14ac:dyDescent="0.2">
      <c r="A37" s="54" t="s">
        <v>43</v>
      </c>
      <c r="B37" s="107">
        <f t="shared" ref="B37:I37" si="16">SUM(B35:B36)</f>
        <v>0</v>
      </c>
      <c r="C37" s="107">
        <f t="shared" si="16"/>
        <v>0</v>
      </c>
      <c r="D37" s="107">
        <f t="shared" si="16"/>
        <v>0</v>
      </c>
      <c r="E37" s="107">
        <f t="shared" si="16"/>
        <v>0</v>
      </c>
      <c r="F37" s="107">
        <f t="shared" ref="F37" si="17">SUM(F35:F36)</f>
        <v>0</v>
      </c>
      <c r="G37" s="107">
        <f t="shared" si="16"/>
        <v>0</v>
      </c>
      <c r="H37" s="107">
        <f t="shared" si="16"/>
        <v>0</v>
      </c>
      <c r="I37" s="107">
        <f t="shared" si="16"/>
        <v>0</v>
      </c>
      <c r="J37" s="107">
        <f>SUM(J35:J36)</f>
        <v>0</v>
      </c>
      <c r="K37" s="109">
        <f t="shared" si="13"/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8">SUM(B35,B30,B25)</f>
        <v>0</v>
      </c>
      <c r="C40" s="89">
        <f>SUM(C35,C30,C25)</f>
        <v>0</v>
      </c>
      <c r="D40" s="89">
        <f t="shared" si="18"/>
        <v>0</v>
      </c>
      <c r="E40" s="89">
        <f t="shared" ref="E40:E42" si="19">SUM(E35,E30,E25)</f>
        <v>0</v>
      </c>
      <c r="F40" s="89">
        <f t="shared" ref="F40" si="20">SUM(F35,F30,F25)</f>
        <v>1</v>
      </c>
      <c r="G40" s="89">
        <f t="shared" si="18"/>
        <v>95</v>
      </c>
      <c r="H40" s="89">
        <f t="shared" si="18"/>
        <v>0</v>
      </c>
      <c r="I40" s="89">
        <f>SUM(I35,I30,I25)</f>
        <v>2064</v>
      </c>
      <c r="J40" s="89">
        <f>J35+J30+J25</f>
        <v>6183.1</v>
      </c>
      <c r="K40" s="82">
        <f>SUM(B40:J40)</f>
        <v>8343.1</v>
      </c>
    </row>
    <row r="41" spans="1:11" x14ac:dyDescent="0.2">
      <c r="A41" s="43" t="s">
        <v>38</v>
      </c>
      <c r="B41" s="89">
        <f t="shared" si="18"/>
        <v>0</v>
      </c>
      <c r="C41" s="89">
        <f>SUM(C36,C31,C26)</f>
        <v>0</v>
      </c>
      <c r="D41" s="89">
        <f t="shared" si="18"/>
        <v>0</v>
      </c>
      <c r="E41" s="89">
        <f t="shared" si="19"/>
        <v>0</v>
      </c>
      <c r="F41" s="89">
        <f t="shared" ref="F41" si="21">SUM(F36,F31,F26)</f>
        <v>0</v>
      </c>
      <c r="G41" s="89">
        <f t="shared" si="18"/>
        <v>0</v>
      </c>
      <c r="H41" s="89">
        <f t="shared" si="18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8"/>
        <v>0</v>
      </c>
      <c r="C42" s="102">
        <f>SUM(C37,C32,C27)</f>
        <v>0</v>
      </c>
      <c r="D42" s="102">
        <f t="shared" si="18"/>
        <v>0</v>
      </c>
      <c r="E42" s="102">
        <f t="shared" si="19"/>
        <v>0</v>
      </c>
      <c r="F42" s="102">
        <f t="shared" ref="F42" si="22">SUM(F37,F32,F27)</f>
        <v>1</v>
      </c>
      <c r="G42" s="102">
        <f t="shared" si="18"/>
        <v>95</v>
      </c>
      <c r="H42" s="102">
        <f t="shared" si="18"/>
        <v>0</v>
      </c>
      <c r="I42" s="102">
        <f>SUM(I37,I32,I27)</f>
        <v>2064</v>
      </c>
      <c r="J42" s="102">
        <f>SUM(J37,J32,J27)</f>
        <v>6183.1</v>
      </c>
      <c r="K42" s="103">
        <f>SUM(B42:J42)</f>
        <v>8343.1</v>
      </c>
    </row>
    <row r="44" spans="1:11" x14ac:dyDescent="0.2">
      <c r="A44" s="266" t="s">
        <v>119</v>
      </c>
      <c r="B44" s="232">
        <f>[2]Pinnacle!$JV$70+[2]Pinnacle!$JV$73</f>
        <v>31182</v>
      </c>
      <c r="D44" s="233">
        <f>'[2]Sky West'!$JV$70+'[2]Sky West'!$JV$73</f>
        <v>37122</v>
      </c>
      <c r="E44" s="2"/>
      <c r="F44" s="2"/>
      <c r="J44" s="233">
        <f>+'Other Regional'!H46</f>
        <v>0</v>
      </c>
      <c r="K44" s="222">
        <f>SUM(B44:J44)</f>
        <v>68304</v>
      </c>
    </row>
    <row r="45" spans="1:11" x14ac:dyDescent="0.2">
      <c r="A45" s="279" t="s">
        <v>120</v>
      </c>
      <c r="B45" s="232">
        <f>[2]Pinnacle!$JV$71+[2]Pinnacle!$JV$74</f>
        <v>52761</v>
      </c>
      <c r="D45" s="233">
        <f>'[2]Sky West'!$JV$71+'[2]Sky West'!$JV$74</f>
        <v>61229</v>
      </c>
      <c r="E45" s="2"/>
      <c r="F45" s="2"/>
      <c r="J45" s="233">
        <f>+'Other Regional'!H47</f>
        <v>0</v>
      </c>
      <c r="K45" s="222">
        <f>SUM(B45:J45)</f>
        <v>113990</v>
      </c>
    </row>
    <row r="46" spans="1:11" x14ac:dyDescent="0.2">
      <c r="A46" s="223" t="s">
        <v>121</v>
      </c>
      <c r="B46" s="224">
        <f>SUM(B44:B45)</f>
        <v>83943</v>
      </c>
      <c r="J46" s="2"/>
      <c r="K46" s="209"/>
    </row>
    <row r="47" spans="1:11" x14ac:dyDescent="0.2">
      <c r="A47" s="225"/>
      <c r="B47" s="226" t="b">
        <f>IF(B46=B6,TRUE,FALSE)</f>
        <v>1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7" orientation="landscape" r:id="rId1"/>
  <headerFooter alignWithMargins="0">
    <oddHeader>&amp;L
Schedule 4
&amp;CMinneapolis-St. Paul International Airport
&amp;"Arial,Bold"Regional Major
January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J25" sqref="J2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140625" customWidth="1"/>
    <col min="7" max="7" width="9.28515625" bestFit="1" customWidth="1"/>
    <col min="8" max="8" width="12.140625" customWidth="1"/>
  </cols>
  <sheetData>
    <row r="1" spans="1:8" ht="12.75" customHeight="1" x14ac:dyDescent="0.2">
      <c r="A1" s="275"/>
    </row>
    <row r="2" spans="1:8" ht="55.5" customHeight="1" thickBot="1" x14ac:dyDescent="0.25">
      <c r="A2" s="384">
        <v>46023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5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">
      <c r="A5" s="43" t="s">
        <v>30</v>
      </c>
      <c r="B5" s="81">
        <f>'[2]Shuttle America'!$JV$22</f>
        <v>0</v>
      </c>
      <c r="C5" s="81">
        <f>'[2]Shuttle America_Delta'!$JV$22</f>
        <v>0</v>
      </c>
      <c r="D5" s="323">
        <f>[2]Jazz_AC!$JV$22+[2]Jazz_AC!$JV$32</f>
        <v>1369</v>
      </c>
      <c r="E5" s="323">
        <f>[2]PSA!$JV$22</f>
        <v>4242</v>
      </c>
      <c r="F5" s="81">
        <f>'[2]Continental Express'!$JV$22</f>
        <v>0</v>
      </c>
      <c r="G5" s="11">
        <f>'[2]Go Jet'!$JV$22+'[2]Go Jet'!$JV$32</f>
        <v>0</v>
      </c>
      <c r="H5" s="82">
        <f>SUM(B5:G5)</f>
        <v>5611</v>
      </c>
    </row>
    <row r="6" spans="1:8" s="6" customFormat="1" x14ac:dyDescent="0.2">
      <c r="A6" s="43" t="s">
        <v>31</v>
      </c>
      <c r="B6" s="81">
        <f>'[2]Shuttle America'!$JV$23</f>
        <v>0</v>
      </c>
      <c r="C6" s="81">
        <f>'[2]Shuttle America_Delta'!$JV$23</f>
        <v>0</v>
      </c>
      <c r="D6" s="323">
        <f>[2]Jazz_AC!$JV$23+[2]Jazz_AC!$JV$33</f>
        <v>1399</v>
      </c>
      <c r="E6" s="323">
        <f>[2]PSA!$JV$23</f>
        <v>4233</v>
      </c>
      <c r="F6" s="81">
        <f>'[2]Continental Express'!$JV$23</f>
        <v>0</v>
      </c>
      <c r="G6" s="7">
        <f>'[2]Go Jet'!$JV$23+'[2]Go Jet'!$JV$33</f>
        <v>0</v>
      </c>
      <c r="H6" s="86">
        <f>SUM(B6:G6)</f>
        <v>5632</v>
      </c>
    </row>
    <row r="7" spans="1:8" ht="15" thickBot="1" x14ac:dyDescent="0.25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2768</v>
      </c>
      <c r="E7" s="99">
        <f t="shared" si="0"/>
        <v>8475</v>
      </c>
      <c r="F7" s="99">
        <f t="shared" si="0"/>
        <v>0</v>
      </c>
      <c r="G7" s="99">
        <f>SUM(G5:G6)</f>
        <v>0</v>
      </c>
      <c r="H7" s="100">
        <f>SUM(B7:G7)</f>
        <v>11243</v>
      </c>
    </row>
    <row r="8" spans="1:8" ht="13.5" thickTop="1" x14ac:dyDescent="0.2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">
      <c r="A10" s="43" t="s">
        <v>30</v>
      </c>
      <c r="B10" s="81">
        <f>'[2]Shuttle America'!$JV$27</f>
        <v>0</v>
      </c>
      <c r="C10" s="81">
        <f>'[2]Shuttle America_Delta'!$JV$27</f>
        <v>0</v>
      </c>
      <c r="D10" s="323">
        <f>[2]Jazz_AC!$JV$27+[2]Jazz_AC!$JV$37</f>
        <v>24</v>
      </c>
      <c r="E10" s="323">
        <f>[2]PSA!$JV$27</f>
        <v>142</v>
      </c>
      <c r="F10" s="81">
        <f>'[2]Continental Express'!$JV$27</f>
        <v>0</v>
      </c>
      <c r="G10" s="11">
        <f>'[2]Go Jet'!$JV$27+'[2]Go Jet'!$JV$37</f>
        <v>0</v>
      </c>
      <c r="H10" s="82">
        <f>SUM(B10:G10)</f>
        <v>166</v>
      </c>
    </row>
    <row r="11" spans="1:8" x14ac:dyDescent="0.2">
      <c r="A11" s="43" t="s">
        <v>33</v>
      </c>
      <c r="B11" s="81">
        <f>'[2]Shuttle America'!$JV$28</f>
        <v>0</v>
      </c>
      <c r="C11" s="81">
        <f>'[2]Shuttle America_Delta'!$JV$28</f>
        <v>0</v>
      </c>
      <c r="D11" s="323">
        <f>[2]Jazz_AC!$JV$28+[2]Jazz_AC!$JV$38</f>
        <v>44</v>
      </c>
      <c r="E11" s="323">
        <f>[2]PSA!$JV$28</f>
        <v>122</v>
      </c>
      <c r="F11" s="81">
        <f>'[2]Continental Express'!$JV$28</f>
        <v>0</v>
      </c>
      <c r="G11" s="7">
        <f>'[2]Go Jet'!$JV$28+'[2]Go Jet'!$JV$38</f>
        <v>0</v>
      </c>
      <c r="H11" s="86">
        <f>SUM(B11:G11)</f>
        <v>166</v>
      </c>
    </row>
    <row r="12" spans="1:8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68</v>
      </c>
      <c r="E12" s="102">
        <f t="shared" ref="E12" si="3">SUM(E10:E11)</f>
        <v>264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332</v>
      </c>
    </row>
    <row r="13" spans="1:8" ht="13.5" thickBot="1" x14ac:dyDescent="0.25">
      <c r="D13" s="89"/>
      <c r="E13" s="89"/>
    </row>
    <row r="14" spans="1:8" ht="15.75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">
      <c r="A15" s="43" t="s">
        <v>52</v>
      </c>
      <c r="B15" s="79">
        <f>'[2]Shuttle America'!$JV$4</f>
        <v>0</v>
      </c>
      <c r="C15" s="79">
        <f>'[2]Shuttle America_Delta'!$JV$4</f>
        <v>0</v>
      </c>
      <c r="D15" s="324">
        <f>[2]Jazz_AC!$JV$4+[2]Jazz_AC!$JV$15</f>
        <v>22</v>
      </c>
      <c r="E15" s="324">
        <f>[2]PSA!$JV$4</f>
        <v>83</v>
      </c>
      <c r="F15" s="80">
        <f>'[2]Continental Express'!$JV$4</f>
        <v>0</v>
      </c>
      <c r="G15" s="11">
        <f>'[2]Go Jet'!$JV$4+'[2]Go Jet'!$JV$15</f>
        <v>0</v>
      </c>
      <c r="H15" s="82">
        <f t="shared" ref="H15:H21" si="6">SUM(B15:G15)</f>
        <v>105</v>
      </c>
    </row>
    <row r="16" spans="1:8" x14ac:dyDescent="0.2">
      <c r="A16" s="43" t="s">
        <v>53</v>
      </c>
      <c r="B16" s="83">
        <f>'[2]Shuttle America'!$JV$5</f>
        <v>0</v>
      </c>
      <c r="C16" s="83">
        <f>'[2]Shuttle America_Delta'!$JV$5</f>
        <v>0</v>
      </c>
      <c r="D16" s="325">
        <f>[2]Jazz_AC!$JV$5+[2]Jazz_AC!$JV$16</f>
        <v>24</v>
      </c>
      <c r="E16" s="325">
        <f>[2]PSA!$JV$5</f>
        <v>83</v>
      </c>
      <c r="F16" s="84">
        <f>'[2]Continental Express'!$JV$5</f>
        <v>0</v>
      </c>
      <c r="G16" s="7">
        <f>'[2]Go Jet'!$JV$5+'[2]Go Jet'!$JV$16</f>
        <v>0</v>
      </c>
      <c r="H16" s="86">
        <f t="shared" si="6"/>
        <v>107</v>
      </c>
    </row>
    <row r="17" spans="1:11" x14ac:dyDescent="0.2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7">SUM(D15:D16)</f>
        <v>46</v>
      </c>
      <c r="E17" s="87">
        <f t="shared" ref="E17" si="8">SUM(E15:E16)</f>
        <v>166</v>
      </c>
      <c r="F17" s="87">
        <f t="shared" ref="F17" si="9">SUM(F15:F16)</f>
        <v>0</v>
      </c>
      <c r="G17" s="202">
        <f>SUM(G15:G16)</f>
        <v>0</v>
      </c>
      <c r="H17" s="88">
        <f t="shared" si="6"/>
        <v>212</v>
      </c>
    </row>
    <row r="18" spans="1:11" x14ac:dyDescent="0.2">
      <c r="A18" s="43" t="s">
        <v>55</v>
      </c>
      <c r="B18" s="89">
        <f>'[2]Shuttle America'!$JV$8</f>
        <v>0</v>
      </c>
      <c r="C18" s="89">
        <f>'[2]Shuttle America_Delta'!$JV$8</f>
        <v>0</v>
      </c>
      <c r="D18" s="89">
        <f>[2]Jazz_AC!$JV$8</f>
        <v>0</v>
      </c>
      <c r="E18" s="89">
        <f>[2]PSA!$JV$8</f>
        <v>0</v>
      </c>
      <c r="F18" s="81">
        <f>'[2]Continental Express'!$JV$8</f>
        <v>0</v>
      </c>
      <c r="G18" s="11">
        <f>'[2]Go Jet'!$JV$8</f>
        <v>0</v>
      </c>
      <c r="H18" s="82">
        <f t="shared" si="6"/>
        <v>0</v>
      </c>
      <c r="K18" s="269"/>
    </row>
    <row r="19" spans="1:11" x14ac:dyDescent="0.2">
      <c r="A19" s="43" t="s">
        <v>56</v>
      </c>
      <c r="B19" s="90">
        <f>'[2]Shuttle America'!$JV$9</f>
        <v>0</v>
      </c>
      <c r="C19" s="90">
        <f>'[2]Shuttle America_Delta'!$JV$9</f>
        <v>0</v>
      </c>
      <c r="D19" s="90">
        <f>[2]Jazz_AC!$JV$9</f>
        <v>0</v>
      </c>
      <c r="E19" s="90">
        <f>[2]PSA!$JV$9</f>
        <v>0</v>
      </c>
      <c r="F19" s="85">
        <f>'[2]Continental Express'!$JV$9</f>
        <v>0</v>
      </c>
      <c r="G19" s="7">
        <f>'[2]Go Jet'!$JV$9</f>
        <v>0</v>
      </c>
      <c r="H19" s="86">
        <f t="shared" si="6"/>
        <v>0</v>
      </c>
    </row>
    <row r="20" spans="1:11" x14ac:dyDescent="0.2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6"/>
        <v>0</v>
      </c>
    </row>
    <row r="21" spans="1:11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46</v>
      </c>
      <c r="E21" s="91">
        <f t="shared" ref="E21" si="14">SUM(E20,E17)</f>
        <v>166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6"/>
        <v>212</v>
      </c>
    </row>
    <row r="22" spans="1:11" ht="3.75" customHeight="1" thickBot="1" x14ac:dyDescent="0.25"/>
    <row r="23" spans="1:11" ht="15.75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">
      <c r="A24" s="43" t="s">
        <v>36</v>
      </c>
      <c r="B24" s="89"/>
      <c r="C24" s="89"/>
      <c r="D24" s="89"/>
      <c r="E24" s="89"/>
      <c r="F24" s="81"/>
      <c r="H24" s="82"/>
    </row>
    <row r="25" spans="1:11" x14ac:dyDescent="0.2">
      <c r="A25" s="43" t="s">
        <v>37</v>
      </c>
      <c r="B25" s="89">
        <f>'[2]Shuttle America'!$JV$47</f>
        <v>0</v>
      </c>
      <c r="C25" s="89">
        <f>'[2]Shuttle America_Delta'!$JV$47</f>
        <v>0</v>
      </c>
      <c r="D25" s="89">
        <f>[2]Jazz_AC!$JV$47</f>
        <v>3016.6</v>
      </c>
      <c r="E25" s="89">
        <f>[2]PSA!$JV$47</f>
        <v>0</v>
      </c>
      <c r="F25" s="81">
        <f>'[2]Continental Express'!$JV$47</f>
        <v>0</v>
      </c>
      <c r="G25" s="89">
        <f>'[2]Go Jet'!$JV$47</f>
        <v>0</v>
      </c>
      <c r="H25" s="82">
        <f>SUM(B25:G25)</f>
        <v>3016.6</v>
      </c>
    </row>
    <row r="26" spans="1:11" x14ac:dyDescent="0.2">
      <c r="A26" s="43" t="s">
        <v>38</v>
      </c>
      <c r="B26" s="89">
        <f>'[2]Shuttle America'!$JV$48</f>
        <v>0</v>
      </c>
      <c r="C26" s="89">
        <f>'[2]Shuttle America_Delta'!$JV$48</f>
        <v>0</v>
      </c>
      <c r="D26" s="89">
        <f>[2]Jazz_AC!$JV$48</f>
        <v>0</v>
      </c>
      <c r="E26" s="89">
        <f>[2]PSA!$JV$48</f>
        <v>0</v>
      </c>
      <c r="F26" s="81">
        <f>'[2]Continental Express'!$JV$48</f>
        <v>0</v>
      </c>
      <c r="G26" s="89">
        <f>'[2]Go Jet'!$JV$48</f>
        <v>0</v>
      </c>
      <c r="H26" s="82">
        <f>SUM(B26:G26)</f>
        <v>0</v>
      </c>
    </row>
    <row r="27" spans="1:11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3016.6</v>
      </c>
      <c r="E27" s="99">
        <f t="shared" ref="E27" si="18">SUM(E25:E26)</f>
        <v>0</v>
      </c>
      <c r="F27" s="99">
        <f t="shared" ref="F27" si="19">SUM(F25:F26)</f>
        <v>0</v>
      </c>
      <c r="G27" s="99">
        <f>SUM(G25:G26)</f>
        <v>0</v>
      </c>
      <c r="H27" s="100">
        <f>SUM(B27:G27)</f>
        <v>3016.6</v>
      </c>
    </row>
    <row r="28" spans="1:11" ht="7.5" customHeight="1" thickTop="1" x14ac:dyDescent="0.2">
      <c r="A28" s="43"/>
      <c r="B28" s="89"/>
      <c r="C28" s="89"/>
      <c r="D28" s="89"/>
      <c r="E28" s="89"/>
      <c r="F28" s="81"/>
      <c r="G28" s="89"/>
      <c r="H28" s="82"/>
    </row>
    <row r="29" spans="1:11" x14ac:dyDescent="0.2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">
      <c r="A30" s="43" t="s">
        <v>58</v>
      </c>
      <c r="B30" s="89">
        <f>'[2]Shuttle America'!$JV$52</f>
        <v>0</v>
      </c>
      <c r="C30" s="89">
        <f>'[2]Shuttle America_Delta'!$JV$52</f>
        <v>0</v>
      </c>
      <c r="D30" s="89">
        <f>[2]Jazz_AC!$JV$52</f>
        <v>3166.5</v>
      </c>
      <c r="E30" s="89">
        <f>[2]PSA!$JV$52</f>
        <v>0</v>
      </c>
      <c r="F30" s="81">
        <f>'[2]Continental Express'!$JV$52</f>
        <v>0</v>
      </c>
      <c r="G30" s="89">
        <f>'[2]Go Jet'!$JV$52</f>
        <v>0</v>
      </c>
      <c r="H30" s="82">
        <f>SUM(B30:G30)</f>
        <v>3166.5</v>
      </c>
    </row>
    <row r="31" spans="1:11" x14ac:dyDescent="0.2">
      <c r="A31" s="43" t="s">
        <v>59</v>
      </c>
      <c r="B31" s="89">
        <f>'[2]Shuttle America'!$JV$53</f>
        <v>0</v>
      </c>
      <c r="C31" s="89">
        <f>'[2]Shuttle America_Delta'!$JV$53</f>
        <v>0</v>
      </c>
      <c r="D31" s="89">
        <f>[2]Jazz_AC!$JV$53</f>
        <v>0</v>
      </c>
      <c r="E31" s="89">
        <f>[2]PSA!$JV$53</f>
        <v>0</v>
      </c>
      <c r="F31" s="81">
        <f>'[2]Continental Express'!$JV$53</f>
        <v>0</v>
      </c>
      <c r="G31" s="89">
        <f>'[2]Go Jet'!$JV$53</f>
        <v>0</v>
      </c>
      <c r="H31" s="82">
        <f>SUM(B31:G31)</f>
        <v>0</v>
      </c>
    </row>
    <row r="32" spans="1:11" ht="15" thickBot="1" x14ac:dyDescent="0.25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3166.5</v>
      </c>
      <c r="E32" s="99">
        <f t="shared" si="20"/>
        <v>0</v>
      </c>
      <c r="F32" s="99">
        <f t="shared" si="20"/>
        <v>0</v>
      </c>
      <c r="G32" s="99">
        <f t="shared" ref="G32" si="22">SUM(G30:G31)</f>
        <v>0</v>
      </c>
      <c r="H32" s="100">
        <f>SUM(B32:G32)</f>
        <v>3166.5</v>
      </c>
    </row>
    <row r="33" spans="1:8" ht="13.5" hidden="1" thickTop="1" x14ac:dyDescent="0.2">
      <c r="A33" s="43"/>
      <c r="B33" s="89"/>
      <c r="C33" s="89"/>
      <c r="D33" s="89"/>
      <c r="E33" s="89"/>
      <c r="F33" s="81"/>
      <c r="G33" s="89"/>
      <c r="H33" s="82"/>
    </row>
    <row r="34" spans="1:8" ht="13.5" hidden="1" thickTop="1" x14ac:dyDescent="0.2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5" hidden="1" thickTop="1" x14ac:dyDescent="0.2">
      <c r="A35" s="43" t="s">
        <v>37</v>
      </c>
      <c r="B35" s="89">
        <f>'[2]Shuttle America'!$JV$57</f>
        <v>0</v>
      </c>
      <c r="C35" s="89">
        <f>'[2]Shuttle America_Delta'!$JV$57</f>
        <v>0</v>
      </c>
      <c r="D35" s="89">
        <f>[2]Jazz_AC!$JV$57</f>
        <v>0</v>
      </c>
      <c r="E35" s="89">
        <f>[2]PSA!$JV$57</f>
        <v>0</v>
      </c>
      <c r="F35" s="81">
        <f>'[2]Continental Express'!$JV$57</f>
        <v>0</v>
      </c>
      <c r="G35" s="89">
        <f>'[2]Go Jet'!$JV$57</f>
        <v>0</v>
      </c>
      <c r="H35" s="82">
        <f>SUM(B35:G35)</f>
        <v>0</v>
      </c>
    </row>
    <row r="36" spans="1:8" ht="13.5" hidden="1" thickTop="1" x14ac:dyDescent="0.2">
      <c r="A36" s="43" t="s">
        <v>38</v>
      </c>
      <c r="B36" s="89">
        <f>'[2]Shuttle America'!BG$58</f>
        <v>0</v>
      </c>
      <c r="C36" s="89">
        <f>'[2]Shuttle America_Delta'!BH$58</f>
        <v>0</v>
      </c>
      <c r="D36" s="89">
        <f>[2]Jazz_AC!BF$58</f>
        <v>0</v>
      </c>
      <c r="E36" s="89">
        <f>[2]PSA!BG$58</f>
        <v>0</v>
      </c>
      <c r="F36" s="81">
        <f>'[2]Continental Express'!BG$58</f>
        <v>0</v>
      </c>
      <c r="G36" s="89">
        <f>'[2]Go Jet'!BK$58</f>
        <v>0</v>
      </c>
      <c r="H36" s="82">
        <f>SUM(B36:G36)</f>
        <v>0</v>
      </c>
    </row>
    <row r="37" spans="1:8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">
      <c r="A38" s="43"/>
      <c r="B38" s="89"/>
      <c r="C38" s="89"/>
      <c r="D38" s="89"/>
      <c r="E38" s="89"/>
      <c r="F38" s="81"/>
      <c r="G38" s="89"/>
      <c r="H38" s="82"/>
    </row>
    <row r="39" spans="1:8" x14ac:dyDescent="0.2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6183.1</v>
      </c>
      <c r="E40" s="89">
        <f t="shared" ref="E40:E41" si="28">SUM(E35,E30,E25)</f>
        <v>0</v>
      </c>
      <c r="F40" s="89">
        <f t="shared" si="26"/>
        <v>0</v>
      </c>
      <c r="G40" s="89">
        <f t="shared" ref="G40" si="29">SUM(G35,G30,G25)</f>
        <v>0</v>
      </c>
      <c r="H40" s="82">
        <f>SUM(B40:G40)</f>
        <v>6183.1</v>
      </c>
    </row>
    <row r="41" spans="1:8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6183.1</v>
      </c>
      <c r="E42" s="102">
        <f t="shared" ref="E42" si="34">SUM(E40:E41)</f>
        <v>0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6183.1</v>
      </c>
    </row>
    <row r="43" spans="1:8" ht="4.5" customHeight="1" x14ac:dyDescent="0.2"/>
    <row r="44" spans="1:8" hidden="1" x14ac:dyDescent="0.2">
      <c r="A44" s="234" t="s">
        <v>122</v>
      </c>
      <c r="G44" s="233">
        <f>'[2]Go Jet'!BK$70+'[2]Go Jet'!BK$73</f>
        <v>0</v>
      </c>
      <c r="H44" s="222" t="e">
        <f>SUM(#REF!)</f>
        <v>#REF!</v>
      </c>
    </row>
    <row r="45" spans="1:8" hidden="1" x14ac:dyDescent="0.2">
      <c r="A45" s="234" t="s">
        <v>123</v>
      </c>
      <c r="G45" s="233">
        <f>'[2]Go Jet'!BK$71+'[2]Go Jet'!BK$74</f>
        <v>0</v>
      </c>
      <c r="H45" s="222" t="e">
        <f>SUM(#REF!)</f>
        <v>#REF!</v>
      </c>
    </row>
    <row r="46" spans="1:8" x14ac:dyDescent="0.2">
      <c r="A46" s="266" t="s">
        <v>119</v>
      </c>
      <c r="C46" s="233">
        <f>'[2]Shuttle America_Delta'!$JV$70+'[2]Shuttle America_Delta'!$JV$73</f>
        <v>0</v>
      </c>
      <c r="G46" s="233">
        <f>'[2]Go Jet'!$JV$70+'[2]Go Jet'!$JV$73</f>
        <v>0</v>
      </c>
      <c r="H46" s="278">
        <f>SUM(B46:G46)</f>
        <v>0</v>
      </c>
    </row>
    <row r="47" spans="1:8" x14ac:dyDescent="0.2">
      <c r="A47" s="279" t="s">
        <v>120</v>
      </c>
      <c r="C47" s="233">
        <f>'[2]Shuttle America_Delta'!$JV$71+'[2]Shuttle America_Delta'!$JV$74</f>
        <v>0</v>
      </c>
      <c r="G47" s="233">
        <f>'[2]Go Jet'!$JV$71+'[2]Go Jet'!$JV$74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January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K4" sqref="K4"/>
    </sheetView>
  </sheetViews>
  <sheetFormatPr defaultColWidth="9.7109375" defaultRowHeight="12.75" x14ac:dyDescent="0.2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46023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210</v>
      </c>
      <c r="G2" s="141" t="s">
        <v>128</v>
      </c>
      <c r="H2" s="138" t="s">
        <v>77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3">
        <f>'[2]Charter Misc'!$JV$22</f>
        <v>0</v>
      </c>
      <c r="C5" s="145">
        <f>[2]Ryan!$JV$22</f>
        <v>0</v>
      </c>
      <c r="D5" s="145">
        <f>'[2]Charter Misc'!$JV$32</f>
        <v>60</v>
      </c>
      <c r="E5" s="145">
        <f>[2]Omni!$JV$32+[2]Omni!$JV$22</f>
        <v>0</v>
      </c>
      <c r="F5" s="145">
        <f>'[2]Red Way'!$JV$32+'[2]Red Way'!$JV$22</f>
        <v>0</v>
      </c>
      <c r="G5" s="145">
        <f>[2]Xtra!$JV$32+[2]Xtra!$JV$22</f>
        <v>0</v>
      </c>
      <c r="H5" s="239">
        <f>SUM(B5:G5)</f>
        <v>60</v>
      </c>
    </row>
    <row r="6" spans="1:18" x14ac:dyDescent="0.2">
      <c r="A6" s="43" t="s">
        <v>31</v>
      </c>
      <c r="B6" s="304">
        <f>'[2]Charter Misc'!$JV$23+'[2]Charter Misc'!$JV$28+'[2]Charter Misc'!$JV$38</f>
        <v>0</v>
      </c>
      <c r="C6" s="148">
        <f>[2]Ryan!$JV$23</f>
        <v>0</v>
      </c>
      <c r="D6" s="148">
        <f>'[2]Charter Misc'!$JV$33</f>
        <v>0</v>
      </c>
      <c r="E6" s="148">
        <f>[2]Omni!$JV$23+[2]Omni!$JV$33+[2]Omni!$JV$28+[2]Omni!$JV$38</f>
        <v>0</v>
      </c>
      <c r="F6" s="148">
        <f>'[2]Red Way'!$JV$33+'[2]Red Way'!$JV$23</f>
        <v>0</v>
      </c>
      <c r="G6" s="148">
        <f>[2]Xtra!$JV$33+[2]Xtra!$JV$23</f>
        <v>0</v>
      </c>
      <c r="H6" s="239">
        <f>SUM(B6:G6)</f>
        <v>0</v>
      </c>
    </row>
    <row r="7" spans="1:18" ht="15.75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60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60</v>
      </c>
    </row>
    <row r="8" spans="1:18" ht="13.5" thickBot="1" x14ac:dyDescent="0.25"/>
    <row r="9" spans="1:18" x14ac:dyDescent="0.2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">
      <c r="A10" s="143" t="s">
        <v>78</v>
      </c>
      <c r="B10" s="303">
        <f>'[2]Charter Misc'!$JV$4+'[2]Charter Misc'!$JV$8</f>
        <v>0</v>
      </c>
      <c r="C10" s="145">
        <f>[2]Ryan!$JV$4</f>
        <v>0</v>
      </c>
      <c r="D10" s="145">
        <f>'[2]Charter Misc'!$JV$15</f>
        <v>1</v>
      </c>
      <c r="E10" s="145">
        <f>[2]Omni!$JV$15+[2]Omni!$JV$4</f>
        <v>0</v>
      </c>
      <c r="F10" s="145">
        <f>'[2]Red Way'!$JV$15+'[2]Red Way'!$JV$4</f>
        <v>0</v>
      </c>
      <c r="G10" s="145">
        <f>[2]Xtra!$JV$15+[2]Xtra!$JV$4</f>
        <v>0</v>
      </c>
      <c r="H10" s="238">
        <f>SUM(B10:G10)</f>
        <v>1</v>
      </c>
    </row>
    <row r="11" spans="1:18" x14ac:dyDescent="0.2">
      <c r="A11" s="143" t="s">
        <v>79</v>
      </c>
      <c r="B11" s="303">
        <f>'[2]Charter Misc'!$JV$5+'[2]Charter Misc'!$JV$9</f>
        <v>0</v>
      </c>
      <c r="C11" s="145">
        <f>[2]Ryan!$JV$5</f>
        <v>0</v>
      </c>
      <c r="D11" s="145">
        <f>'[2]Charter Misc'!$JV$16</f>
        <v>0</v>
      </c>
      <c r="E11" s="145">
        <f>[2]Omni!$JV$16+[2]Omni!$JV$5</f>
        <v>0</v>
      </c>
      <c r="F11" s="145">
        <f>'[2]Red Way'!$JV$16+'[2]Red Way'!$JV$5</f>
        <v>0</v>
      </c>
      <c r="G11" s="145">
        <f>[2]Xtra!$JV$16+[2]Xtra!$JV$5</f>
        <v>0</v>
      </c>
      <c r="H11" s="238">
        <f>SUM(B11:G11)</f>
        <v>0</v>
      </c>
    </row>
    <row r="12" spans="1:18" ht="15.75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1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1</v>
      </c>
      <c r="R12" s="89"/>
    </row>
    <row r="17" spans="1:19" x14ac:dyDescent="0.2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5" thickBot="1" x14ac:dyDescent="0.25">
      <c r="A20" s="169" t="s">
        <v>98</v>
      </c>
      <c r="B20" s="420" t="s">
        <v>99</v>
      </c>
      <c r="C20" s="420" t="s">
        <v>100</v>
      </c>
      <c r="D20" s="420" t="s">
        <v>241</v>
      </c>
      <c r="E20" s="420" t="s">
        <v>219</v>
      </c>
      <c r="F20" s="420" t="s">
        <v>95</v>
      </c>
      <c r="G20" s="420" t="s">
        <v>99</v>
      </c>
      <c r="H20" s="420" t="s">
        <v>100</v>
      </c>
      <c r="I20" s="420" t="s">
        <v>241</v>
      </c>
      <c r="J20" s="420" t="s">
        <v>219</v>
      </c>
      <c r="K20" s="420" t="s">
        <v>95</v>
      </c>
      <c r="L20" s="420" t="s">
        <v>99</v>
      </c>
      <c r="M20" s="420" t="s">
        <v>100</v>
      </c>
      <c r="N20" s="420" t="s">
        <v>241</v>
      </c>
      <c r="O20" s="420" t="s">
        <v>219</v>
      </c>
      <c r="P20" s="420" t="s">
        <v>95</v>
      </c>
      <c r="S20" s="379"/>
    </row>
    <row r="21" spans="1:19" ht="14.1" customHeight="1" x14ac:dyDescent="0.2">
      <c r="A21" s="174" t="s">
        <v>101</v>
      </c>
      <c r="B21" s="410">
        <f>+'Intl Detail'!$P$4+'Intl Detail'!$P$9</f>
        <v>165165</v>
      </c>
      <c r="C21" s="410">
        <f>+'Intl Detail'!$P$5+'Intl Detail'!$P$10</f>
        <v>158655</v>
      </c>
      <c r="D21" s="410">
        <f t="shared" ref="D21" si="2">SUM(B21:C21)</f>
        <v>323820</v>
      </c>
      <c r="E21" s="419">
        <f>[1]Charter!$D$21</f>
        <v>311790</v>
      </c>
      <c r="F21" s="411">
        <f t="shared" ref="F21:F32" si="3">(D21-E21)/E21</f>
        <v>3.8583662080246321E-2</v>
      </c>
      <c r="G21" s="410">
        <f t="shared" ref="G21" si="4">L21-B21</f>
        <v>1051476</v>
      </c>
      <c r="H21" s="410">
        <f t="shared" ref="H21" si="5">M21-C21</f>
        <v>1087727</v>
      </c>
      <c r="I21" s="410">
        <f t="shared" ref="I21:I22" si="6">SUM(G21:H21)</f>
        <v>2139203</v>
      </c>
      <c r="J21" s="419">
        <f>[1]Charter!I21</f>
        <v>2244518</v>
      </c>
      <c r="K21" s="416">
        <f t="shared" ref="K21:K32" si="7">(I21-J21)/J21</f>
        <v>-4.6920987044880014E-2</v>
      </c>
      <c r="L21" s="410">
        <f>+'Monthly Summary'!$B$11</f>
        <v>1216641</v>
      </c>
      <c r="M21" s="410">
        <f>+'Monthly Summary'!$C$11</f>
        <v>1246382</v>
      </c>
      <c r="N21" s="419">
        <f t="shared" ref="N21" si="8">SUM(L21:M21)</f>
        <v>2463023</v>
      </c>
      <c r="O21" s="419">
        <f>[1]Charter!N21</f>
        <v>2556308</v>
      </c>
      <c r="P21" s="415">
        <f>(N21-O21)/O21</f>
        <v>-3.6492081548858746E-2</v>
      </c>
      <c r="S21" s="379"/>
    </row>
    <row r="22" spans="1:19" ht="14.1" customHeight="1" x14ac:dyDescent="0.2">
      <c r="A22" s="175" t="s">
        <v>102</v>
      </c>
      <c r="B22" s="410"/>
      <c r="C22" s="410"/>
      <c r="D22" s="410">
        <f t="shared" ref="D22" si="9">SUM(B22:C22)</f>
        <v>0</v>
      </c>
      <c r="E22" s="410">
        <f>[3]Charter!D22</f>
        <v>330848</v>
      </c>
      <c r="F22" s="444">
        <f t="shared" si="3"/>
        <v>-1</v>
      </c>
      <c r="G22" s="410"/>
      <c r="H22" s="410"/>
      <c r="I22" s="410">
        <f t="shared" si="6"/>
        <v>0</v>
      </c>
      <c r="J22" s="410">
        <f>[3]Charter!I22</f>
        <v>2156895</v>
      </c>
      <c r="K22" s="417">
        <f t="shared" si="7"/>
        <v>-1</v>
      </c>
      <c r="L22" s="410"/>
      <c r="M22" s="410"/>
      <c r="N22" s="419">
        <f t="shared" ref="N22" si="10">SUM(L22:M22)</f>
        <v>0</v>
      </c>
      <c r="O22" s="410">
        <f>[3]Charter!N22</f>
        <v>2487743</v>
      </c>
      <c r="P22" s="445">
        <f t="shared" ref="P22:P32" si="11">(N22-O22)/O22</f>
        <v>-1</v>
      </c>
      <c r="S22" s="379"/>
    </row>
    <row r="23" spans="1:19" ht="14.1" customHeight="1" x14ac:dyDescent="0.2">
      <c r="A23" s="175" t="s">
        <v>103</v>
      </c>
      <c r="B23" s="410"/>
      <c r="C23" s="410"/>
      <c r="D23" s="410">
        <f t="shared" ref="D23" si="12">SUM(B23:C23)</f>
        <v>0</v>
      </c>
      <c r="E23" s="410">
        <f>[4]Charter!D23</f>
        <v>445342</v>
      </c>
      <c r="F23" s="417">
        <f t="shared" si="3"/>
        <v>-1</v>
      </c>
      <c r="G23" s="410"/>
      <c r="H23" s="410"/>
      <c r="I23" s="410">
        <f t="shared" ref="I23" si="13">SUM(G23:H23)</f>
        <v>0</v>
      </c>
      <c r="J23" s="410">
        <f>[4]Charter!I23</f>
        <v>2782115</v>
      </c>
      <c r="K23" s="417">
        <f t="shared" si="7"/>
        <v>-1</v>
      </c>
      <c r="L23" s="410"/>
      <c r="M23" s="410"/>
      <c r="N23" s="419">
        <f t="shared" ref="N23" si="14">SUM(L23:M23)</f>
        <v>0</v>
      </c>
      <c r="O23" s="410">
        <f>[4]Charter!N23</f>
        <v>3227457</v>
      </c>
      <c r="P23" s="445">
        <f t="shared" si="11"/>
        <v>-1</v>
      </c>
      <c r="S23" s="379"/>
    </row>
    <row r="24" spans="1:19" ht="14.1" customHeight="1" x14ac:dyDescent="0.2">
      <c r="A24" s="175" t="s">
        <v>104</v>
      </c>
      <c r="B24" s="410"/>
      <c r="C24" s="410"/>
      <c r="D24" s="410">
        <f t="shared" ref="D24" si="15">SUM(B24:C24)</f>
        <v>0</v>
      </c>
      <c r="E24" s="410">
        <f>[5]Charter!D24</f>
        <v>299497</v>
      </c>
      <c r="F24" s="417">
        <f t="shared" si="3"/>
        <v>-1</v>
      </c>
      <c r="G24" s="410"/>
      <c r="H24" s="410"/>
      <c r="I24" s="410">
        <f t="shared" ref="I24" si="16">SUM(G24:H24)</f>
        <v>0</v>
      </c>
      <c r="J24" s="410">
        <f>[5]Charter!I24</f>
        <v>2606555</v>
      </c>
      <c r="K24" s="417">
        <f t="shared" si="7"/>
        <v>-1</v>
      </c>
      <c r="L24" s="410"/>
      <c r="M24" s="410"/>
      <c r="N24" s="419">
        <f t="shared" ref="N24" si="17">SUM(L24:M24)</f>
        <v>0</v>
      </c>
      <c r="O24" s="410">
        <f>[5]Charter!N24</f>
        <v>2906052</v>
      </c>
      <c r="P24" s="445">
        <f t="shared" si="11"/>
        <v>-1</v>
      </c>
    </row>
    <row r="25" spans="1:19" ht="14.1" customHeight="1" x14ac:dyDescent="0.2">
      <c r="A25" s="168" t="s">
        <v>74</v>
      </c>
      <c r="B25" s="410"/>
      <c r="C25" s="410"/>
      <c r="D25" s="410">
        <f t="shared" ref="D25" si="18">SUM(B25:C25)</f>
        <v>0</v>
      </c>
      <c r="E25" s="410">
        <f>[6]Charter!D25</f>
        <v>261311</v>
      </c>
      <c r="F25" s="418">
        <f t="shared" si="3"/>
        <v>-1</v>
      </c>
      <c r="G25" s="410"/>
      <c r="H25" s="410"/>
      <c r="I25" s="410">
        <f t="shared" ref="I25" si="19">SUM(G25:H25)</f>
        <v>0</v>
      </c>
      <c r="J25" s="410">
        <f>[6]Charter!I25</f>
        <v>2785540</v>
      </c>
      <c r="K25" s="418">
        <f>(I25-J25)/J25</f>
        <v>-1</v>
      </c>
      <c r="L25" s="410"/>
      <c r="M25" s="410"/>
      <c r="N25" s="419">
        <f t="shared" ref="N25" si="20">SUM(L25:M25)</f>
        <v>0</v>
      </c>
      <c r="O25" s="410">
        <f>[6]Charter!N25</f>
        <v>3046851</v>
      </c>
      <c r="P25" s="446">
        <f t="shared" si="11"/>
        <v>-1</v>
      </c>
    </row>
    <row r="26" spans="1:19" ht="14.1" customHeight="1" x14ac:dyDescent="0.2">
      <c r="A26" s="175" t="s">
        <v>105</v>
      </c>
      <c r="B26" s="410"/>
      <c r="C26" s="410"/>
      <c r="D26" s="410">
        <f t="shared" ref="D26" si="21">SUM(B26:C26)</f>
        <v>0</v>
      </c>
      <c r="E26" s="410">
        <f>[7]Charter!D26</f>
        <v>310661</v>
      </c>
      <c r="F26" s="412">
        <f t="shared" si="3"/>
        <v>-1</v>
      </c>
      <c r="G26" s="410"/>
      <c r="H26" s="410"/>
      <c r="I26" s="410">
        <f t="shared" ref="I26" si="22">SUM(G26:H26)</f>
        <v>0</v>
      </c>
      <c r="J26" s="410">
        <f>[7]Charter!I26</f>
        <v>3133219</v>
      </c>
      <c r="K26" s="417">
        <f t="shared" si="7"/>
        <v>-1</v>
      </c>
      <c r="L26" s="410"/>
      <c r="M26" s="410"/>
      <c r="N26" s="419">
        <f t="shared" ref="N26" si="23">SUM(L26:M26)</f>
        <v>0</v>
      </c>
      <c r="O26" s="410">
        <f>[7]Charter!N26</f>
        <v>3443880</v>
      </c>
      <c r="P26" s="407">
        <f t="shared" si="11"/>
        <v>-1</v>
      </c>
    </row>
    <row r="27" spans="1:19" ht="14.1" customHeight="1" x14ac:dyDescent="0.2">
      <c r="A27" s="168" t="s">
        <v>106</v>
      </c>
      <c r="B27" s="410"/>
      <c r="C27" s="410"/>
      <c r="D27" s="410">
        <f t="shared" ref="D27" si="24">SUM(B27:C27)</f>
        <v>0</v>
      </c>
      <c r="E27" s="410">
        <f>[8]Charter!D27</f>
        <v>331340</v>
      </c>
      <c r="F27" s="413">
        <f t="shared" si="3"/>
        <v>-1</v>
      </c>
      <c r="G27" s="410"/>
      <c r="H27" s="410"/>
      <c r="I27" s="410">
        <f t="shared" ref="I27" si="25">SUM(G27:H27)</f>
        <v>0</v>
      </c>
      <c r="J27" s="410">
        <f>[8]Charter!I27</f>
        <v>3317080</v>
      </c>
      <c r="K27" s="418">
        <f t="shared" si="7"/>
        <v>-1</v>
      </c>
      <c r="L27" s="410"/>
      <c r="M27" s="410"/>
      <c r="N27" s="419">
        <f t="shared" ref="N27" si="26">SUM(L27:M27)</f>
        <v>0</v>
      </c>
      <c r="O27" s="410">
        <f>[8]Charter!N27</f>
        <v>3648420</v>
      </c>
      <c r="P27" s="408">
        <f t="shared" si="11"/>
        <v>-1</v>
      </c>
    </row>
    <row r="28" spans="1:19" ht="14.1" customHeight="1" x14ac:dyDescent="0.2">
      <c r="A28" s="175" t="s">
        <v>107</v>
      </c>
      <c r="B28" s="410"/>
      <c r="C28" s="410"/>
      <c r="D28" s="410">
        <f t="shared" ref="D28" si="27">SUM(B28:C28)</f>
        <v>0</v>
      </c>
      <c r="E28" s="410">
        <f>[9]Charter!D28</f>
        <v>330036</v>
      </c>
      <c r="F28" s="412">
        <f t="shared" si="3"/>
        <v>-1</v>
      </c>
      <c r="G28" s="410"/>
      <c r="H28" s="410"/>
      <c r="I28" s="410">
        <f t="shared" ref="I28" si="28">SUM(G28:H28)</f>
        <v>0</v>
      </c>
      <c r="J28" s="410">
        <f>[9]Charter!I28</f>
        <v>3121862</v>
      </c>
      <c r="K28" s="417">
        <f t="shared" si="7"/>
        <v>-1</v>
      </c>
      <c r="L28" s="410"/>
      <c r="M28" s="410"/>
      <c r="N28" s="419">
        <f t="shared" ref="N28" si="29">SUM(L28:M28)</f>
        <v>0</v>
      </c>
      <c r="O28" s="410">
        <f>[9]Charter!N28</f>
        <v>3451898</v>
      </c>
      <c r="P28" s="407">
        <f t="shared" si="11"/>
        <v>-1</v>
      </c>
    </row>
    <row r="29" spans="1:19" ht="14.1" customHeight="1" x14ac:dyDescent="0.2">
      <c r="A29" s="168" t="s">
        <v>108</v>
      </c>
      <c r="B29" s="410"/>
      <c r="C29" s="410"/>
      <c r="D29" s="410">
        <f t="shared" ref="D29" si="30">SUM(B29:C29)</f>
        <v>0</v>
      </c>
      <c r="E29" s="410">
        <f>[10]Charter!D29</f>
        <v>272028</v>
      </c>
      <c r="F29" s="413">
        <f t="shared" si="3"/>
        <v>-1</v>
      </c>
      <c r="G29" s="410"/>
      <c r="H29" s="410"/>
      <c r="I29" s="410">
        <f t="shared" ref="I29" si="31">SUM(G29:H29)</f>
        <v>0</v>
      </c>
      <c r="J29" s="410">
        <f>[10]Charter!I29</f>
        <v>2589499</v>
      </c>
      <c r="K29" s="418">
        <f t="shared" si="7"/>
        <v>-1</v>
      </c>
      <c r="L29" s="410"/>
      <c r="M29" s="410"/>
      <c r="N29" s="419">
        <f t="shared" ref="N29" si="32">SUM(L29:M29)</f>
        <v>0</v>
      </c>
      <c r="O29" s="410">
        <f>[10]Charter!N29</f>
        <v>2861527</v>
      </c>
      <c r="P29" s="408">
        <f t="shared" si="11"/>
        <v>-1</v>
      </c>
    </row>
    <row r="30" spans="1:19" ht="14.1" customHeight="1" x14ac:dyDescent="0.2">
      <c r="A30" s="175" t="s">
        <v>109</v>
      </c>
      <c r="B30" s="410"/>
      <c r="C30" s="410"/>
      <c r="D30" s="410">
        <f t="shared" ref="D30" si="33">SUM(B30:C30)</f>
        <v>0</v>
      </c>
      <c r="E30" s="410">
        <f>[11]Charter!D30</f>
        <v>258310</v>
      </c>
      <c r="F30" s="412">
        <f t="shared" si="3"/>
        <v>-1</v>
      </c>
      <c r="G30" s="410"/>
      <c r="H30" s="410"/>
      <c r="I30" s="410">
        <f t="shared" ref="I30" si="34">SUM(G30:H30)</f>
        <v>0</v>
      </c>
      <c r="J30" s="410">
        <f>[11]Charter!I30</f>
        <v>2816693</v>
      </c>
      <c r="K30" s="417">
        <f t="shared" si="7"/>
        <v>-1</v>
      </c>
      <c r="L30" s="410"/>
      <c r="M30" s="410"/>
      <c r="N30" s="419">
        <f t="shared" ref="N30" si="35">SUM(L30:M30)</f>
        <v>0</v>
      </c>
      <c r="O30" s="410">
        <f>[11]Charter!N30</f>
        <v>3075003</v>
      </c>
      <c r="P30" s="407">
        <f t="shared" si="11"/>
        <v>-1</v>
      </c>
    </row>
    <row r="31" spans="1:19" ht="14.1" customHeight="1" x14ac:dyDescent="0.2">
      <c r="A31" s="168" t="s">
        <v>110</v>
      </c>
      <c r="B31" s="410"/>
      <c r="C31" s="410"/>
      <c r="D31" s="410">
        <f t="shared" ref="D31" si="36">SUM(B31:C31)</f>
        <v>0</v>
      </c>
      <c r="E31" s="410">
        <f>[12]Charter!D31</f>
        <v>197850</v>
      </c>
      <c r="F31" s="413">
        <f t="shared" si="3"/>
        <v>-1</v>
      </c>
      <c r="G31" s="410"/>
      <c r="H31" s="410"/>
      <c r="I31" s="410">
        <f t="shared" ref="I31" si="37">SUM(G31:H31)</f>
        <v>0</v>
      </c>
      <c r="J31" s="410">
        <f>[12]Charter!I31</f>
        <v>2400689</v>
      </c>
      <c r="K31" s="418">
        <f t="shared" si="7"/>
        <v>-1</v>
      </c>
      <c r="L31" s="410"/>
      <c r="M31" s="410"/>
      <c r="N31" s="419">
        <f t="shared" ref="N31" si="38">SUM(L31:M31)</f>
        <v>0</v>
      </c>
      <c r="O31" s="410">
        <f>[12]Charter!N31</f>
        <v>2598539</v>
      </c>
      <c r="P31" s="408">
        <f t="shared" si="11"/>
        <v>-1</v>
      </c>
    </row>
    <row r="32" spans="1:19" ht="14.1" customHeight="1" x14ac:dyDescent="0.2">
      <c r="A32" s="176" t="s">
        <v>111</v>
      </c>
      <c r="B32" s="410"/>
      <c r="C32" s="410"/>
      <c r="D32" s="410">
        <f t="shared" ref="D32" si="39">SUM(B32:C32)</f>
        <v>0</v>
      </c>
      <c r="E32" s="410">
        <f>[13]Charter!D32</f>
        <v>260440</v>
      </c>
      <c r="F32" s="414">
        <f t="shared" si="3"/>
        <v>-1</v>
      </c>
      <c r="G32" s="410"/>
      <c r="H32" s="410"/>
      <c r="I32" s="410">
        <f t="shared" ref="I32" si="40">SUM(G32:H32)</f>
        <v>0</v>
      </c>
      <c r="J32" s="410">
        <f>[13]Charter!I32</f>
        <v>2507509</v>
      </c>
      <c r="K32" s="414">
        <f t="shared" si="7"/>
        <v>-1</v>
      </c>
      <c r="L32" s="410"/>
      <c r="M32" s="410"/>
      <c r="N32" s="419">
        <f t="shared" ref="N32" si="41">SUM(L32:M32)</f>
        <v>0</v>
      </c>
      <c r="O32" s="410">
        <f>[13]Charter!N32</f>
        <v>2767949</v>
      </c>
      <c r="P32" s="409">
        <f t="shared" si="11"/>
        <v>-1</v>
      </c>
    </row>
    <row r="33" spans="1:16" ht="13.5" thickBot="1" x14ac:dyDescent="0.25">
      <c r="A33" s="173" t="s">
        <v>75</v>
      </c>
      <c r="B33" s="179">
        <f>SUM(B21:B32)</f>
        <v>165165</v>
      </c>
      <c r="C33" s="180">
        <f>SUM(C21:C32)</f>
        <v>158655</v>
      </c>
      <c r="D33" s="180">
        <f>SUM(D21:D32)</f>
        <v>323820</v>
      </c>
      <c r="E33" s="181">
        <f>SUM(E21:E32)</f>
        <v>3609453</v>
      </c>
      <c r="F33" s="171">
        <f>(D33-E33)/E33</f>
        <v>-0.91028557512731156</v>
      </c>
      <c r="G33" s="182">
        <f>SUM(G21:G32)</f>
        <v>1051476</v>
      </c>
      <c r="H33" s="180">
        <f>SUM(H21:H32)</f>
        <v>1087727</v>
      </c>
      <c r="I33" s="180">
        <f>SUM(I21:I32)</f>
        <v>2139203</v>
      </c>
      <c r="J33" s="183">
        <f>SUM(J21:J32)</f>
        <v>32462174</v>
      </c>
      <c r="K33" s="172">
        <f>(I33-J33)/J33</f>
        <v>-0.93410167168717662</v>
      </c>
      <c r="L33" s="182">
        <f>SUM(L21:L32)</f>
        <v>1216641</v>
      </c>
      <c r="M33" s="180">
        <f>SUM(M21:M32)</f>
        <v>1246382</v>
      </c>
      <c r="N33" s="180">
        <f>SUM(N21:N32)</f>
        <v>2463023</v>
      </c>
      <c r="O33" s="181">
        <f>SUM(O21:O32)</f>
        <v>36071627</v>
      </c>
      <c r="P33" s="170">
        <f>(N33-O33)/O33</f>
        <v>-0.93171854987300684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January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/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 x14ac:dyDescent="0.3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25">
      <c r="A2" s="384">
        <v>46023</v>
      </c>
      <c r="B2" s="315" t="s">
        <v>179</v>
      </c>
      <c r="C2" s="315" t="s">
        <v>208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5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">
      <c r="A4" s="36" t="s">
        <v>52</v>
      </c>
      <c r="B4" s="177">
        <f>'[2]Atlas Air'!$JV$4</f>
        <v>0</v>
      </c>
      <c r="C4" s="126">
        <f>[2]DHL!$JV$8+[2]DHL!$JV$4</f>
        <v>1</v>
      </c>
      <c r="D4" s="126">
        <f>[2]Airborne!$JV$4+[2]Airborne!$JV$15</f>
        <v>18</v>
      </c>
      <c r="E4" s="89">
        <f>[2]DHL_Bemidji!$JV$4</f>
        <v>37</v>
      </c>
      <c r="F4" s="89">
        <f>[2]Bemidji!$JV$4</f>
        <v>128</v>
      </c>
      <c r="G4" s="126">
        <f>[2]DHL_Encore!$JV$4+[2]DHL_Encore!$JV$15</f>
        <v>0</v>
      </c>
      <c r="H4" s="126">
        <f>[2]DHL_Mesa!$JV$4+[2]DHL_Mesa!$JV$15</f>
        <v>0</v>
      </c>
      <c r="I4" s="126">
        <f>[2]Encore!$JV$4+[2]Encore!$JV$15</f>
        <v>0</v>
      </c>
      <c r="J4" s="126">
        <f>[2]FedEx!$JV$4+[2]FedEx!$JV$15</f>
        <v>70</v>
      </c>
      <c r="K4" s="126">
        <f>[2]IFL!$JV$4+[2]IFL!$JV$15</f>
        <v>12</v>
      </c>
      <c r="L4" s="126">
        <f>[2]DHL_Kalitta!$JV$4+[2]DHL_Kalitta!$JV$15</f>
        <v>0</v>
      </c>
      <c r="M4" s="89">
        <f>'[2]Mountain Cargo'!$JV$4</f>
        <v>19</v>
      </c>
      <c r="N4" s="126">
        <f>[2]DHL_Amerijet!$JV$4+[2]DHL_Amerijet!$JV$15</f>
        <v>0</v>
      </c>
      <c r="O4" s="126">
        <f>[2]DHL_Swift!$JV$4+[2]DHL_Swift!$JV$15</f>
        <v>0</v>
      </c>
      <c r="P4" s="126">
        <f>+'[2]Sun Country Cargo'!$JV$4+'[2]Sun Country Cargo'!$JV$8+'[2]Sun Country Cargo'!$JV$15</f>
        <v>56</v>
      </c>
      <c r="Q4" s="126">
        <f>[2]UPS!$JV$4+[2]UPS!$JV$15</f>
        <v>90</v>
      </c>
      <c r="R4" s="89">
        <f>'[2]Misc Cargo'!$JV$4</f>
        <v>0</v>
      </c>
      <c r="S4" s="356">
        <f>SUM(B4:R4)</f>
        <v>431</v>
      </c>
      <c r="U4" s="330"/>
      <c r="V4" s="330"/>
      <c r="W4" s="209"/>
    </row>
    <row r="5" spans="1:23" x14ac:dyDescent="0.2">
      <c r="A5" s="36" t="s">
        <v>53</v>
      </c>
      <c r="B5" s="357">
        <f>'[2]Atlas Air'!$JV$5</f>
        <v>0</v>
      </c>
      <c r="C5" s="150">
        <f>[2]DHL!$JV$9+[2]DHL!$JV$5</f>
        <v>1</v>
      </c>
      <c r="D5" s="150">
        <f>[2]Airborne!$JV$5</f>
        <v>18</v>
      </c>
      <c r="E5" s="90">
        <f>[2]DHL_Bemidji!$JV$5</f>
        <v>37</v>
      </c>
      <c r="F5" s="90">
        <f>[2]Bemidji!$JV$5</f>
        <v>128</v>
      </c>
      <c r="G5" s="150">
        <f>[2]DHL_Encore!$JV$5</f>
        <v>0</v>
      </c>
      <c r="H5" s="150">
        <f>[2]DHL_Mesa!$JV$5</f>
        <v>0</v>
      </c>
      <c r="I5" s="150">
        <f>[2]Encore!$JV$5</f>
        <v>0</v>
      </c>
      <c r="J5" s="150">
        <f>[2]FedEx!$JV$5</f>
        <v>70</v>
      </c>
      <c r="K5" s="150">
        <f>[2]IFL!$JV$5</f>
        <v>12</v>
      </c>
      <c r="L5" s="150">
        <f>[2]DHL_Kalitta!$JV$5+[2]DHL_Kalitta!$JV$16</f>
        <v>0</v>
      </c>
      <c r="M5" s="90">
        <f>'[2]Mountain Cargo'!$JV$5</f>
        <v>19</v>
      </c>
      <c r="N5" s="150">
        <f>[2]DHL_Amerijet!$JV$5</f>
        <v>0</v>
      </c>
      <c r="O5" s="150">
        <f>[2]DHL_Swift!$JV$5</f>
        <v>0</v>
      </c>
      <c r="P5" s="150">
        <f>+'[2]Sun Country Cargo'!$JV$5+'[2]Sun Country Cargo'!$JV$9+'[2]Sun Country Cargo'!$JV$16</f>
        <v>56</v>
      </c>
      <c r="Q5" s="150">
        <f>[2]UPS!$JV$5+[2]UPS!$JV$16</f>
        <v>92</v>
      </c>
      <c r="R5" s="90">
        <f>'[2]Misc Cargo'!$JV$5</f>
        <v>0</v>
      </c>
      <c r="S5" s="356">
        <f>SUM(B5:R5)</f>
        <v>433</v>
      </c>
      <c r="U5" s="330"/>
      <c r="V5" s="330"/>
      <c r="W5" s="209"/>
    </row>
    <row r="6" spans="1:23" s="149" customFormat="1" x14ac:dyDescent="0.2">
      <c r="A6" s="153" t="s">
        <v>54</v>
      </c>
      <c r="B6" s="358">
        <f t="shared" ref="B6:R6" si="0">SUM(B4:B5)</f>
        <v>0</v>
      </c>
      <c r="C6" s="359">
        <f t="shared" si="0"/>
        <v>2</v>
      </c>
      <c r="D6" s="359">
        <f t="shared" ref="D6:E6" si="1">SUM(D4:D5)</f>
        <v>36</v>
      </c>
      <c r="E6" s="87">
        <f t="shared" si="1"/>
        <v>74</v>
      </c>
      <c r="F6" s="87">
        <f t="shared" si="0"/>
        <v>256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140</v>
      </c>
      <c r="K6" s="359">
        <f t="shared" si="0"/>
        <v>24</v>
      </c>
      <c r="L6" s="359">
        <f t="shared" si="0"/>
        <v>0</v>
      </c>
      <c r="M6" s="87">
        <f t="shared" si="0"/>
        <v>38</v>
      </c>
      <c r="N6" s="359">
        <f t="shared" si="0"/>
        <v>0</v>
      </c>
      <c r="O6" s="359">
        <f t="shared" si="0"/>
        <v>0</v>
      </c>
      <c r="P6" s="359">
        <f t="shared" si="0"/>
        <v>112</v>
      </c>
      <c r="Q6" s="359">
        <f t="shared" si="0"/>
        <v>182</v>
      </c>
      <c r="R6" s="87">
        <f t="shared" si="0"/>
        <v>0</v>
      </c>
      <c r="S6" s="356">
        <f t="shared" ref="S6:S10" si="3">SUM(B6:R6)</f>
        <v>864</v>
      </c>
      <c r="W6" s="277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'[2]Misc Cargo'!$JV$8</f>
        <v>0</v>
      </c>
      <c r="S8" s="356">
        <f t="shared" si="3"/>
        <v>0</v>
      </c>
      <c r="U8" s="330"/>
      <c r="V8" s="330"/>
      <c r="W8" s="209"/>
    </row>
    <row r="9" spans="1:23" ht="15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'[2]Misc Cargo'!$JV$9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25">
      <c r="A12" s="154" t="s">
        <v>28</v>
      </c>
      <c r="B12" s="361">
        <f t="shared" ref="B12:R12" si="7">B6+B10</f>
        <v>0</v>
      </c>
      <c r="C12" s="155">
        <f t="shared" si="7"/>
        <v>2</v>
      </c>
      <c r="D12" s="155">
        <f t="shared" ref="D12:E12" si="8">D6+D10</f>
        <v>36</v>
      </c>
      <c r="E12" s="156">
        <f t="shared" si="8"/>
        <v>74</v>
      </c>
      <c r="F12" s="156">
        <f t="shared" si="7"/>
        <v>256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140</v>
      </c>
      <c r="K12" s="155">
        <f t="shared" si="7"/>
        <v>24</v>
      </c>
      <c r="L12" s="155">
        <f t="shared" si="7"/>
        <v>0</v>
      </c>
      <c r="M12" s="156">
        <f t="shared" si="7"/>
        <v>38</v>
      </c>
      <c r="N12" s="155">
        <f t="shared" si="7"/>
        <v>0</v>
      </c>
      <c r="O12" s="155">
        <f t="shared" si="7"/>
        <v>0</v>
      </c>
      <c r="P12" s="155">
        <f t="shared" si="7"/>
        <v>112</v>
      </c>
      <c r="Q12" s="155">
        <f t="shared" si="7"/>
        <v>182</v>
      </c>
      <c r="R12" s="156">
        <f t="shared" si="7"/>
        <v>0</v>
      </c>
      <c r="S12" s="362">
        <f>SUM(B12:R12)</f>
        <v>864</v>
      </c>
      <c r="U12" s="330"/>
      <c r="V12" s="330"/>
      <c r="W12" s="209"/>
    </row>
    <row r="13" spans="1:23" ht="18" customHeight="1" thickBot="1" x14ac:dyDescent="0.25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5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">
      <c r="A16" s="36" t="s">
        <v>37</v>
      </c>
      <c r="B16" s="177">
        <f>'[2]Atlas Air'!$JV$47</f>
        <v>0</v>
      </c>
      <c r="C16" s="126">
        <f>[2]DHL!$JV$47</f>
        <v>12551</v>
      </c>
      <c r="D16" s="126">
        <f>[2]Airborne!$JV$47</f>
        <v>577110</v>
      </c>
      <c r="E16" s="126">
        <f>[2]DHL_Bemidji!$JV$47</f>
        <v>79303</v>
      </c>
      <c r="F16" s="468" t="s">
        <v>85</v>
      </c>
      <c r="G16" s="126">
        <f>[2]DHL_Encore!$JV$47</f>
        <v>0</v>
      </c>
      <c r="H16" s="126">
        <f>[2]DHL_Mesa!$JV$47</f>
        <v>0</v>
      </c>
      <c r="I16" s="126">
        <f>[2]Encore!$JV$47</f>
        <v>0</v>
      </c>
      <c r="J16" s="126">
        <f>[2]FedEx!$JV$47</f>
        <v>4669469</v>
      </c>
      <c r="K16" s="126">
        <f>[2]IFL!$JV$47</f>
        <v>43240</v>
      </c>
      <c r="L16" s="126">
        <f>[2]DHL_Kalitta!$JV$47</f>
        <v>0</v>
      </c>
      <c r="M16" s="89">
        <f>'[2]Mountain Cargo'!$JV$47</f>
        <v>0</v>
      </c>
      <c r="N16" s="126">
        <f>[2]DHL_Amerijet!$JV$47</f>
        <v>0</v>
      </c>
      <c r="O16" s="126">
        <f>[2]DHL_Swift!$JV$47</f>
        <v>0</v>
      </c>
      <c r="P16" s="126">
        <f>+'[2]Sun Country Cargo'!$JV$47</f>
        <v>2585596</v>
      </c>
      <c r="Q16" s="126">
        <f>[2]UPS!$JV$47</f>
        <v>3925352</v>
      </c>
      <c r="R16" s="89">
        <f>'[2]Misc Cargo'!$JV$47</f>
        <v>0</v>
      </c>
      <c r="S16" s="356">
        <f>SUM(B16:E16)+SUM(G16:R16)</f>
        <v>11892621</v>
      </c>
      <c r="U16" s="330"/>
      <c r="V16" s="330"/>
      <c r="W16" s="209"/>
    </row>
    <row r="17" spans="1:23" x14ac:dyDescent="0.2">
      <c r="A17" s="36" t="s">
        <v>38</v>
      </c>
      <c r="B17" s="177">
        <f>'[2]Atlas Air'!$JV$48</f>
        <v>0</v>
      </c>
      <c r="C17" s="126">
        <f>[2]DHL!$JV$48</f>
        <v>0</v>
      </c>
      <c r="D17" s="126">
        <f>[2]Airborne!$JV$48</f>
        <v>0</v>
      </c>
      <c r="E17" s="126">
        <f>[2]DHL_Bemidji!$JV$48</f>
        <v>0</v>
      </c>
      <c r="F17" s="469"/>
      <c r="G17" s="126">
        <f>[2]DHL_Encore!$JV$48</f>
        <v>0</v>
      </c>
      <c r="H17" s="126">
        <f>[2]DHL_Mesa!$JV$48</f>
        <v>0</v>
      </c>
      <c r="I17" s="126">
        <f>[2]Encore!$JV$48</f>
        <v>0</v>
      </c>
      <c r="J17" s="126">
        <f>[2]FedEx!$JV$48</f>
        <v>0</v>
      </c>
      <c r="K17" s="126">
        <f>[2]IFL!$JV$48</f>
        <v>0</v>
      </c>
      <c r="L17" s="126">
        <f>[2]DHL_Kalitta!$JV$48</f>
        <v>0</v>
      </c>
      <c r="M17" s="89">
        <f>'[2]Mountain Cargo'!$JV$48</f>
        <v>41239</v>
      </c>
      <c r="N17" s="126">
        <f>[2]DHL_Amerijet!$JV$48</f>
        <v>0</v>
      </c>
      <c r="O17" s="126">
        <f>[2]DHL_Swift!$JV$48</f>
        <v>0</v>
      </c>
      <c r="P17" s="126">
        <f>+'[2]Sun Country Cargo'!$JV$48</f>
        <v>0</v>
      </c>
      <c r="Q17" s="126">
        <f>[2]UPS!$JV$48</f>
        <v>3016847</v>
      </c>
      <c r="R17" s="89">
        <f>'[2]Misc Cargo'!$JV$48</f>
        <v>0</v>
      </c>
      <c r="S17" s="356">
        <f>SUM(B17:E17)+SUM(G17:R17)</f>
        <v>3058086</v>
      </c>
      <c r="U17" s="330"/>
      <c r="V17" s="330"/>
      <c r="W17" s="209"/>
    </row>
    <row r="18" spans="1:23" ht="18" customHeight="1" x14ac:dyDescent="0.2">
      <c r="A18" s="160" t="s">
        <v>39</v>
      </c>
      <c r="B18" s="367">
        <f>SUM(B16:B17)</f>
        <v>0</v>
      </c>
      <c r="C18" s="215">
        <f>SUM(C16:C17)</f>
        <v>12551</v>
      </c>
      <c r="D18" s="215">
        <f>SUM(D16:D17)</f>
        <v>577110</v>
      </c>
      <c r="E18" s="215">
        <f>SUM(E16:E17)</f>
        <v>79303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4669469</v>
      </c>
      <c r="K18" s="215">
        <f>SUM(K16:K17)</f>
        <v>43240</v>
      </c>
      <c r="L18" s="215">
        <f t="shared" ref="L18:R18" si="10">SUM(L16:L17)</f>
        <v>0</v>
      </c>
      <c r="M18" s="216">
        <f t="shared" si="10"/>
        <v>41239</v>
      </c>
      <c r="N18" s="215">
        <f t="shared" si="10"/>
        <v>0</v>
      </c>
      <c r="O18" s="215">
        <f t="shared" si="10"/>
        <v>0</v>
      </c>
      <c r="P18" s="215">
        <f t="shared" si="10"/>
        <v>2585596</v>
      </c>
      <c r="Q18" s="215">
        <f t="shared" si="10"/>
        <v>6942199</v>
      </c>
      <c r="R18" s="216">
        <f t="shared" si="10"/>
        <v>0</v>
      </c>
      <c r="S18" s="368">
        <f>SUM(B18:D18)+SUM(G18:R18)</f>
        <v>14871404</v>
      </c>
      <c r="U18" s="330"/>
      <c r="V18" s="330"/>
      <c r="W18" s="209"/>
    </row>
    <row r="19" spans="1:23" x14ac:dyDescent="0.2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">
      <c r="A21" s="36" t="s">
        <v>58</v>
      </c>
      <c r="B21" s="177">
        <f>'[2]Atlas Air'!$JV$52</f>
        <v>0</v>
      </c>
      <c r="C21" s="126">
        <f>[2]DHL!$JV$52</f>
        <v>54083</v>
      </c>
      <c r="D21" s="126">
        <f>[2]Airborne!$JV$52</f>
        <v>538096</v>
      </c>
      <c r="E21" s="126">
        <f>[2]DHL_Bemidji!$JV$52</f>
        <v>53931</v>
      </c>
      <c r="F21" s="469"/>
      <c r="G21" s="126">
        <f>[2]DHL_Encore!$JV$52</f>
        <v>0</v>
      </c>
      <c r="H21" s="126">
        <f>[2]DHL_Mesa!$JV$52</f>
        <v>0</v>
      </c>
      <c r="I21" s="126">
        <f>[2]Encore!$JV$52</f>
        <v>0</v>
      </c>
      <c r="J21" s="126">
        <f>[2]FedEx!$JV$52</f>
        <v>4355717</v>
      </c>
      <c r="K21" s="126">
        <f>[2]IFL!$JV$52</f>
        <v>0</v>
      </c>
      <c r="L21" s="126">
        <f>[2]DHL_Kalitta!$JV$52</f>
        <v>0</v>
      </c>
      <c r="M21" s="89">
        <f>'[2]Mountain Cargo'!$JV$52</f>
        <v>0</v>
      </c>
      <c r="N21" s="126">
        <f>[2]DHL_Amerijet!$JV$52</f>
        <v>0</v>
      </c>
      <c r="O21" s="126">
        <f>[2]DHL_Swift!$JV$52</f>
        <v>0</v>
      </c>
      <c r="P21" s="126">
        <f>+'[2]Sun Country Cargo'!$JV$52</f>
        <v>2606892</v>
      </c>
      <c r="Q21" s="126">
        <f>[2]UPS!$JV$52</f>
        <v>3380154</v>
      </c>
      <c r="R21" s="89">
        <f>'[2]Misc Cargo'!$JV$52</f>
        <v>0</v>
      </c>
      <c r="S21" s="356">
        <f>SUM(B21:E21)+SUM(G21:R21)</f>
        <v>10988873</v>
      </c>
      <c r="U21" s="330"/>
      <c r="V21" s="330"/>
      <c r="W21" s="209"/>
    </row>
    <row r="22" spans="1:23" x14ac:dyDescent="0.2">
      <c r="A22" s="36" t="s">
        <v>59</v>
      </c>
      <c r="B22" s="177">
        <f>'[2]Atlas Air'!$JV$53</f>
        <v>0</v>
      </c>
      <c r="C22" s="126">
        <f>[2]DHL!$JV$53</f>
        <v>0</v>
      </c>
      <c r="D22" s="126">
        <f>[2]Airborne!$JV$53</f>
        <v>0</v>
      </c>
      <c r="E22" s="126">
        <f>[2]DHL_Bemidji!$JV$53</f>
        <v>0</v>
      </c>
      <c r="F22" s="469"/>
      <c r="G22" s="126">
        <f>[2]DHL_Encore!$JV$53</f>
        <v>0</v>
      </c>
      <c r="H22" s="126">
        <f>[2]DHL_Mesa!$JV$53</f>
        <v>0</v>
      </c>
      <c r="I22" s="126">
        <f>[2]Encore!$JV$53</f>
        <v>0</v>
      </c>
      <c r="J22" s="126">
        <f>[2]FedEx!$JV$53</f>
        <v>0</v>
      </c>
      <c r="K22" s="126">
        <f>[2]IFL!$JV$53</f>
        <v>0</v>
      </c>
      <c r="L22" s="126">
        <f>[2]DHL_Kalitta!$JV$53</f>
        <v>0</v>
      </c>
      <c r="M22" s="89">
        <f>'[2]Mountain Cargo'!$JV$53</f>
        <v>72894</v>
      </c>
      <c r="N22" s="126">
        <f>[2]DHL_Amerijet!$JV$53</f>
        <v>0</v>
      </c>
      <c r="O22" s="126">
        <f>[2]DHL_Swift!$JV$53</f>
        <v>0</v>
      </c>
      <c r="P22" s="126">
        <f>+'[2]Sun Country Cargo'!$JV$53</f>
        <v>0</v>
      </c>
      <c r="Q22" s="126">
        <f>[2]UPS!$JV$53</f>
        <v>2474755</v>
      </c>
      <c r="R22" s="89">
        <f>'[2]Misc Cargo'!$JV$53</f>
        <v>0</v>
      </c>
      <c r="S22" s="356">
        <f>SUM(B22:E22)+SUM(G22:R22)</f>
        <v>2547649</v>
      </c>
      <c r="U22" s="330"/>
      <c r="V22" s="330"/>
      <c r="W22" s="209"/>
    </row>
    <row r="23" spans="1:23" ht="18" customHeight="1" x14ac:dyDescent="0.2">
      <c r="A23" s="160" t="s">
        <v>41</v>
      </c>
      <c r="B23" s="367">
        <f>SUM(B21:B22)</f>
        <v>0</v>
      </c>
      <c r="C23" s="215">
        <f>SUM(C21:C22)</f>
        <v>54083</v>
      </c>
      <c r="D23" s="215">
        <f t="shared" ref="D23:E23" si="11">SUM(D21:D22)</f>
        <v>538096</v>
      </c>
      <c r="E23" s="215">
        <f t="shared" si="11"/>
        <v>53931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4355717</v>
      </c>
      <c r="K23" s="215">
        <f t="shared" si="12"/>
        <v>0</v>
      </c>
      <c r="L23" s="215">
        <f t="shared" si="12"/>
        <v>0</v>
      </c>
      <c r="M23" s="216">
        <f t="shared" si="12"/>
        <v>72894</v>
      </c>
      <c r="N23" s="215">
        <f t="shared" si="12"/>
        <v>0</v>
      </c>
      <c r="O23" s="215">
        <f t="shared" si="12"/>
        <v>0</v>
      </c>
      <c r="P23" s="215">
        <f t="shared" si="12"/>
        <v>2606892</v>
      </c>
      <c r="Q23" s="215">
        <f t="shared" si="12"/>
        <v>5854909</v>
      </c>
      <c r="R23" s="216">
        <f t="shared" si="12"/>
        <v>0</v>
      </c>
      <c r="S23" s="368">
        <f>SUM(B23:D23)+SUM(G23:R23)</f>
        <v>13482591</v>
      </c>
      <c r="U23" s="330"/>
      <c r="V23" s="330"/>
      <c r="W23" s="209"/>
    </row>
    <row r="24" spans="1:23" x14ac:dyDescent="0.2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">
      <c r="A26" s="36" t="s">
        <v>58</v>
      </c>
      <c r="B26" s="177">
        <f>'[2]Atlas Air'!$JV$57</f>
        <v>0</v>
      </c>
      <c r="C26" s="126">
        <f>[2]DHL!$JV$57</f>
        <v>0</v>
      </c>
      <c r="D26" s="126">
        <f>[2]Airborne!$JV$57</f>
        <v>0</v>
      </c>
      <c r="E26" s="126">
        <f>[2]DHL_Bemidji!$JV$57</f>
        <v>0</v>
      </c>
      <c r="F26" s="469"/>
      <c r="G26" s="126">
        <f>[2]DHL_Encore!$JV$57</f>
        <v>0</v>
      </c>
      <c r="H26" s="126">
        <f>[2]DHL_Mesa!$JV$57</f>
        <v>0</v>
      </c>
      <c r="I26" s="126">
        <f>[2]Encore!$JV$57</f>
        <v>0</v>
      </c>
      <c r="J26" s="126">
        <f>[2]FedEx!$JV$57</f>
        <v>0</v>
      </c>
      <c r="K26" s="126">
        <f>[2]IFL!$JV$57</f>
        <v>0</v>
      </c>
      <c r="L26" s="126">
        <f>[2]DHL_Kalitta!$JV$57</f>
        <v>0</v>
      </c>
      <c r="M26" s="89">
        <f>'[2]Mountain Cargo'!$JV$57</f>
        <v>0</v>
      </c>
      <c r="N26" s="126">
        <f>[2]DHL_Amerijet!$JV$57</f>
        <v>0</v>
      </c>
      <c r="O26" s="126">
        <f>[2]DHL_Swift!$JV$57</f>
        <v>0</v>
      </c>
      <c r="P26" s="126">
        <f>+'[2]Sun Country Cargo'!$JV$57</f>
        <v>0</v>
      </c>
      <c r="Q26" s="126">
        <f>[2]UPS!$JV$57</f>
        <v>0</v>
      </c>
      <c r="R26" s="89">
        <f>'[2]Misc Cargo'!$JV$57</f>
        <v>0</v>
      </c>
      <c r="S26" s="356">
        <f>SUM(B26:D26)+SUM(G26:R26)</f>
        <v>0</v>
      </c>
      <c r="U26" s="330"/>
      <c r="V26" s="330"/>
      <c r="W26" s="330"/>
    </row>
    <row r="27" spans="1:23" x14ac:dyDescent="0.2">
      <c r="A27" s="36" t="s">
        <v>59</v>
      </c>
      <c r="B27" s="177">
        <f>'[2]Atlas Air'!$JV$58</f>
        <v>0</v>
      </c>
      <c r="C27" s="126">
        <f>[2]DHL!$JV$58</f>
        <v>0</v>
      </c>
      <c r="D27" s="126">
        <f>[2]Airborne!$JV$58</f>
        <v>0</v>
      </c>
      <c r="E27" s="126">
        <f>[2]DHL_Bemidji!$JV$58</f>
        <v>0</v>
      </c>
      <c r="F27" s="469"/>
      <c r="G27" s="126">
        <f>[2]DHL_Encore!$JV$58</f>
        <v>0</v>
      </c>
      <c r="H27" s="126">
        <f>[2]DHL_Mesa!$JV$58</f>
        <v>0</v>
      </c>
      <c r="I27" s="126">
        <f>[2]Encore!$JV$58</f>
        <v>0</v>
      </c>
      <c r="J27" s="126">
        <f>[2]FedEx!$JV$58</f>
        <v>0</v>
      </c>
      <c r="K27" s="126">
        <f>[2]IFL!$JV$58</f>
        <v>0</v>
      </c>
      <c r="L27" s="126">
        <f>[2]DHL_Kalitta!$JV$58</f>
        <v>0</v>
      </c>
      <c r="M27" s="89">
        <f>'[2]Mountain Cargo'!$JV$58</f>
        <v>0</v>
      </c>
      <c r="N27" s="126">
        <f>[2]DHL_Amerijet!$JV$58</f>
        <v>0</v>
      </c>
      <c r="O27" s="126">
        <f>[2]DHL_Swift!$JV$58</f>
        <v>0</v>
      </c>
      <c r="P27" s="126">
        <f>+'[2]Sun Country Cargo'!$JV$58</f>
        <v>0</v>
      </c>
      <c r="Q27" s="126">
        <f>[2]UPS!$JV$58</f>
        <v>0</v>
      </c>
      <c r="R27" s="89">
        <f>'[2]Misc Cargo'!$JV$58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">
      <c r="A31" s="36" t="s">
        <v>87</v>
      </c>
      <c r="B31" s="177">
        <f>B26+B21+B16</f>
        <v>0</v>
      </c>
      <c r="C31" s="126">
        <f t="shared" ref="C31:R33" si="17">C26+C21+C16</f>
        <v>66634</v>
      </c>
      <c r="D31" s="126">
        <f t="shared" si="17"/>
        <v>1115206</v>
      </c>
      <c r="E31" s="126">
        <f t="shared" si="17"/>
        <v>133234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9025186</v>
      </c>
      <c r="K31" s="126">
        <f t="shared" si="18"/>
        <v>43240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5192488</v>
      </c>
      <c r="Q31" s="126">
        <f t="shared" si="17"/>
        <v>7305506</v>
      </c>
      <c r="R31" s="89">
        <f>R26+R21+R16</f>
        <v>0</v>
      </c>
      <c r="S31" s="356">
        <f>SUM(B31:E31)+SUM(G31:R31)</f>
        <v>22881494</v>
      </c>
    </row>
    <row r="32" spans="1:23" x14ac:dyDescent="0.2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114133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5491602</v>
      </c>
      <c r="R32" s="89">
        <f>R27+R22+R17</f>
        <v>0</v>
      </c>
      <c r="S32" s="356">
        <f>SUM(B32:E32)+SUM(G32:R32)</f>
        <v>5605735</v>
      </c>
    </row>
    <row r="33" spans="1:19" ht="18" customHeight="1" thickBot="1" x14ac:dyDescent="0.25">
      <c r="A33" s="154" t="s">
        <v>46</v>
      </c>
      <c r="B33" s="361">
        <f>B28+B23+B18</f>
        <v>0</v>
      </c>
      <c r="C33" s="155">
        <f t="shared" ref="C33:I33" si="21">C28+C23+C18</f>
        <v>66634</v>
      </c>
      <c r="D33" s="155">
        <f t="shared" si="21"/>
        <v>1115206</v>
      </c>
      <c r="E33" s="155">
        <f t="shared" si="21"/>
        <v>133234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9025186</v>
      </c>
      <c r="K33" s="155">
        <f t="shared" si="18"/>
        <v>43240</v>
      </c>
      <c r="L33" s="155">
        <f t="shared" si="18"/>
        <v>0</v>
      </c>
      <c r="M33" s="156">
        <f>M28+M23+M18</f>
        <v>114133</v>
      </c>
      <c r="N33" s="155">
        <f t="shared" si="18"/>
        <v>0</v>
      </c>
      <c r="O33" s="155">
        <f t="shared" si="18"/>
        <v>0</v>
      </c>
      <c r="P33" s="155">
        <f t="shared" si="17"/>
        <v>5192488</v>
      </c>
      <c r="Q33" s="155">
        <f t="shared" si="17"/>
        <v>12797108</v>
      </c>
      <c r="R33" s="156">
        <f t="shared" si="17"/>
        <v>0</v>
      </c>
      <c r="S33" s="362">
        <f>SUM(B33:E33)+SUM(G33:R33)</f>
        <v>28487229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89</v>
      </c>
    </row>
    <row r="37" spans="1:19" x14ac:dyDescent="0.2">
      <c r="A37" t="s">
        <v>90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January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A2" sqref="A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46023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235</v>
      </c>
      <c r="G2" s="56" t="s">
        <v>220</v>
      </c>
      <c r="H2" s="57" t="s">
        <v>64</v>
      </c>
      <c r="I2" s="58" t="s">
        <v>228</v>
      </c>
      <c r="J2" s="58" t="s">
        <v>218</v>
      </c>
      <c r="K2" s="67" t="s">
        <v>2</v>
      </c>
      <c r="M2" s="389"/>
    </row>
    <row r="3" spans="1:18" ht="20.25" customHeight="1" x14ac:dyDescent="0.2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67</v>
      </c>
      <c r="B5" s="133">
        <f>'Major Airline Stats'!J28</f>
        <v>3223813.3</v>
      </c>
      <c r="C5" s="89">
        <f>'Regional Major'!K25</f>
        <v>4029.6</v>
      </c>
      <c r="D5" s="89">
        <f>Cargo!S16</f>
        <v>11892621</v>
      </c>
      <c r="E5" s="89">
        <f>SUM(B5:D5)</f>
        <v>15120463.9</v>
      </c>
      <c r="F5" s="89">
        <f>E5*0.00045359237</f>
        <v>6858.527055900443</v>
      </c>
      <c r="G5" s="89">
        <f>'[14]Cargo Summary'!F5</f>
        <v>8195.9813080605454</v>
      </c>
      <c r="H5" s="73">
        <f>(F5-G5)/G5</f>
        <v>-0.16318415109667822</v>
      </c>
      <c r="I5" s="89">
        <f>+F5</f>
        <v>6858.527055900443</v>
      </c>
      <c r="J5" s="89">
        <f>+'[14]Cargo Summary'!I5</f>
        <v>8195.9813080605454</v>
      </c>
      <c r="K5" s="63">
        <f>(I5-J5)/J5</f>
        <v>-0.16318415109667822</v>
      </c>
      <c r="M5" s="12"/>
      <c r="O5" s="388"/>
    </row>
    <row r="6" spans="1:18" x14ac:dyDescent="0.2">
      <c r="A6" s="43" t="s">
        <v>16</v>
      </c>
      <c r="B6" s="133">
        <f>'Major Airline Stats'!J29</f>
        <v>334647</v>
      </c>
      <c r="C6" s="89">
        <f>'Regional Major'!K26</f>
        <v>0</v>
      </c>
      <c r="D6" s="89">
        <f>Cargo!S17</f>
        <v>3058086</v>
      </c>
      <c r="E6" s="89">
        <f>SUM(B6:D6)</f>
        <v>3392733</v>
      </c>
      <c r="F6" s="89">
        <f>E6*0.00045359237</f>
        <v>1538.9178022472099</v>
      </c>
      <c r="G6" s="89">
        <f>'[14]Cargo Summary'!F6</f>
        <v>195.74007620321001</v>
      </c>
      <c r="H6" s="3">
        <f>(F6-G6)/G6</f>
        <v>6.8620476301928237</v>
      </c>
      <c r="I6" s="89">
        <f>+F6</f>
        <v>1538.9178022472099</v>
      </c>
      <c r="J6" s="89">
        <f>+'[14]Cargo Summary'!I6</f>
        <v>195.74007620321001</v>
      </c>
      <c r="K6" s="63">
        <f>(I6-J6)/J6</f>
        <v>6.8620476301928237</v>
      </c>
      <c r="M6" s="12"/>
    </row>
    <row r="7" spans="1:18" ht="18" customHeight="1" thickBot="1" x14ac:dyDescent="0.25">
      <c r="A7" s="52" t="s">
        <v>70</v>
      </c>
      <c r="B7" s="135">
        <f>SUM(B5:B6)</f>
        <v>3558460.3</v>
      </c>
      <c r="C7" s="99">
        <f t="shared" ref="C7:J7" si="0">SUM(C5:C6)</f>
        <v>4029.6</v>
      </c>
      <c r="D7" s="99">
        <f t="shared" si="0"/>
        <v>14950707</v>
      </c>
      <c r="E7" s="99">
        <f t="shared" si="0"/>
        <v>18513196.899999999</v>
      </c>
      <c r="F7" s="99">
        <f t="shared" si="0"/>
        <v>8397.4448581476536</v>
      </c>
      <c r="G7" s="99">
        <f t="shared" si="0"/>
        <v>8391.7213842637557</v>
      </c>
      <c r="H7" s="27">
        <f>(F7-G7)/G7</f>
        <v>6.8203812088311389E-4</v>
      </c>
      <c r="I7" s="99">
        <f t="shared" si="0"/>
        <v>8397.4448581476536</v>
      </c>
      <c r="J7" s="99">
        <f t="shared" si="0"/>
        <v>8391.7213842637557</v>
      </c>
      <c r="K7" s="229">
        <f>(I7-J7)/J7</f>
        <v>6.8203812088311389E-4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67</v>
      </c>
      <c r="B10" s="133">
        <f>'Major Airline Stats'!J33</f>
        <v>2011569.32</v>
      </c>
      <c r="C10" s="89">
        <f>'Regional Major'!K30</f>
        <v>4313.5</v>
      </c>
      <c r="D10" s="89">
        <f>Cargo!S21</f>
        <v>10988873</v>
      </c>
      <c r="E10" s="89">
        <f>SUM(B10:D10)</f>
        <v>13004755.82</v>
      </c>
      <c r="F10" s="89">
        <f>E10*0.00045359237</f>
        <v>5898.8580136650935</v>
      </c>
      <c r="G10" s="89">
        <f>'[14]Cargo Summary'!F10</f>
        <v>6720.9551209151887</v>
      </c>
      <c r="H10" s="3">
        <f>(F10-G10)/G10</f>
        <v>-0.12231849379439848</v>
      </c>
      <c r="I10" s="89">
        <f>+F10</f>
        <v>5898.8580136650935</v>
      </c>
      <c r="J10" s="89">
        <f>+'[14]Cargo Summary'!I10</f>
        <v>6720.9551209151887</v>
      </c>
      <c r="K10" s="63">
        <f>(I10-J10)/J10</f>
        <v>-0.12231849379439848</v>
      </c>
      <c r="M10" s="12"/>
      <c r="O10" s="388"/>
    </row>
    <row r="11" spans="1:18" x14ac:dyDescent="0.2">
      <c r="A11" s="43" t="s">
        <v>16</v>
      </c>
      <c r="B11" s="133">
        <f>'Major Airline Stats'!J34</f>
        <v>553340</v>
      </c>
      <c r="C11" s="89">
        <f>'Regional Major'!K31</f>
        <v>0</v>
      </c>
      <c r="D11" s="89">
        <f>Cargo!S22</f>
        <v>2547649</v>
      </c>
      <c r="E11" s="89">
        <f>SUM(B11:D11)</f>
        <v>3100989</v>
      </c>
      <c r="F11" s="89">
        <f>E11*0.00045359237</f>
        <v>1406.5849498539299</v>
      </c>
      <c r="G11" s="89">
        <f>'[14]Cargo Summary'!F11</f>
        <v>195.08372804382</v>
      </c>
      <c r="H11" s="24">
        <f>(F11-G11)/G11</f>
        <v>6.2101602935226898</v>
      </c>
      <c r="I11" s="89">
        <f>+F11</f>
        <v>1406.5849498539299</v>
      </c>
      <c r="J11" s="89">
        <f>+'[14]Cargo Summary'!I11</f>
        <v>195.08372804382</v>
      </c>
      <c r="K11" s="63">
        <f>(I11-J11)/J11</f>
        <v>6.2101602935226898</v>
      </c>
      <c r="M11" s="12"/>
    </row>
    <row r="12" spans="1:18" ht="18" customHeight="1" thickBot="1" x14ac:dyDescent="0.25">
      <c r="A12" s="52" t="s">
        <v>71</v>
      </c>
      <c r="B12" s="135">
        <f>SUM(B10:B11)</f>
        <v>2564909.3200000003</v>
      </c>
      <c r="C12" s="99">
        <f t="shared" ref="C12:J12" si="1">SUM(C10:C11)</f>
        <v>4313.5</v>
      </c>
      <c r="D12" s="99">
        <f t="shared" si="1"/>
        <v>13536522</v>
      </c>
      <c r="E12" s="99">
        <f t="shared" si="1"/>
        <v>16105744.82</v>
      </c>
      <c r="F12" s="99">
        <f t="shared" si="1"/>
        <v>7305.4429635190236</v>
      </c>
      <c r="G12" s="99">
        <f t="shared" si="1"/>
        <v>6916.0388489590086</v>
      </c>
      <c r="H12" s="27">
        <f>(F12-G12)/G12</f>
        <v>5.6304500750256406E-2</v>
      </c>
      <c r="I12" s="99">
        <f>SUM(I10:I11)</f>
        <v>7305.4429635190236</v>
      </c>
      <c r="J12" s="99">
        <f t="shared" si="1"/>
        <v>6916.0388489590086</v>
      </c>
      <c r="K12" s="229">
        <f>(I12-J12)/J12</f>
        <v>5.6304500750256406E-2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'[14]Cargo Summary'!F15</f>
        <v>0</v>
      </c>
      <c r="H15" s="422">
        <v>0</v>
      </c>
      <c r="I15" s="89">
        <f>+F15</f>
        <v>0</v>
      </c>
      <c r="J15" s="89">
        <f>+'[14]Cargo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'[14]Cargo Summary'!F16</f>
        <v>0</v>
      </c>
      <c r="H16" s="3">
        <v>0</v>
      </c>
      <c r="I16" s="89">
        <f>+F16</f>
        <v>0</v>
      </c>
      <c r="J16" s="89">
        <f>+'[14]Cargo Summary'!I16</f>
        <v>0</v>
      </c>
      <c r="K16" s="63">
        <v>0</v>
      </c>
      <c r="M16" s="12"/>
    </row>
    <row r="17" spans="1:13" ht="18" customHeight="1" thickBot="1" x14ac:dyDescent="0.25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67</v>
      </c>
      <c r="B20" s="133">
        <f t="shared" ref="B20:D21" si="3">B15+B10+B5</f>
        <v>5235382.62</v>
      </c>
      <c r="C20" s="89">
        <f>C15+C10+C5</f>
        <v>8343.1</v>
      </c>
      <c r="D20" s="89">
        <f t="shared" si="3"/>
        <v>22881494</v>
      </c>
      <c r="E20" s="89">
        <f>SUM(B20:D20)</f>
        <v>28125219.719999999</v>
      </c>
      <c r="F20" s="89">
        <f>E20*0.00045359237</f>
        <v>12757.385069565535</v>
      </c>
      <c r="G20" s="89">
        <f>'[14]Cargo Summary'!F20</f>
        <v>14916.936428975734</v>
      </c>
      <c r="H20" s="3">
        <f>(F20-G20)/G20</f>
        <v>-0.14477177466650129</v>
      </c>
      <c r="I20" s="89">
        <f>+F20</f>
        <v>12757.385069565535</v>
      </c>
      <c r="J20" s="89">
        <f>+'[14]Cargo Summary'!I20</f>
        <v>14916.936428975734</v>
      </c>
      <c r="K20" s="63">
        <f>(I20-J20)/J20</f>
        <v>-0.14477177466650129</v>
      </c>
      <c r="M20" s="12"/>
    </row>
    <row r="21" spans="1:13" x14ac:dyDescent="0.2">
      <c r="A21" s="43" t="s">
        <v>16</v>
      </c>
      <c r="B21" s="133">
        <f t="shared" si="3"/>
        <v>887987</v>
      </c>
      <c r="C21" s="90">
        <f t="shared" si="3"/>
        <v>0</v>
      </c>
      <c r="D21" s="90">
        <f t="shared" si="3"/>
        <v>5605735</v>
      </c>
      <c r="E21" s="89">
        <f>SUM(B21:D21)</f>
        <v>6493722</v>
      </c>
      <c r="F21" s="89">
        <f>E21*0.00045359237</f>
        <v>2945.5027521011398</v>
      </c>
      <c r="G21" s="89">
        <f>'[14]Cargo Summary'!F21</f>
        <v>390.82380424703001</v>
      </c>
      <c r="H21" s="3">
        <f>(F21-G21)/G21</f>
        <v>6.5366513505389259</v>
      </c>
      <c r="I21" s="89">
        <f>+F21</f>
        <v>2945.5027521011398</v>
      </c>
      <c r="J21" s="89">
        <f>+'[14]Cargo Summary'!I21</f>
        <v>390.82380424703001</v>
      </c>
      <c r="K21" s="63">
        <f>(I21-J21)/J21</f>
        <v>6.5366513505389259</v>
      </c>
      <c r="M21" s="12"/>
    </row>
    <row r="22" spans="1:13" ht="18" customHeight="1" thickBot="1" x14ac:dyDescent="0.25">
      <c r="A22" s="65" t="s">
        <v>61</v>
      </c>
      <c r="B22" s="136">
        <f>SUM(B20:B21)</f>
        <v>6123369.6200000001</v>
      </c>
      <c r="C22" s="137">
        <f t="shared" ref="C22:J22" si="4">SUM(C20:C21)</f>
        <v>8343.1</v>
      </c>
      <c r="D22" s="137">
        <f t="shared" si="4"/>
        <v>28487229</v>
      </c>
      <c r="E22" s="137">
        <f t="shared" si="4"/>
        <v>34618941.719999999</v>
      </c>
      <c r="F22" s="137">
        <f t="shared" si="4"/>
        <v>15702.887821666674</v>
      </c>
      <c r="G22" s="137">
        <f t="shared" si="4"/>
        <v>15307.760233222763</v>
      </c>
      <c r="H22" s="235">
        <f>(F22-G22)/G22</f>
        <v>2.5812240486126577E-2</v>
      </c>
      <c r="I22" s="137">
        <f>SUM(I20:I21)</f>
        <v>15702.887821666674</v>
      </c>
      <c r="J22" s="137">
        <f t="shared" si="4"/>
        <v>15307.760233222763</v>
      </c>
      <c r="K22" s="236">
        <f>(I22-J22)/J22</f>
        <v>2.5812240486126577E-2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January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17" zoomScale="115" zoomScaleNormal="115" workbookViewId="0">
      <selection activeCell="D7" sqref="D7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0" t="s">
        <v>174</v>
      </c>
      <c r="B2" s="481"/>
      <c r="C2" s="326" t="s">
        <v>231</v>
      </c>
      <c r="D2" s="327" t="s">
        <v>221</v>
      </c>
      <c r="E2" s="382" t="s">
        <v>94</v>
      </c>
      <c r="F2" s="329" t="s">
        <v>232</v>
      </c>
      <c r="G2" s="327" t="s">
        <v>222</v>
      </c>
      <c r="H2" s="383" t="s">
        <v>95</v>
      </c>
      <c r="I2" s="328" t="s">
        <v>134</v>
      </c>
      <c r="J2" s="480" t="s">
        <v>170</v>
      </c>
      <c r="K2" s="481"/>
      <c r="L2" s="326" t="s">
        <v>233</v>
      </c>
      <c r="M2" s="327" t="s">
        <v>225</v>
      </c>
      <c r="N2" s="382" t="s">
        <v>94</v>
      </c>
      <c r="O2" s="329" t="s">
        <v>234</v>
      </c>
      <c r="P2" s="327" t="s">
        <v>226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25">
      <c r="A3" s="482">
        <v>46023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46023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">
      <c r="A5" s="248" t="s">
        <v>188</v>
      </c>
      <c r="B5" s="37"/>
      <c r="C5" s="370">
        <f>SUM(C6:C7)</f>
        <v>112</v>
      </c>
      <c r="D5" s="370">
        <f>SUM(D6:D7)</f>
        <v>196</v>
      </c>
      <c r="E5" s="371">
        <f>(C5-D5)/D5</f>
        <v>-0.42857142857142855</v>
      </c>
      <c r="F5" s="370">
        <f>SUM(F6:F7)</f>
        <v>112</v>
      </c>
      <c r="G5" s="370">
        <f>SUM(G6:G7)</f>
        <v>196</v>
      </c>
      <c r="H5" s="372">
        <f>(F5-G5)/G5</f>
        <v>-0.42857142857142855</v>
      </c>
      <c r="I5" s="371">
        <f>+F5/$F$34</f>
        <v>0.12962962962962962</v>
      </c>
      <c r="J5" s="248" t="s">
        <v>188</v>
      </c>
      <c r="K5" s="37"/>
      <c r="L5" s="370">
        <f>SUM(L6:L7)</f>
        <v>5192488</v>
      </c>
      <c r="M5" s="370">
        <f>SUM(M6:M7)</f>
        <v>4796446</v>
      </c>
      <c r="N5" s="371">
        <f>(L5-M5)/M5</f>
        <v>8.2569886119847904E-2</v>
      </c>
      <c r="O5" s="370">
        <f>SUM(O6:O7)</f>
        <v>5192488</v>
      </c>
      <c r="P5" s="370">
        <f>SUM(P6:P7)</f>
        <v>4796446</v>
      </c>
      <c r="Q5" s="372">
        <f>(O5-P5)/P5</f>
        <v>8.2569886119847904E-2</v>
      </c>
      <c r="R5" s="371">
        <f>O5/$O$34</f>
        <v>0.18227423944954421</v>
      </c>
      <c r="T5" s="379"/>
    </row>
    <row r="6" spans="1:20" ht="14.1" customHeight="1" x14ac:dyDescent="0.2">
      <c r="A6" s="36"/>
      <c r="B6" s="308" t="s">
        <v>189</v>
      </c>
      <c r="C6" s="312">
        <f>+'[2]Atlas Air'!$JV$19</f>
        <v>0</v>
      </c>
      <c r="D6" s="209">
        <f>+'[2]Atlas Air'!$JH$19</f>
        <v>8</v>
      </c>
      <c r="E6" s="314">
        <f>IFERROR((C6-D6)/D6,0)</f>
        <v>-1</v>
      </c>
      <c r="F6" s="312">
        <f>+SUM('[2]Atlas Air'!$JV$19:$JV$19)</f>
        <v>0</v>
      </c>
      <c r="G6" s="209">
        <f>+SUM('[2]Atlas Air'!$JH$19:$JH$19)</f>
        <v>8</v>
      </c>
      <c r="H6" s="313">
        <f>IFERROR((F6-G6)/G6,0)</f>
        <v>-1</v>
      </c>
      <c r="I6" s="314">
        <f>+F6/$F$34</f>
        <v>0</v>
      </c>
      <c r="J6" s="36"/>
      <c r="K6" s="308" t="s">
        <v>189</v>
      </c>
      <c r="L6" s="312">
        <f>+'[2]Atlas Air'!$JV$64</f>
        <v>0</v>
      </c>
      <c r="M6" s="209">
        <f>+'[2]Atlas Air'!$JH$64</f>
        <v>108656</v>
      </c>
      <c r="N6" s="314">
        <f>IFERROR((L6-M6)/M6,0)</f>
        <v>-1</v>
      </c>
      <c r="O6" s="209">
        <f>+SUM('[2]Atlas Air'!$JV$64:$JV$64)</f>
        <v>0</v>
      </c>
      <c r="P6" s="209">
        <f>+SUM('[2]Atlas Air'!$JH$64:$JH$64)</f>
        <v>108656</v>
      </c>
      <c r="Q6" s="313">
        <f>IFERROR((O6-P6)/P6,0)</f>
        <v>-1</v>
      </c>
      <c r="R6" s="314">
        <f>O6/$O$34</f>
        <v>0</v>
      </c>
      <c r="T6" s="379"/>
    </row>
    <row r="7" spans="1:20" ht="14.1" customHeight="1" x14ac:dyDescent="0.2">
      <c r="A7" s="36"/>
      <c r="B7" s="308" t="s">
        <v>49</v>
      </c>
      <c r="C7" s="312">
        <f>+'[2]Sun Country Cargo'!$JV$19</f>
        <v>112</v>
      </c>
      <c r="D7" s="209">
        <f>+'[2]Sun Country Cargo'!$JH$19</f>
        <v>188</v>
      </c>
      <c r="E7" s="314">
        <f>(C7-D7)/D7</f>
        <v>-0.40425531914893614</v>
      </c>
      <c r="F7" s="312">
        <f>+SUM('[2]Sun Country Cargo'!$JV$19:$JV$19)</f>
        <v>112</v>
      </c>
      <c r="G7" s="209">
        <f>+SUM('[2]Sun Country Cargo'!$JH$19:$JH$19)</f>
        <v>188</v>
      </c>
      <c r="H7" s="313">
        <f>(F7-G7)/G7</f>
        <v>-0.40425531914893614</v>
      </c>
      <c r="I7" s="314">
        <f>+F7/$F$34</f>
        <v>0.12962962962962962</v>
      </c>
      <c r="J7" s="36"/>
      <c r="K7" s="308" t="s">
        <v>49</v>
      </c>
      <c r="L7" s="312">
        <f>+'[2]Sun Country Cargo'!$JV$64</f>
        <v>5192488</v>
      </c>
      <c r="M7" s="209">
        <f>+'[2]Sun Country Cargo'!$JH$64</f>
        <v>4687790</v>
      </c>
      <c r="N7" s="314">
        <f>(L7-M7)/M7</f>
        <v>0.10766224596238312</v>
      </c>
      <c r="O7" s="209">
        <f>+SUM('[2]Sun Country Cargo'!$JV$64:$JV$64)</f>
        <v>5192488</v>
      </c>
      <c r="P7" s="209">
        <f>+SUM('[2]Sun Country Cargo'!$JH$64:$JH$64)</f>
        <v>4687790</v>
      </c>
      <c r="Q7" s="313">
        <f>(O7-P7)/P7</f>
        <v>0.10766224596238312</v>
      </c>
      <c r="R7" s="314">
        <f>O7/$O$34</f>
        <v>0.18227423944954421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8" t="s">
        <v>190</v>
      </c>
      <c r="B9" s="37"/>
      <c r="C9" s="370">
        <f>SUM(C10:C18)</f>
        <v>112</v>
      </c>
      <c r="D9" s="370">
        <f>SUM(D10:D18)</f>
        <v>120</v>
      </c>
      <c r="E9" s="371">
        <f>(C9-D9)/D9</f>
        <v>-6.6666666666666666E-2</v>
      </c>
      <c r="F9" s="370">
        <f>SUM(F10:F18)</f>
        <v>112</v>
      </c>
      <c r="G9" s="370">
        <f>SUM(G10:G18)</f>
        <v>120</v>
      </c>
      <c r="H9" s="372">
        <f>(F9-G9)/G9</f>
        <v>-6.6666666666666666E-2</v>
      </c>
      <c r="I9" s="371">
        <f t="shared" ref="I9:I18" si="0">+F9/$F$34</f>
        <v>0.12962962962962962</v>
      </c>
      <c r="J9" s="248" t="s">
        <v>190</v>
      </c>
      <c r="K9" s="37"/>
      <c r="L9" s="370">
        <f>SUM(L10:L18)</f>
        <v>1315074</v>
      </c>
      <c r="M9" s="370">
        <f>SUM(M10:M18)</f>
        <v>1132688</v>
      </c>
      <c r="N9" s="371">
        <f t="shared" ref="N9:N18" si="1">(L9-M9)/M9</f>
        <v>0.16102051050245081</v>
      </c>
      <c r="O9" s="370">
        <f>SUM(O10:O18)</f>
        <v>1315074</v>
      </c>
      <c r="P9" s="370">
        <f>SUM(P10:P18)</f>
        <v>1132688</v>
      </c>
      <c r="Q9" s="372">
        <f t="shared" ref="Q9:Q18" si="2">(O9-P9)/P9</f>
        <v>0.16102051050245081</v>
      </c>
      <c r="R9" s="371">
        <f t="shared" ref="R9:R18" si="3">O9/$O$34</f>
        <v>4.6163633535574837E-2</v>
      </c>
      <c r="T9" s="379"/>
    </row>
    <row r="10" spans="1:20" ht="14.1" customHeight="1" x14ac:dyDescent="0.2">
      <c r="A10" s="248"/>
      <c r="B10" s="308" t="s">
        <v>191</v>
      </c>
      <c r="C10" s="312">
        <f>+[2]Airborne!$JV$19</f>
        <v>36</v>
      </c>
      <c r="D10" s="209">
        <f>+[2]Airborne!$JH$19</f>
        <v>2</v>
      </c>
      <c r="E10" s="314">
        <f>(C10-D10)/D10</f>
        <v>17</v>
      </c>
      <c r="F10" s="312">
        <f>+SUM([2]Airborne!$JV$19:$JV$19)</f>
        <v>36</v>
      </c>
      <c r="G10" s="209">
        <f>+SUM([2]Airborne!$JH$19:$JH$19)</f>
        <v>2</v>
      </c>
      <c r="H10" s="313">
        <f>(F10-G10)/G10</f>
        <v>17</v>
      </c>
      <c r="I10" s="314">
        <f t="shared" si="0"/>
        <v>4.1666666666666664E-2</v>
      </c>
      <c r="J10" s="248"/>
      <c r="K10" s="308" t="s">
        <v>191</v>
      </c>
      <c r="L10" s="312">
        <f>+[2]Airborne!$JV$64</f>
        <v>1115206</v>
      </c>
      <c r="M10" s="209">
        <f>+[2]Airborne!$JH$64</f>
        <v>114276</v>
      </c>
      <c r="N10" s="314">
        <f t="shared" si="1"/>
        <v>8.7588820049704221</v>
      </c>
      <c r="O10" s="312">
        <f>+SUM([2]Airborne!$JV$64:$JV$64)</f>
        <v>1115206</v>
      </c>
      <c r="P10" s="209">
        <f>+SUM([2]Airborne!$JH$64:$JH$64)</f>
        <v>114276</v>
      </c>
      <c r="Q10" s="313">
        <f t="shared" si="2"/>
        <v>8.7588820049704221</v>
      </c>
      <c r="R10" s="314">
        <f t="shared" si="3"/>
        <v>3.9147577323157684E-2</v>
      </c>
      <c r="T10" s="379"/>
    </row>
    <row r="11" spans="1:20" ht="14.1" customHeight="1" x14ac:dyDescent="0.2">
      <c r="A11" s="248"/>
      <c r="B11" s="37" t="s">
        <v>189</v>
      </c>
      <c r="C11" s="312">
        <f>+[2]DHL_Atlas!$JV$19</f>
        <v>0</v>
      </c>
      <c r="D11" s="209">
        <f>+[2]DHL_Atlas!$JH$19</f>
        <v>0</v>
      </c>
      <c r="E11" s="314">
        <f>IFERROR((C11-D11)/D11,0)</f>
        <v>0</v>
      </c>
      <c r="F11" s="312">
        <f>+SUM([2]DHL_Atlas!$JV$19:$JV$19)</f>
        <v>0</v>
      </c>
      <c r="G11" s="209">
        <f>+SUM([2]DHL_Atlas!$JH$19:$JH$19)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+[2]DHL_Atlas!$JV$64</f>
        <v>0</v>
      </c>
      <c r="M11" s="209">
        <f>+[2]DHL_Atlas!$JH$64</f>
        <v>0</v>
      </c>
      <c r="N11" s="314">
        <f>IFERROR((L11-M11)/M11,0)</f>
        <v>0</v>
      </c>
      <c r="O11" s="312">
        <f>+SUM([2]DHL_Atlas!$JV$64:$JV$64)</f>
        <v>0</v>
      </c>
      <c r="P11" s="209">
        <f>+SUM([2]DHL_Atlas!$JH$64:$JH$64)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">
      <c r="A12" s="248"/>
      <c r="B12" s="37" t="s">
        <v>216</v>
      </c>
      <c r="C12" s="312">
        <f>+[2]DHL!$JV$19</f>
        <v>2</v>
      </c>
      <c r="D12" s="209">
        <f>+[2]DHL!$JH$19</f>
        <v>8</v>
      </c>
      <c r="E12" s="314">
        <f>IFERROR((C12-D12)/D12,0)</f>
        <v>-0.75</v>
      </c>
      <c r="F12" s="312">
        <f>+SUM([2]DHL!$JV$19:$JV$19)</f>
        <v>2</v>
      </c>
      <c r="G12" s="209">
        <f>+SUM([2]DHL!$JH$19:$JH$19)</f>
        <v>8</v>
      </c>
      <c r="H12" s="313">
        <f>IFERROR((F12-G12)/G12,0)</f>
        <v>-0.75</v>
      </c>
      <c r="I12" s="314">
        <f t="shared" si="0"/>
        <v>2.3148148148148147E-3</v>
      </c>
      <c r="J12" s="248"/>
      <c r="K12" s="37" t="s">
        <v>216</v>
      </c>
      <c r="L12" s="312">
        <f>+[2]DHL!$JV$64</f>
        <v>66634</v>
      </c>
      <c r="M12" s="209">
        <f>+[2]DHL!$JH$64</f>
        <v>205001</v>
      </c>
      <c r="N12" s="314">
        <f>IFERROR((L12-M12)/M12,0)</f>
        <v>-0.67495768313325299</v>
      </c>
      <c r="O12" s="312">
        <f>+SUM([2]DHL!$JV$64:$JV$64)</f>
        <v>66634</v>
      </c>
      <c r="P12" s="209">
        <f>+SUM([2]DHL!$JH$64:$JH$64)</f>
        <v>205001</v>
      </c>
      <c r="Q12" s="313">
        <f>IFERROR((O12-P12)/P12,0)</f>
        <v>-0.67495768313325299</v>
      </c>
      <c r="R12" s="314">
        <f t="shared" si="3"/>
        <v>2.3390832432315547E-3</v>
      </c>
      <c r="T12" s="379"/>
    </row>
    <row r="13" spans="1:20" ht="14.1" customHeight="1" x14ac:dyDescent="0.2">
      <c r="A13" s="248"/>
      <c r="B13" s="308" t="s">
        <v>82</v>
      </c>
      <c r="C13" s="312">
        <f>+[2]DHL_Bemidji!$JV$19</f>
        <v>74</v>
      </c>
      <c r="D13" s="209">
        <f>+[2]DHL_Bemidji!$JH$19</f>
        <v>78</v>
      </c>
      <c r="E13" s="314">
        <f>(C13-D13)/D13</f>
        <v>-5.128205128205128E-2</v>
      </c>
      <c r="F13" s="312">
        <f>+SUM([2]DHL_Bemidji!$JV$19:$JV$19)</f>
        <v>74</v>
      </c>
      <c r="G13" s="209">
        <f>+SUM([2]DHL_Bemidji!$JH$19:$JH$19)</f>
        <v>78</v>
      </c>
      <c r="H13" s="313">
        <f t="shared" ref="H13:H18" si="4">(F13-G13)/G13</f>
        <v>-5.128205128205128E-2</v>
      </c>
      <c r="I13" s="314">
        <f t="shared" si="0"/>
        <v>8.5648148148148154E-2</v>
      </c>
      <c r="J13" s="248"/>
      <c r="K13" s="308" t="s">
        <v>82</v>
      </c>
      <c r="L13" s="312">
        <f>+[2]DHL_Bemidji!$JV$64</f>
        <v>133234</v>
      </c>
      <c r="M13" s="209">
        <f>+[2]DHL_Bemidji!$JH$64</f>
        <v>79156</v>
      </c>
      <c r="N13" s="314">
        <f t="shared" ref="N13" si="5">(L13-M13)/M13</f>
        <v>0.68318257617868516</v>
      </c>
      <c r="O13" s="312">
        <f>+SUM([2]DHL_Bemidji!$JV$64:$JV$64)</f>
        <v>133234</v>
      </c>
      <c r="P13" s="209">
        <f>+SUM([2]DHL_Bemidji!$JH$64:$JH$64)</f>
        <v>79156</v>
      </c>
      <c r="Q13" s="313">
        <f t="shared" ref="Q13" si="6">(O13-P13)/P13</f>
        <v>0.68318257617868516</v>
      </c>
      <c r="R13" s="314">
        <f t="shared" si="3"/>
        <v>4.6769729691855952E-3</v>
      </c>
      <c r="T13" s="379"/>
    </row>
    <row r="14" spans="1:20" ht="14.1" customHeight="1" x14ac:dyDescent="0.2">
      <c r="A14" s="248"/>
      <c r="B14" s="37" t="s">
        <v>180</v>
      </c>
      <c r="C14" s="312">
        <f>+[2]Encore!$JV$19+[2]DHL_Encore!$JV$12</f>
        <v>0</v>
      </c>
      <c r="D14" s="209">
        <f>+[2]Encore!$JH$19+[2]DHL_Encore!$JH$19</f>
        <v>0</v>
      </c>
      <c r="E14" s="314">
        <f>IFERROR((C14-D14)/D14,0)</f>
        <v>0</v>
      </c>
      <c r="F14" s="312">
        <f>+SUM([2]Encore!$JV$19:$JV$19)+SUM([2]DHL_Encore!$JV$19:$JV$19)</f>
        <v>0</v>
      </c>
      <c r="G14" s="209">
        <f>+SUM([2]Encore!$JH$19:$JH$19)+SUM([2]DHL_Encore!$JH$19:$JH$19)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+[2]Encore!$JV$64+[2]DHL_Encore!$JV$64</f>
        <v>0</v>
      </c>
      <c r="M14" s="209">
        <f>+[2]Encore!$JH$64+[2]DHL_Encore!$JH$64</f>
        <v>0</v>
      </c>
      <c r="N14" s="314">
        <f>IFERROR((L14-M14)/M14,0)</f>
        <v>0</v>
      </c>
      <c r="O14" s="312">
        <f>+SUM([2]Encore!$JV$64:$JV$64)+SUM([2]DHL_Encore!$JV$64:$JV$64)</f>
        <v>0</v>
      </c>
      <c r="P14" s="209">
        <f>+SUM([2]Encore!$JH$64:$JH$64)+SUM([2]DHL_Encore!$JH$64:$JH$64)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">
      <c r="A15" s="248"/>
      <c r="B15" s="37" t="s">
        <v>192</v>
      </c>
      <c r="C15" s="312">
        <f>+[2]DHL_Kalitta!$JV$19</f>
        <v>0</v>
      </c>
      <c r="D15" s="209">
        <f>+[2]DHL_Kalitta!$JH$19</f>
        <v>32</v>
      </c>
      <c r="E15" s="314">
        <f t="shared" ref="E15:E18" si="7">(C15-D15)/D15</f>
        <v>-1</v>
      </c>
      <c r="F15" s="312">
        <f>+SUM([2]DHL_Kalitta!$JV$19:$JV$19)</f>
        <v>0</v>
      </c>
      <c r="G15" s="209">
        <f>+SUM([2]DHL_Kalitta!$JH$19:$JH$19)</f>
        <v>32</v>
      </c>
      <c r="H15" s="313">
        <f t="shared" si="4"/>
        <v>-1</v>
      </c>
      <c r="I15" s="314">
        <f t="shared" si="0"/>
        <v>0</v>
      </c>
      <c r="J15" s="248"/>
      <c r="K15" s="37" t="s">
        <v>192</v>
      </c>
      <c r="L15" s="312">
        <f>+[2]DHL_Kalitta!$JV$64</f>
        <v>0</v>
      </c>
      <c r="M15" s="209">
        <f>+[2]DHL_Kalitta!$JH$64</f>
        <v>734255</v>
      </c>
      <c r="N15" s="314">
        <f t="shared" si="1"/>
        <v>-1</v>
      </c>
      <c r="O15" s="312">
        <f>+SUM([2]DHL_Kalitta!$JV$64:$JV$64)</f>
        <v>0</v>
      </c>
      <c r="P15" s="209">
        <f>+SUM([2]DHL_Kalitta!$JH$64:$JH$64)</f>
        <v>734255</v>
      </c>
      <c r="Q15" s="313">
        <f t="shared" si="2"/>
        <v>-1</v>
      </c>
      <c r="R15" s="314">
        <f t="shared" si="3"/>
        <v>0</v>
      </c>
      <c r="T15" s="379"/>
    </row>
    <row r="16" spans="1:20" ht="14.1" customHeight="1" x14ac:dyDescent="0.2">
      <c r="A16" s="248"/>
      <c r="B16" s="37" t="s">
        <v>50</v>
      </c>
      <c r="C16" s="312">
        <f>+[2]DHL_Mesa!$JV$19</f>
        <v>0</v>
      </c>
      <c r="D16" s="209">
        <f>+[2]DHL_Mesa!$JH$19</f>
        <v>0</v>
      </c>
      <c r="E16" s="314" t="e">
        <f t="shared" ref="E16" si="8">(C16-D16)/D16</f>
        <v>#DIV/0!</v>
      </c>
      <c r="F16" s="312">
        <f>+SUM([2]DHL_Mesa!$JV$19:$JV$19)</f>
        <v>0</v>
      </c>
      <c r="G16" s="209">
        <f>+SUM([2]DHL_Mesa!$JH$19:$JH$19)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+[2]DHL_Mesa!$JV$64</f>
        <v>0</v>
      </c>
      <c r="M16" s="209">
        <f>+[2]DHL_Mesa!$JH$64</f>
        <v>0</v>
      </c>
      <c r="N16" s="314" t="e">
        <f t="shared" ref="N16" si="11">(L16-M16)/M16</f>
        <v>#DIV/0!</v>
      </c>
      <c r="O16" s="312">
        <f>+SUM([2]DHL_Mesa!$JV$64:$JV$64)</f>
        <v>0</v>
      </c>
      <c r="P16" s="209">
        <f>+SUM([2]DHL_Mesa!$JH$64:$JH$64)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">
      <c r="A17" s="248"/>
      <c r="B17" s="37" t="s">
        <v>206</v>
      </c>
      <c r="C17" s="312">
        <f>+[2]DHL_Amerijet!$JV$19</f>
        <v>0</v>
      </c>
      <c r="D17" s="209">
        <f>+[2]DHL_Amerijet!$JH$19</f>
        <v>0</v>
      </c>
      <c r="E17" s="314">
        <f>IFERROR((C17-D17)/D17,0)</f>
        <v>0</v>
      </c>
      <c r="F17" s="312">
        <f>+SUM([2]DHL_Amerijet!$JV$19:$JV$19)</f>
        <v>0</v>
      </c>
      <c r="G17" s="209">
        <f>+SUM([2]DHL_Amerijet!$JH$19:$JH$19)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+[2]DHL_Amerijet!$JV$64</f>
        <v>0</v>
      </c>
      <c r="M17" s="209">
        <f>+[2]DHL_Amerijet!$JH$64</f>
        <v>0</v>
      </c>
      <c r="N17" s="314">
        <f>IFERROR((L17-M17)/M17,0)</f>
        <v>0</v>
      </c>
      <c r="O17" s="312">
        <f>+SUM([2]DHL_Amerijet!$JV$64:$JV$64)</f>
        <v>0</v>
      </c>
      <c r="P17" s="209">
        <f>+SUM([2]DHL_Amerijet!$JH$64:$JH$64)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">
      <c r="A18" s="248"/>
      <c r="B18" s="37" t="s">
        <v>193</v>
      </c>
      <c r="C18" s="312">
        <f>+[2]DHL_Swift!$JV$19</f>
        <v>0</v>
      </c>
      <c r="D18" s="209">
        <f>+[2]DHL_Swift!$JH$19</f>
        <v>0</v>
      </c>
      <c r="E18" s="314" t="e">
        <f t="shared" si="7"/>
        <v>#DIV/0!</v>
      </c>
      <c r="F18" s="312">
        <f>+SUM([2]DHL_Swift!$JV$19:$JV$19)</f>
        <v>0</v>
      </c>
      <c r="G18" s="209">
        <f>+SUM([2]DHL_Swift!$JH$19:$JH$19)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+[2]DHL_Swift!$JV$64</f>
        <v>0</v>
      </c>
      <c r="M18" s="209">
        <f>+[2]DHL_Swift!$JH$64</f>
        <v>0</v>
      </c>
      <c r="N18" s="314" t="e">
        <f t="shared" si="1"/>
        <v>#DIV/0!</v>
      </c>
      <c r="O18" s="312">
        <f>+SUM([2]DHL_Swift!$JV$64:$JV$64)</f>
        <v>0</v>
      </c>
      <c r="P18" s="209">
        <f>+SUM([2]DHL_Swift!$JH$64:$JH$64)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">
      <c r="A20" s="248" t="s">
        <v>172</v>
      </c>
      <c r="B20" s="37"/>
      <c r="C20" s="374">
        <f>SUM(C21:C24)</f>
        <v>202</v>
      </c>
      <c r="D20" s="370">
        <f>SUM(D21:D24)</f>
        <v>204</v>
      </c>
      <c r="E20" s="371">
        <f>(C20-D20)/D20</f>
        <v>-9.8039215686274508E-3</v>
      </c>
      <c r="F20" s="374">
        <f>SUM(F21:F24)</f>
        <v>202</v>
      </c>
      <c r="G20" s="370">
        <f>SUM(G21:G24)</f>
        <v>204</v>
      </c>
      <c r="H20" s="372">
        <f t="shared" ref="H20:H21" si="14">(F20-G20)/G20</f>
        <v>-9.8039215686274508E-3</v>
      </c>
      <c r="I20" s="371">
        <f>+F20/$F$34</f>
        <v>0.23379629629629631</v>
      </c>
      <c r="J20" s="248" t="s">
        <v>172</v>
      </c>
      <c r="K20" s="37"/>
      <c r="L20" s="374">
        <f>SUM(L21:L24)</f>
        <v>9182559</v>
      </c>
      <c r="M20" s="370">
        <f>SUM(M21:M24)</f>
        <v>9786356</v>
      </c>
      <c r="N20" s="371">
        <f>(L20-M20)/M20</f>
        <v>-6.1697837274670979E-2</v>
      </c>
      <c r="O20" s="374">
        <f>SUM(O21:O24)</f>
        <v>9182559</v>
      </c>
      <c r="P20" s="370">
        <f>SUM(P21:P24)</f>
        <v>9786356</v>
      </c>
      <c r="Q20" s="372">
        <f t="shared" ref="Q20:Q22" si="15">(O20-P20)/P20</f>
        <v>-6.1697837274670979E-2</v>
      </c>
      <c r="R20" s="371">
        <f>O20/$O$34</f>
        <v>0.32233949465565781</v>
      </c>
      <c r="T20" s="379"/>
    </row>
    <row r="21" spans="1:20" ht="14.1" customHeight="1" x14ac:dyDescent="0.2">
      <c r="A21" s="36"/>
      <c r="B21" s="308" t="s">
        <v>172</v>
      </c>
      <c r="C21" s="312">
        <f>+[2]FedEx!$JV$19</f>
        <v>140</v>
      </c>
      <c r="D21" s="209">
        <f>+[2]FedEx!$JH$19</f>
        <v>126</v>
      </c>
      <c r="E21" s="314">
        <f>(C21-D21)/D21</f>
        <v>0.1111111111111111</v>
      </c>
      <c r="F21" s="312">
        <f>+SUM([2]FedEx!$JV$19:$JV$19)</f>
        <v>140</v>
      </c>
      <c r="G21" s="209">
        <f>+SUM([2]FedEx!$JH$19:$JH$19)</f>
        <v>126</v>
      </c>
      <c r="H21" s="313">
        <f t="shared" si="14"/>
        <v>0.1111111111111111</v>
      </c>
      <c r="I21" s="314">
        <f>+F21/$F$34</f>
        <v>0.16203703703703703</v>
      </c>
      <c r="J21" s="248"/>
      <c r="K21" s="308" t="s">
        <v>172</v>
      </c>
      <c r="L21" s="312">
        <f>+[2]FedEx!$JV$64</f>
        <v>9025186</v>
      </c>
      <c r="M21" s="209">
        <f>+[2]FedEx!$JH$64</f>
        <v>9603771</v>
      </c>
      <c r="N21" s="314">
        <f>(L21-M21)/M21</f>
        <v>-6.0245605606381078E-2</v>
      </c>
      <c r="O21" s="312">
        <f>+SUM([2]FedEx!$JV$64:$JV$64)</f>
        <v>9025186</v>
      </c>
      <c r="P21" s="209">
        <f>+SUM([2]FedEx!$JH$64:$JH$64)</f>
        <v>9603771</v>
      </c>
      <c r="Q21" s="313">
        <f t="shared" si="15"/>
        <v>-6.0245605606381078E-2</v>
      </c>
      <c r="R21" s="314">
        <f>O21/$O$34</f>
        <v>0.31681515952288658</v>
      </c>
      <c r="T21" s="379"/>
    </row>
    <row r="22" spans="1:20" ht="14.1" customHeight="1" x14ac:dyDescent="0.2">
      <c r="A22" s="36"/>
      <c r="B22" s="308" t="s">
        <v>194</v>
      </c>
      <c r="C22" s="312">
        <f>+'[2]Mountain Cargo'!$JV$19</f>
        <v>38</v>
      </c>
      <c r="D22" s="209">
        <f>+'[2]Mountain Cargo'!$JH$19</f>
        <v>44</v>
      </c>
      <c r="E22" s="314">
        <f>(C22-D22)/D22</f>
        <v>-0.13636363636363635</v>
      </c>
      <c r="F22" s="312">
        <f>+SUM('[2]Mountain Cargo'!$JV$19:$JV$19)</f>
        <v>38</v>
      </c>
      <c r="G22" s="209">
        <f>+SUM('[2]Mountain Cargo'!$JH$19:$JH$19)</f>
        <v>44</v>
      </c>
      <c r="H22" s="313">
        <f>(F22-G22)/G22</f>
        <v>-0.13636363636363635</v>
      </c>
      <c r="I22" s="314">
        <f>+F22/$F$34</f>
        <v>4.3981481481481483E-2</v>
      </c>
      <c r="J22" s="351"/>
      <c r="K22" s="308" t="s">
        <v>194</v>
      </c>
      <c r="L22" s="312">
        <f>+'[2]Mountain Cargo'!$JV$64</f>
        <v>114133</v>
      </c>
      <c r="M22" s="209">
        <f>+'[2]Mountain Cargo'!$JH$64</f>
        <v>127825</v>
      </c>
      <c r="N22" s="314">
        <f>(L22-M22)/M22</f>
        <v>-0.10711519655779386</v>
      </c>
      <c r="O22" s="312">
        <f>+SUM('[2]Mountain Cargo'!$JV$64:$JV$64)</f>
        <v>114133</v>
      </c>
      <c r="P22" s="209">
        <f>+SUM('[2]Mountain Cargo'!$JH$64:$JH$64)</f>
        <v>127825</v>
      </c>
      <c r="Q22" s="313">
        <f t="shared" si="15"/>
        <v>-0.10711519655779386</v>
      </c>
      <c r="R22" s="314">
        <f>O22/$O$34</f>
        <v>4.0064619833680556E-3</v>
      </c>
      <c r="T22" s="379"/>
    </row>
    <row r="23" spans="1:20" ht="14.1" customHeight="1" x14ac:dyDescent="0.2">
      <c r="A23" s="36"/>
      <c r="B23" s="308" t="s">
        <v>166</v>
      </c>
      <c r="C23" s="312">
        <f>+[2]IFL!$JV$19</f>
        <v>24</v>
      </c>
      <c r="D23" s="209">
        <f>+[2]IFL!$JH$19</f>
        <v>34</v>
      </c>
      <c r="E23" s="314">
        <f>(C23-D23)/D23</f>
        <v>-0.29411764705882354</v>
      </c>
      <c r="F23" s="312">
        <f>+SUM([2]IFL!$JV$19:$JV$19)</f>
        <v>24</v>
      </c>
      <c r="G23" s="209">
        <f>+SUM([2]IFL!$JH$19:$JH$19)</f>
        <v>34</v>
      </c>
      <c r="H23" s="313">
        <f>(F23-G23)/G23</f>
        <v>-0.29411764705882354</v>
      </c>
      <c r="I23" s="314">
        <f>+F23/$F$34</f>
        <v>2.7777777777777776E-2</v>
      </c>
      <c r="J23" s="351"/>
      <c r="K23" s="308" t="s">
        <v>166</v>
      </c>
      <c r="L23" s="312">
        <f>+[2]IFL!$JV$64</f>
        <v>43240</v>
      </c>
      <c r="M23" s="209">
        <f>+[2]IFL!$JH$64</f>
        <v>54760</v>
      </c>
      <c r="N23" s="314">
        <f>(L23-M23)/M23</f>
        <v>-0.21037253469685901</v>
      </c>
      <c r="O23" s="312">
        <f>+SUM([2]IFL!$JV$64:$JV$64)</f>
        <v>43240</v>
      </c>
      <c r="P23" s="209">
        <f>+SUM([2]IFL!$JH$64:$JH$64)</f>
        <v>54760</v>
      </c>
      <c r="Q23" s="313">
        <f>(O23-P23)/P23</f>
        <v>-0.21037253469685901</v>
      </c>
      <c r="R23" s="314">
        <f>O23/$O$34</f>
        <v>1.5178731494031939E-3</v>
      </c>
      <c r="T23" s="379"/>
    </row>
    <row r="24" spans="1:20" ht="14.1" customHeight="1" x14ac:dyDescent="0.2">
      <c r="A24" s="248"/>
      <c r="B24" s="308" t="s">
        <v>83</v>
      </c>
      <c r="C24" s="312">
        <f>+'[2]CSA Air'!$JV$19</f>
        <v>0</v>
      </c>
      <c r="D24" s="209">
        <f>+'[2]CSA Air'!$JH$19</f>
        <v>0</v>
      </c>
      <c r="E24" s="314">
        <f>IFERROR((C24-D24)/D24,)</f>
        <v>0</v>
      </c>
      <c r="F24" s="312">
        <f>+SUM('[2]CSA Air'!$JV$19:$JV$19)</f>
        <v>0</v>
      </c>
      <c r="G24" s="209">
        <f>+SUM('[2]CSA Air'!$JH$19:$JH$19)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+'[2]CSA Air'!$JV$64</f>
        <v>0</v>
      </c>
      <c r="M24" s="209">
        <f>+'[2]CSA Air'!$JH$64</f>
        <v>0</v>
      </c>
      <c r="N24" s="314">
        <f>IFERROR((L24-M24)/M24,0)</f>
        <v>0</v>
      </c>
      <c r="O24" s="312">
        <f>+SUM('[2]CSA Air'!$JV$64:$JV$64)</f>
        <v>0</v>
      </c>
      <c r="P24" s="209">
        <f>+SUM('[2]CSA Air'!$JH$64:$JH$64)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">
      <c r="A26" s="248" t="s">
        <v>81</v>
      </c>
      <c r="B26" s="37"/>
      <c r="C26" s="370">
        <f>SUM(C27:C28)</f>
        <v>438</v>
      </c>
      <c r="D26" s="370">
        <f>SUM(D27:D28)</f>
        <v>534</v>
      </c>
      <c r="E26" s="371">
        <f>(C26-D26)/D26</f>
        <v>-0.1797752808988764</v>
      </c>
      <c r="F26" s="370">
        <f>SUM(F27:F28)</f>
        <v>438</v>
      </c>
      <c r="G26" s="370">
        <f>SUM(G27:G28)</f>
        <v>534</v>
      </c>
      <c r="H26" s="372">
        <f>(F26-G26)/G26</f>
        <v>-0.1797752808988764</v>
      </c>
      <c r="I26" s="371">
        <f>+F26/$F$34</f>
        <v>0.50694444444444442</v>
      </c>
      <c r="J26" s="248" t="s">
        <v>81</v>
      </c>
      <c r="K26" s="37"/>
      <c r="L26" s="370">
        <f>SUM(L27:L28)</f>
        <v>12797108</v>
      </c>
      <c r="M26" s="370">
        <f>SUM(M27:M28)</f>
        <v>12004284</v>
      </c>
      <c r="N26" s="371">
        <f>(L26-M26)/M26</f>
        <v>6.6045088570047164E-2</v>
      </c>
      <c r="O26" s="370">
        <f>SUM(O27:O28)</f>
        <v>12797108</v>
      </c>
      <c r="P26" s="370">
        <f>SUM(P27:P28)</f>
        <v>12004284</v>
      </c>
      <c r="Q26" s="372">
        <f>(O26-P26)/P26</f>
        <v>6.6045088570047164E-2</v>
      </c>
      <c r="R26" s="371">
        <f>O26/$O$34</f>
        <v>0.44922263235922316</v>
      </c>
      <c r="S26" s="330"/>
      <c r="T26" s="381"/>
    </row>
    <row r="27" spans="1:20" ht="14.1" customHeight="1" x14ac:dyDescent="0.2">
      <c r="A27" s="248"/>
      <c r="B27" s="308" t="s">
        <v>81</v>
      </c>
      <c r="C27" s="312">
        <f>+[2]UPS!$JV$19</f>
        <v>182</v>
      </c>
      <c r="D27" s="209">
        <f>+[2]UPS!$JH$19</f>
        <v>218</v>
      </c>
      <c r="E27" s="314">
        <f>(C27-D27)/D27</f>
        <v>-0.16513761467889909</v>
      </c>
      <c r="F27" s="312">
        <f>+SUM([2]UPS!$JV$19:$JV$19)</f>
        <v>182</v>
      </c>
      <c r="G27" s="209">
        <f>+SUM([2]UPS!$JH$19:$JH$19)</f>
        <v>218</v>
      </c>
      <c r="H27" s="313">
        <f>(F27-G27)/G27</f>
        <v>-0.16513761467889909</v>
      </c>
      <c r="I27" s="314">
        <f>+F27/$F$34</f>
        <v>0.21064814814814814</v>
      </c>
      <c r="J27" s="248"/>
      <c r="K27" s="308" t="s">
        <v>81</v>
      </c>
      <c r="L27" s="312">
        <f>+[2]UPS!$JV$64</f>
        <v>12797108</v>
      </c>
      <c r="M27" s="209">
        <f>+[2]UPS!$JH$64</f>
        <v>12004284</v>
      </c>
      <c r="N27" s="314">
        <f>(L27-M27)/M27</f>
        <v>6.6045088570047164E-2</v>
      </c>
      <c r="O27" s="312">
        <f>+SUM([2]UPS!$JV$64:$JV$64)</f>
        <v>12797108</v>
      </c>
      <c r="P27" s="209">
        <f>+SUM([2]UPS!$JH$64:$JH$64)</f>
        <v>12004284</v>
      </c>
      <c r="Q27" s="313">
        <f>(O27-P27)/P27</f>
        <v>6.6045088570047164E-2</v>
      </c>
      <c r="R27" s="314">
        <f>O27/$O$34</f>
        <v>0.44922263235922316</v>
      </c>
      <c r="S27" s="330"/>
      <c r="T27" s="381"/>
    </row>
    <row r="28" spans="1:20" x14ac:dyDescent="0.2">
      <c r="A28" s="248"/>
      <c r="B28" s="308" t="s">
        <v>82</v>
      </c>
      <c r="C28" s="312">
        <f>+[2]Bemidji!$JV$19</f>
        <v>256</v>
      </c>
      <c r="D28" s="209">
        <f>+[2]Bemidji!$JH$19</f>
        <v>316</v>
      </c>
      <c r="E28" s="314">
        <f>(C28-D28)/D28</f>
        <v>-0.189873417721519</v>
      </c>
      <c r="F28" s="312">
        <f>+SUM([2]Bemidji!$JV$19:$JV$19)</f>
        <v>256</v>
      </c>
      <c r="G28" s="209">
        <f>+SUM([2]Bemidji!$JH$19:$JH$19)</f>
        <v>316</v>
      </c>
      <c r="H28" s="313">
        <f t="shared" ref="H28" si="16">(F28-G28)/G28</f>
        <v>-0.189873417721519</v>
      </c>
      <c r="I28" s="314">
        <f>+F28/$F$34</f>
        <v>0.29629629629629628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">
      <c r="A30" s="248" t="s">
        <v>125</v>
      </c>
      <c r="B30" s="37"/>
      <c r="C30" s="374">
        <f>+'[2]Misc Cargo'!$JV$19</f>
        <v>0</v>
      </c>
      <c r="D30" s="370">
        <f>+'[2]Misc Cargo'!$JH$19</f>
        <v>2</v>
      </c>
      <c r="E30" s="371">
        <f>IFERROR((C30-D30)/D30,0)</f>
        <v>-1</v>
      </c>
      <c r="F30" s="374">
        <f>+SUM('[2]Misc Cargo'!$JV$19:$JV$19)</f>
        <v>0</v>
      </c>
      <c r="G30" s="370">
        <f>+SUM('[2]Misc Cargo'!$JH$19:$JH$19)</f>
        <v>2</v>
      </c>
      <c r="H30" s="372">
        <f>IFERROR((F30-G30)/G30,0)</f>
        <v>-1</v>
      </c>
      <c r="I30" s="371">
        <f>+F30/$F$34</f>
        <v>0</v>
      </c>
      <c r="J30" s="248" t="s">
        <v>125</v>
      </c>
      <c r="K30" s="37"/>
      <c r="L30" s="374">
        <f>+'[2]Misc Cargo'!$JV$64</f>
        <v>0</v>
      </c>
      <c r="M30" s="370">
        <f>+'[2]Misc Cargo'!$JH$64</f>
        <v>38035</v>
      </c>
      <c r="N30" s="371">
        <f>IFERROR((L30-M30)/M30,0)</f>
        <v>-1</v>
      </c>
      <c r="O30" s="374">
        <f>+SUM('[2]Misc Cargo'!$JV$64:$JV$64)</f>
        <v>0</v>
      </c>
      <c r="P30" s="370">
        <f>+SUM('[2]Misc Cargo'!$JH$64:$JH$64)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5" thickBot="1" x14ac:dyDescent="0.25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3" t="s">
        <v>173</v>
      </c>
      <c r="C34" s="334">
        <f>+C30+C26+C20+C9+C5</f>
        <v>864</v>
      </c>
      <c r="D34" s="334">
        <f>+D30+D26+D20+D9+D5</f>
        <v>1056</v>
      </c>
      <c r="E34" s="335">
        <f>(C34-D34)/D34</f>
        <v>-0.18181818181818182</v>
      </c>
      <c r="F34" s="334">
        <f>+F30+F26+F20+F9+F5</f>
        <v>864</v>
      </c>
      <c r="G34" s="334">
        <f>+G30+G26+G20+G9+G5</f>
        <v>1056</v>
      </c>
      <c r="H34" s="336">
        <f>(F34-G34)/G34</f>
        <v>-0.18181818181818182</v>
      </c>
      <c r="I34" s="341"/>
      <c r="K34" s="333" t="s">
        <v>173</v>
      </c>
      <c r="L34" s="334">
        <f>+L30+L26+L20+L9+L5</f>
        <v>28487229</v>
      </c>
      <c r="M34" s="334">
        <f>+M30+M26+M20+M9+M5</f>
        <v>27757809</v>
      </c>
      <c r="N34" s="337">
        <f>(L34-M34)/M34</f>
        <v>2.6278010631170492E-2</v>
      </c>
      <c r="O34" s="334">
        <f>+O30+O26+O20+O9+O5</f>
        <v>28487229</v>
      </c>
      <c r="P34" s="334">
        <f>+P30+P26+P20+P9+P5</f>
        <v>27757809</v>
      </c>
      <c r="Q34" s="336">
        <f t="shared" ref="Q34" si="17">(O34-P34)/P34</f>
        <v>2.6278010631170492E-2</v>
      </c>
      <c r="R34" s="341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January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2026-02-25T20:45:25Z</dcterms:modified>
</cp:coreProperties>
</file>