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C486CF1C-8FC4-4A51-B589-89D836DE4007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6" i="7"/>
  <c r="L26" i="7"/>
  <c r="C26" i="7"/>
  <c r="B26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56" i="9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G9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R4" i="9"/>
  <c r="AA4" i="9"/>
  <c r="AJ4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B27" i="7" s="1"/>
  <c r="R5" i="16"/>
  <c r="H23" i="8"/>
  <c r="H6" i="8"/>
  <c r="H12" i="8" s="1"/>
  <c r="H10" i="8"/>
  <c r="C27" i="7" l="1"/>
  <c r="D27" i="7" s="1"/>
  <c r="H18" i="8"/>
  <c r="H31" i="8"/>
  <c r="H32" i="8"/>
  <c r="H28" i="8"/>
  <c r="D21" i="7" l="1"/>
  <c r="D32" i="7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I18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G8" i="1" l="1"/>
  <c r="H26" i="7"/>
  <c r="M27" i="7"/>
  <c r="H27" i="7" s="1"/>
  <c r="H24" i="7"/>
  <c r="H25" i="7"/>
  <c r="I7" i="1"/>
  <c r="H22" i="7"/>
  <c r="H23" i="7"/>
  <c r="F17" i="1"/>
  <c r="B12" i="5"/>
  <c r="E10" i="5"/>
  <c r="F10" i="5" s="1"/>
  <c r="I10" i="5" s="1"/>
  <c r="B11" i="1"/>
  <c r="L27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7" i="7" l="1"/>
  <c r="P27" i="7" s="1"/>
  <c r="G27" i="7"/>
  <c r="I27" i="7" s="1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F8" i="1"/>
  <c r="N32" i="7"/>
  <c r="P31" i="7"/>
  <c r="I31" i="7"/>
  <c r="P29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F11" i="1" l="1"/>
  <c r="I24" i="7"/>
  <c r="I32" i="7"/>
  <c r="I30" i="7"/>
  <c r="K30" i="7" s="1"/>
  <c r="I29" i="7"/>
  <c r="K29" i="7" s="1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N28" i="7"/>
  <c r="K20" i="5"/>
  <c r="I22" i="5"/>
  <c r="K22" i="5" s="1"/>
  <c r="I11" i="1" l="1"/>
  <c r="P28" i="7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<sst xmlns="http://schemas.openxmlformats.org/spreadsheetml/2006/main" count="715" uniqueCount="246">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</sst>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3155474</v>
          </cell>
          <cell r="G5">
            <v>18532959</v>
          </cell>
        </row>
        <row r="6">
          <cell r="D6">
            <v>369944</v>
          </cell>
          <cell r="G6">
            <v>2611346</v>
          </cell>
        </row>
        <row r="7">
          <cell r="D7">
            <v>778</v>
          </cell>
          <cell r="G7">
            <v>1599</v>
          </cell>
        </row>
        <row r="9">
          <cell r="G9"/>
        </row>
        <row r="10">
          <cell r="D10">
            <v>83939</v>
          </cell>
          <cell r="G10">
            <v>582435</v>
          </cell>
        </row>
        <row r="16">
          <cell r="D16">
            <v>22059</v>
          </cell>
          <cell r="G16">
            <v>133164</v>
          </cell>
        </row>
        <row r="17">
          <cell r="D17">
            <v>6334</v>
          </cell>
          <cell r="G17">
            <v>45510</v>
          </cell>
        </row>
        <row r="18">
          <cell r="D18">
            <v>9</v>
          </cell>
          <cell r="G18">
            <v>18</v>
          </cell>
        </row>
        <row r="19">
          <cell r="D19">
            <v>1073</v>
          </cell>
          <cell r="G19">
            <v>7677</v>
          </cell>
        </row>
        <row r="20">
          <cell r="D20">
            <v>1764</v>
          </cell>
          <cell r="G20">
            <v>10188</v>
          </cell>
        </row>
        <row r="21">
          <cell r="D21">
            <v>84</v>
          </cell>
          <cell r="G21">
            <v>572</v>
          </cell>
        </row>
        <row r="27">
          <cell r="D27">
            <v>15492.713433810928</v>
          </cell>
          <cell r="G27">
            <v>108038.79496177015</v>
          </cell>
        </row>
        <row r="28">
          <cell r="D28">
            <v>576.52588130213996</v>
          </cell>
          <cell r="G28">
            <v>2612.0728976149499</v>
          </cell>
        </row>
        <row r="32">
          <cell r="B32">
            <v>1229091</v>
          </cell>
          <cell r="D32">
            <v>7353100</v>
          </cell>
        </row>
        <row r="33">
          <cell r="B33">
            <v>534808</v>
          </cell>
          <cell r="D33">
            <v>3186563</v>
          </cell>
        </row>
      </sheetData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>
        <row r="5">
          <cell r="F5">
            <v>8959.8602972853587</v>
          </cell>
          <cell r="I5">
            <v>61037.762003528231</v>
          </cell>
        </row>
        <row r="6">
          <cell r="F6">
            <v>369.56574423461001</v>
          </cell>
          <cell r="I6">
            <v>1484.9575467272698</v>
          </cell>
        </row>
        <row r="10">
          <cell r="F10">
            <v>6532.8531365255694</v>
          </cell>
          <cell r="I10">
            <v>47001.0329582419</v>
          </cell>
        </row>
        <row r="11">
          <cell r="F11">
            <v>206.96013706752998</v>
          </cell>
          <cell r="I11">
            <v>1127.1153508876798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15492.713433810928</v>
          </cell>
          <cell r="I20">
            <v>108038.79496177015</v>
          </cell>
        </row>
        <row r="21">
          <cell r="F21">
            <v>576.52588130213996</v>
          </cell>
          <cell r="I21">
            <v>2612.0728976149499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14586108</v>
          </cell>
        </row>
        <row r="6">
          <cell r="G6">
            <v>2548911</v>
          </cell>
        </row>
        <row r="7">
          <cell r="G7">
            <v>1399</v>
          </cell>
        </row>
        <row r="9">
          <cell r="G9">
            <v>0</v>
          </cell>
        </row>
        <row r="10">
          <cell r="G10">
            <v>532804</v>
          </cell>
        </row>
        <row r="16">
          <cell r="G16">
            <v>107354</v>
          </cell>
        </row>
        <row r="17">
          <cell r="G17">
            <v>45388</v>
          </cell>
        </row>
        <row r="18">
          <cell r="G18">
            <v>8</v>
          </cell>
        </row>
        <row r="19">
          <cell r="G19">
            <v>6233</v>
          </cell>
        </row>
        <row r="20">
          <cell r="G20">
            <v>8433</v>
          </cell>
        </row>
        <row r="21">
          <cell r="G21">
            <v>498</v>
          </cell>
        </row>
        <row r="27">
          <cell r="G27">
            <v>86136.065745689266</v>
          </cell>
        </row>
        <row r="28">
          <cell r="G28">
            <v>12797.903242206386</v>
          </cell>
        </row>
        <row r="32">
          <cell r="D32">
            <v>5846896</v>
          </cell>
        </row>
        <row r="33">
          <cell r="D33">
            <v>2665913</v>
          </cell>
        </row>
      </sheetData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>
        <row r="5">
          <cell r="I5">
            <v>48458.844766098999</v>
          </cell>
        </row>
        <row r="6">
          <cell r="I6">
            <v>6741.83275300689</v>
          </cell>
        </row>
        <row r="10">
          <cell r="I10">
            <v>37677.220979590267</v>
          </cell>
        </row>
        <row r="11">
          <cell r="I11">
            <v>6056.0704891994992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86136.065745689266</v>
          </cell>
        </row>
        <row r="21">
          <cell r="I21">
            <v>12797.90324220639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JN15">
            <v>0</v>
          </cell>
        </row>
        <row r="16">
          <cell r="JN16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</row>
      </sheetData>
      <sheetData sheetId="5">
        <row r="15">
          <cell r="JK15">
            <v>1</v>
          </cell>
          <cell r="JL15">
            <v>27</v>
          </cell>
          <cell r="JM15">
            <v>29</v>
          </cell>
          <cell r="JN15">
            <v>29</v>
          </cell>
        </row>
        <row r="16">
          <cell r="JK16">
            <v>1</v>
          </cell>
          <cell r="JL16">
            <v>27</v>
          </cell>
          <cell r="JM16">
            <v>29</v>
          </cell>
          <cell r="JN16">
            <v>29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</row>
        <row r="32"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</row>
        <row r="33"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</row>
        <row r="37">
          <cell r="JN37">
            <v>24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</row>
        <row r="47">
          <cell r="JN47">
            <v>458206</v>
          </cell>
        </row>
        <row r="52">
          <cell r="JN52">
            <v>10055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</row>
      </sheetData>
      <sheetData sheetId="6">
        <row r="4">
          <cell r="JN4">
            <v>17</v>
          </cell>
        </row>
        <row r="5">
          <cell r="JN5">
            <v>17</v>
          </cell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</row>
        <row r="22">
          <cell r="JN22">
            <v>2795</v>
          </cell>
        </row>
        <row r="23">
          <cell r="JN23">
            <v>2623</v>
          </cell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7">
        <row r="15">
          <cell r="JK15">
            <v>26</v>
          </cell>
          <cell r="JL15">
            <v>26</v>
          </cell>
          <cell r="JM15">
            <v>26</v>
          </cell>
          <cell r="JN15">
            <v>31</v>
          </cell>
        </row>
        <row r="16">
          <cell r="JK16">
            <v>26</v>
          </cell>
          <cell r="JL16">
            <v>26</v>
          </cell>
          <cell r="JM16">
            <v>26</v>
          </cell>
          <cell r="JN16">
            <v>31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</row>
        <row r="32"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</row>
        <row r="33"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</row>
        <row r="37">
          <cell r="JK37">
            <v>16</v>
          </cell>
          <cell r="JL37">
            <v>14</v>
          </cell>
          <cell r="JM37">
            <v>19</v>
          </cell>
          <cell r="JN37">
            <v>25</v>
          </cell>
        </row>
        <row r="38">
          <cell r="JK38">
            <v>17</v>
          </cell>
          <cell r="JL38">
            <v>13</v>
          </cell>
          <cell r="JM38">
            <v>22</v>
          </cell>
          <cell r="JN38">
            <v>14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</row>
        <row r="48">
          <cell r="JN48">
            <v>350.5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</row>
      </sheetData>
      <sheetData sheetId="8">
        <row r="4">
          <cell r="JN4">
            <v>184</v>
          </cell>
        </row>
        <row r="5">
          <cell r="JN5">
            <v>184</v>
          </cell>
        </row>
        <row r="8">
          <cell r="JN8">
            <v>5</v>
          </cell>
        </row>
        <row r="9">
          <cell r="JN9">
            <v>5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</row>
        <row r="22">
          <cell r="JN22">
            <v>23788</v>
          </cell>
        </row>
        <row r="23">
          <cell r="JN23">
            <v>24832</v>
          </cell>
        </row>
        <row r="27">
          <cell r="JN27">
            <v>863</v>
          </cell>
        </row>
        <row r="28">
          <cell r="JN28">
            <v>764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</row>
        <row r="47">
          <cell r="JN47">
            <v>41097</v>
          </cell>
        </row>
        <row r="48">
          <cell r="JN48">
            <v>184</v>
          </cell>
        </row>
        <row r="52">
          <cell r="JN52">
            <v>18387</v>
          </cell>
        </row>
        <row r="53">
          <cell r="JN53">
            <v>12269</v>
          </cell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</row>
      </sheetData>
      <sheetData sheetId="9" refreshError="1"/>
      <sheetData sheetId="10">
        <row r="4">
          <cell r="JN4">
            <v>434</v>
          </cell>
        </row>
        <row r="5">
          <cell r="JN5">
            <v>434</v>
          </cell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</row>
        <row r="22">
          <cell r="JN22">
            <v>60411</v>
          </cell>
        </row>
        <row r="23">
          <cell r="JN23">
            <v>61548</v>
          </cell>
        </row>
        <row r="27">
          <cell r="JN27">
            <v>1931</v>
          </cell>
        </row>
        <row r="28">
          <cell r="JN28">
            <v>1952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</row>
        <row r="47">
          <cell r="JN47">
            <v>16997</v>
          </cell>
        </row>
        <row r="48">
          <cell r="JN48">
            <v>4396</v>
          </cell>
        </row>
        <row r="52">
          <cell r="JN52">
            <v>7718</v>
          </cell>
        </row>
        <row r="53">
          <cell r="JN53">
            <v>22631</v>
          </cell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</row>
      </sheetData>
      <sheetData sheetId="11"/>
      <sheetData sheetId="12" refreshError="1"/>
      <sheetData sheetId="1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14">
        <row r="4">
          <cell r="JN4">
            <v>6552</v>
          </cell>
        </row>
        <row r="5">
          <cell r="JN5">
            <v>6518</v>
          </cell>
        </row>
        <row r="8">
          <cell r="JN8">
            <v>5</v>
          </cell>
        </row>
        <row r="9">
          <cell r="JN9">
            <v>37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</row>
        <row r="22">
          <cell r="JN22">
            <v>914054</v>
          </cell>
        </row>
        <row r="23">
          <cell r="JN23">
            <v>924187</v>
          </cell>
        </row>
        <row r="27">
          <cell r="JN27">
            <v>29698</v>
          </cell>
        </row>
        <row r="28">
          <cell r="JN28">
            <v>29823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</row>
        <row r="47">
          <cell r="JN47">
            <v>4005767</v>
          </cell>
        </row>
        <row r="48">
          <cell r="JN48">
            <v>83571</v>
          </cell>
        </row>
        <row r="52">
          <cell r="JN52">
            <v>2464512</v>
          </cell>
        </row>
        <row r="53">
          <cell r="JN53">
            <v>293433</v>
          </cell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</row>
        <row r="70">
          <cell r="JN70">
            <v>516147</v>
          </cell>
        </row>
        <row r="71">
          <cell r="JN71">
            <v>408040</v>
          </cell>
        </row>
        <row r="73">
          <cell r="JN73">
            <v>58905</v>
          </cell>
        </row>
        <row r="74">
          <cell r="JN74">
            <v>46568</v>
          </cell>
        </row>
      </sheetData>
      <sheetData sheetId="15">
        <row r="4">
          <cell r="JN4">
            <v>81</v>
          </cell>
        </row>
        <row r="5">
          <cell r="JN5">
            <v>81</v>
          </cell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</row>
        <row r="22">
          <cell r="JN22">
            <v>969</v>
          </cell>
        </row>
        <row r="23">
          <cell r="JN23">
            <v>672</v>
          </cell>
        </row>
        <row r="27">
          <cell r="JN27">
            <v>57</v>
          </cell>
        </row>
        <row r="28">
          <cell r="JN28">
            <v>64</v>
          </cell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16">
        <row r="4">
          <cell r="JN4">
            <v>79</v>
          </cell>
        </row>
        <row r="5">
          <cell r="JN5">
            <v>78</v>
          </cell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</row>
        <row r="22">
          <cell r="JN22">
            <v>12804</v>
          </cell>
        </row>
        <row r="23">
          <cell r="JN23">
            <v>13475</v>
          </cell>
        </row>
        <row r="27">
          <cell r="JN27">
            <v>68</v>
          </cell>
        </row>
        <row r="28">
          <cell r="JN28">
            <v>87</v>
          </cell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17"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</row>
        <row r="37">
          <cell r="JH37">
            <v>1</v>
          </cell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</row>
        <row r="47">
          <cell r="JN47">
            <v>0</v>
          </cell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</row>
      </sheetData>
      <sheetData sheetId="18"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19">
        <row r="15"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</row>
        <row r="16"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</row>
        <row r="32"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</row>
        <row r="33"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</row>
        <row r="47">
          <cell r="JN47">
            <v>240994</v>
          </cell>
        </row>
        <row r="52">
          <cell r="JN52">
            <v>2650</v>
          </cell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</row>
      </sheetData>
      <sheetData sheetId="20" refreshError="1"/>
      <sheetData sheetId="21" refreshError="1"/>
      <sheetData sheetId="22"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</row>
        <row r="47">
          <cell r="JN47">
            <v>252582</v>
          </cell>
        </row>
        <row r="52">
          <cell r="JN52">
            <v>64314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</row>
      </sheetData>
      <sheetData sheetId="23">
        <row r="4">
          <cell r="JN4">
            <v>592</v>
          </cell>
        </row>
        <row r="5">
          <cell r="JN5">
            <v>590</v>
          </cell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</row>
        <row r="22">
          <cell r="JN22">
            <v>78713</v>
          </cell>
        </row>
        <row r="23">
          <cell r="JN23">
            <v>76916</v>
          </cell>
        </row>
        <row r="27">
          <cell r="JN27">
            <v>1957</v>
          </cell>
        </row>
        <row r="28">
          <cell r="JN28">
            <v>2198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</row>
        <row r="47">
          <cell r="JN47">
            <v>189689</v>
          </cell>
        </row>
        <row r="52">
          <cell r="JN52">
            <v>42079</v>
          </cell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</row>
        <row r="70">
          <cell r="JN70">
            <v>76720</v>
          </cell>
        </row>
        <row r="71">
          <cell r="JN71">
            <v>196</v>
          </cell>
        </row>
      </sheetData>
      <sheetData sheetId="24">
        <row r="4">
          <cell r="JN4">
            <v>39</v>
          </cell>
        </row>
        <row r="5">
          <cell r="JN5">
            <v>39</v>
          </cell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</row>
        <row r="22">
          <cell r="JN22">
            <v>6922</v>
          </cell>
        </row>
        <row r="23">
          <cell r="JN23">
            <v>7034</v>
          </cell>
        </row>
        <row r="27">
          <cell r="JN27">
            <v>54</v>
          </cell>
        </row>
        <row r="28">
          <cell r="JN28">
            <v>67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25">
        <row r="4">
          <cell r="JN4">
            <v>1374</v>
          </cell>
        </row>
        <row r="5">
          <cell r="JN5">
            <v>1379</v>
          </cell>
        </row>
        <row r="8">
          <cell r="JN8">
            <v>28</v>
          </cell>
        </row>
        <row r="9">
          <cell r="JN9">
            <v>29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</row>
        <row r="22">
          <cell r="JN22">
            <v>207853</v>
          </cell>
        </row>
        <row r="23">
          <cell r="JN23">
            <v>213965</v>
          </cell>
        </row>
        <row r="27">
          <cell r="JN27">
            <v>3593</v>
          </cell>
        </row>
        <row r="28">
          <cell r="JN28">
            <v>3966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</row>
        <row r="38"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  <row r="70">
          <cell r="JN70">
            <v>213965</v>
          </cell>
        </row>
        <row r="73">
          <cell r="JN73">
            <v>3739</v>
          </cell>
        </row>
      </sheetData>
      <sheetData sheetId="26" refreshError="1"/>
      <sheetData sheetId="27" refreshError="1"/>
      <sheetData sheetId="28">
        <row r="4">
          <cell r="JN4">
            <v>459</v>
          </cell>
        </row>
        <row r="5">
          <cell r="JN5">
            <v>455</v>
          </cell>
        </row>
        <row r="8">
          <cell r="JN8">
            <v>3</v>
          </cell>
        </row>
        <row r="9">
          <cell r="JN9">
            <v>6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</row>
        <row r="22">
          <cell r="JN22">
            <v>60878</v>
          </cell>
        </row>
        <row r="23">
          <cell r="JN23">
            <v>58754</v>
          </cell>
        </row>
        <row r="27">
          <cell r="JN27">
            <v>2433</v>
          </cell>
        </row>
        <row r="28">
          <cell r="JN28">
            <v>2599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</row>
        <row r="47">
          <cell r="JN47">
            <v>61410</v>
          </cell>
        </row>
        <row r="48">
          <cell r="JN48">
            <v>71485</v>
          </cell>
        </row>
        <row r="52">
          <cell r="JN52">
            <v>45516</v>
          </cell>
        </row>
        <row r="53">
          <cell r="JN53">
            <v>109884</v>
          </cell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</row>
      </sheetData>
      <sheetData sheetId="29"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30" refreshError="1"/>
      <sheetData sheetId="31">
        <row r="4">
          <cell r="JN4">
            <v>91</v>
          </cell>
        </row>
        <row r="5">
          <cell r="JN5">
            <v>90</v>
          </cell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</row>
        <row r="22">
          <cell r="JN22">
            <v>5961</v>
          </cell>
        </row>
        <row r="23">
          <cell r="JN23">
            <v>5546</v>
          </cell>
        </row>
        <row r="27">
          <cell r="JN27">
            <v>253</v>
          </cell>
        </row>
        <row r="28">
          <cell r="JN28">
            <v>258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</row>
        <row r="47">
          <cell r="JN47">
            <v>1549</v>
          </cell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</row>
      </sheetData>
      <sheetData sheetId="32"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/>
      <sheetData sheetId="43" refreshError="1"/>
      <sheetData sheetId="44">
        <row r="4">
          <cell r="JN4">
            <v>57</v>
          </cell>
        </row>
        <row r="5">
          <cell r="JN5">
            <v>57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</row>
        <row r="22">
          <cell r="JN22">
            <v>3398</v>
          </cell>
        </row>
        <row r="23">
          <cell r="JN23">
            <v>3389</v>
          </cell>
        </row>
        <row r="27">
          <cell r="JN27">
            <v>125</v>
          </cell>
        </row>
        <row r="28">
          <cell r="JN28">
            <v>110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45"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</row>
        <row r="47">
          <cell r="JN47">
            <v>1186.0999999999999</v>
          </cell>
        </row>
        <row r="52">
          <cell r="JN52">
            <v>367.1</v>
          </cell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</row>
      </sheetData>
      <sheetData sheetId="46">
        <row r="4">
          <cell r="JN4">
            <v>90</v>
          </cell>
        </row>
        <row r="5">
          <cell r="JN5">
            <v>90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</row>
        <row r="22">
          <cell r="JN22">
            <v>6295</v>
          </cell>
        </row>
        <row r="23">
          <cell r="JN23">
            <v>6437</v>
          </cell>
        </row>
        <row r="27">
          <cell r="JN27">
            <v>184</v>
          </cell>
        </row>
        <row r="28">
          <cell r="JN28">
            <v>141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47" refreshError="1"/>
      <sheetData sheetId="48" refreshError="1"/>
      <sheetData sheetId="49">
        <row r="4">
          <cell r="JN4">
            <v>1284</v>
          </cell>
        </row>
        <row r="5">
          <cell r="JN5">
            <v>1278</v>
          </cell>
        </row>
        <row r="8">
          <cell r="JN8">
            <v>0</v>
          </cell>
        </row>
        <row r="9">
          <cell r="JN9">
            <v>3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</row>
        <row r="22">
          <cell r="JN22">
            <v>84968</v>
          </cell>
        </row>
        <row r="23">
          <cell r="JN23">
            <v>84541</v>
          </cell>
        </row>
        <row r="27">
          <cell r="JN27">
            <v>2055</v>
          </cell>
        </row>
        <row r="28">
          <cell r="JN28">
            <v>2003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  <row r="70">
          <cell r="JN70">
            <v>23990</v>
          </cell>
        </row>
        <row r="71">
          <cell r="JN71">
            <v>60551</v>
          </cell>
        </row>
        <row r="73">
          <cell r="JN73">
            <v>1048</v>
          </cell>
        </row>
        <row r="74">
          <cell r="JN74">
            <v>2645</v>
          </cell>
        </row>
      </sheetData>
      <sheetData sheetId="50">
        <row r="4">
          <cell r="JN4">
            <v>37</v>
          </cell>
        </row>
        <row r="5">
          <cell r="JN5">
            <v>37</v>
          </cell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</row>
        <row r="22">
          <cell r="JN22">
            <v>2286</v>
          </cell>
        </row>
        <row r="23">
          <cell r="JN23">
            <v>2016</v>
          </cell>
        </row>
        <row r="27">
          <cell r="JN27">
            <v>47</v>
          </cell>
        </row>
        <row r="28">
          <cell r="JN28">
            <v>39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</row>
        <row r="52">
          <cell r="JN52">
            <v>225</v>
          </cell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</row>
      </sheetData>
      <sheetData sheetId="51">
        <row r="4">
          <cell r="JN4">
            <v>111</v>
          </cell>
        </row>
        <row r="5">
          <cell r="JN5">
            <v>112</v>
          </cell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</row>
        <row r="22">
          <cell r="JN22">
            <v>7028</v>
          </cell>
        </row>
        <row r="23">
          <cell r="JN23">
            <v>7313</v>
          </cell>
        </row>
        <row r="27">
          <cell r="JN27">
            <v>223</v>
          </cell>
        </row>
        <row r="28">
          <cell r="JN28">
            <v>237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</row>
        <row r="47">
          <cell r="JN47">
            <v>1464</v>
          </cell>
        </row>
        <row r="52">
          <cell r="JN52">
            <v>300</v>
          </cell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</row>
      </sheetData>
      <sheetData sheetId="52">
        <row r="4">
          <cell r="JN4">
            <v>1</v>
          </cell>
        </row>
        <row r="5">
          <cell r="JN5">
            <v>1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</row>
        <row r="22">
          <cell r="JN22">
            <v>62</v>
          </cell>
        </row>
        <row r="23">
          <cell r="JN23">
            <v>71</v>
          </cell>
        </row>
        <row r="27">
          <cell r="JN27">
            <v>4</v>
          </cell>
        </row>
        <row r="28">
          <cell r="JN28">
            <v>5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53"/>
      <sheetData sheetId="54">
        <row r="4">
          <cell r="JN4">
            <v>1970</v>
          </cell>
        </row>
        <row r="5">
          <cell r="JN5">
            <v>1969</v>
          </cell>
        </row>
        <row r="9">
          <cell r="JN9">
            <v>3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</row>
        <row r="22">
          <cell r="JN22">
            <v>124575</v>
          </cell>
        </row>
        <row r="23">
          <cell r="JN23">
            <v>124640</v>
          </cell>
        </row>
        <row r="27">
          <cell r="JN27">
            <v>3835</v>
          </cell>
        </row>
        <row r="28">
          <cell r="JN28">
            <v>3668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  <row r="70">
          <cell r="JN70">
            <v>39606</v>
          </cell>
        </row>
        <row r="71">
          <cell r="JN71">
            <v>85034</v>
          </cell>
        </row>
        <row r="73">
          <cell r="JN73">
            <v>2490</v>
          </cell>
        </row>
        <row r="74">
          <cell r="JN74">
            <v>5347</v>
          </cell>
        </row>
      </sheetData>
      <sheetData sheetId="55"/>
      <sheetData sheetId="56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>
        <row r="4">
          <cell r="JN4">
            <v>0</v>
          </cell>
        </row>
        <row r="15">
          <cell r="JI15">
            <v>1</v>
          </cell>
        </row>
        <row r="16">
          <cell r="JI16">
            <v>1</v>
          </cell>
        </row>
        <row r="37">
          <cell r="JI37">
            <v>103</v>
          </cell>
        </row>
        <row r="38">
          <cell r="JI38">
            <v>112</v>
          </cell>
        </row>
      </sheetData>
      <sheetData sheetId="67">
        <row r="15">
          <cell r="JI15">
            <v>3</v>
          </cell>
          <cell r="JJ15">
            <v>1</v>
          </cell>
        </row>
        <row r="32">
          <cell r="JI32">
            <v>60</v>
          </cell>
          <cell r="JJ32">
            <v>60</v>
          </cell>
        </row>
      </sheetData>
      <sheetData sheetId="68"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69">
        <row r="4">
          <cell r="JN4">
            <v>118</v>
          </cell>
        </row>
        <row r="5">
          <cell r="JN5">
            <v>118</v>
          </cell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</row>
        <row r="47">
          <cell r="JN47">
            <v>3000394</v>
          </cell>
        </row>
        <row r="52">
          <cell r="JN52">
            <v>2547134</v>
          </cell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</row>
      </sheetData>
      <sheetData sheetId="70">
        <row r="4">
          <cell r="JN4">
            <v>7</v>
          </cell>
        </row>
        <row r="5">
          <cell r="JN5">
            <v>7</v>
          </cell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</row>
        <row r="47">
          <cell r="JN47">
            <v>359355</v>
          </cell>
        </row>
        <row r="52">
          <cell r="JN52">
            <v>227174</v>
          </cell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</row>
      </sheetData>
      <sheetData sheetId="71"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73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74">
        <row r="4">
          <cell r="JN4">
            <v>41</v>
          </cell>
        </row>
        <row r="5">
          <cell r="JN5">
            <v>41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</row>
        <row r="47">
          <cell r="JN47">
            <v>56038</v>
          </cell>
        </row>
        <row r="52">
          <cell r="JN52">
            <v>46974</v>
          </cell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</row>
      </sheetData>
      <sheetData sheetId="75">
        <row r="12">
          <cell r="JN12">
            <v>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76">
        <row r="4">
          <cell r="JN4">
            <v>15</v>
          </cell>
        </row>
        <row r="5">
          <cell r="JN5">
            <v>15</v>
          </cell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</row>
        <row r="47">
          <cell r="JN47">
            <v>370964</v>
          </cell>
        </row>
        <row r="52">
          <cell r="JN52">
            <v>392220</v>
          </cell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</row>
      </sheetData>
      <sheetData sheetId="77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78" refreshError="1"/>
      <sheetData sheetId="79"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80"/>
      <sheetData sheetId="81" refreshError="1"/>
      <sheetData sheetId="82">
        <row r="4">
          <cell r="JN4">
            <v>73</v>
          </cell>
        </row>
        <row r="5">
          <cell r="JN5">
            <v>73</v>
          </cell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</row>
        <row r="47">
          <cell r="JN47">
            <v>5712561</v>
          </cell>
        </row>
        <row r="52">
          <cell r="JN52">
            <v>5161315</v>
          </cell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</row>
      </sheetData>
      <sheetData sheetId="83">
        <row r="4">
          <cell r="JN4">
            <v>23</v>
          </cell>
        </row>
        <row r="5">
          <cell r="JN5">
            <v>23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</row>
        <row r="48">
          <cell r="JN48">
            <v>48631</v>
          </cell>
        </row>
        <row r="53">
          <cell r="JN53">
            <v>110462</v>
          </cell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</row>
      </sheetData>
      <sheetData sheetId="84">
        <row r="4">
          <cell r="JN4">
            <v>18</v>
          </cell>
        </row>
        <row r="5">
          <cell r="JN5">
            <v>18</v>
          </cell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</row>
        <row r="47">
          <cell r="JN47">
            <v>69707</v>
          </cell>
        </row>
        <row r="52">
          <cell r="JN52">
            <v>3500</v>
          </cell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</row>
      </sheetData>
      <sheetData sheetId="85">
        <row r="4">
          <cell r="JN4">
            <v>113</v>
          </cell>
        </row>
        <row r="5">
          <cell r="JN5">
            <v>114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</row>
        <row r="47">
          <cell r="JN47">
            <v>5170481</v>
          </cell>
        </row>
        <row r="48">
          <cell r="JN48">
            <v>3241881</v>
          </cell>
        </row>
        <row r="52">
          <cell r="JN52">
            <v>3856403</v>
          </cell>
        </row>
        <row r="53">
          <cell r="JN53">
            <v>2277719</v>
          </cell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</row>
      </sheetData>
      <sheetData sheetId="86" refreshError="1"/>
      <sheetData sheetId="87" refreshError="1"/>
      <sheetData sheetId="88" refreshError="1"/>
      <sheetData sheetId="89">
        <row r="4">
          <cell r="JN4">
            <v>154</v>
          </cell>
        </row>
        <row r="5">
          <cell r="JN5">
            <v>154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</row>
      </sheetData>
      <sheetData sheetId="90"/>
      <sheetData sheetId="91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</row>
      </sheetData>
      <sheetData sheetId="92">
        <row r="4">
          <cell r="JN4">
            <v>43</v>
          </cell>
        </row>
        <row r="5">
          <cell r="JN5">
            <v>44</v>
          </cell>
        </row>
      </sheetData>
      <sheetData sheetId="93">
        <row r="4">
          <cell r="JN4">
            <v>972</v>
          </cell>
        </row>
        <row r="5">
          <cell r="JN5">
            <v>972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1280094</v>
          </cell>
          <cell r="M21">
            <v>1276352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1233128</v>
          </cell>
          <cell r="M22">
            <v>1254715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1587909</v>
          </cell>
          <cell r="M23">
            <v>1640241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K15" sqref="K15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45839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1518277</v>
      </c>
      <c r="C5" s="10">
        <f>'Major Airline Stats'!L5</f>
        <v>1524366</v>
      </c>
      <c r="D5" s="2">
        <f>'Major Airline Stats'!L6</f>
        <v>3042643</v>
      </c>
      <c r="E5" s="2">
        <f>'[1]Monthly Summary'!D5</f>
        <v>3155474</v>
      </c>
      <c r="F5" s="3">
        <f>(D5-E5)/E5</f>
        <v>-3.5757226964950435E-2</v>
      </c>
      <c r="G5" s="2">
        <f>+D5+'[2]Monthly Summary'!G5</f>
        <v>17628751</v>
      </c>
      <c r="H5" s="2">
        <f>+'[1]Monthly Summary'!G5</f>
        <v>18532959</v>
      </c>
      <c r="I5" s="63">
        <f>(G5-H5)/H5</f>
        <v>-4.8789186875123396E-2</v>
      </c>
      <c r="J5" s="2"/>
    </row>
    <row r="6" spans="1:18" x14ac:dyDescent="0.2">
      <c r="A6" s="48" t="s">
        <v>5</v>
      </c>
      <c r="B6" s="207">
        <f>'Regional Major'!K5</f>
        <v>252325</v>
      </c>
      <c r="C6" s="207">
        <f>'Regional Major'!K6</f>
        <v>250705</v>
      </c>
      <c r="D6" s="2">
        <f>B6+C6</f>
        <v>503030</v>
      </c>
      <c r="E6" s="2">
        <f>'[1]Monthly Summary'!D6</f>
        <v>369944</v>
      </c>
      <c r="F6" s="3">
        <f>(D6-E6)/E6</f>
        <v>0.35974633998659256</v>
      </c>
      <c r="G6" s="2">
        <f>+D6+'[2]Monthly Summary'!G6</f>
        <v>3051941</v>
      </c>
      <c r="H6" s="2">
        <f>+'[1]Monthly Summary'!G6</f>
        <v>2611346</v>
      </c>
      <c r="I6" s="63">
        <f>(G6-H6)/H6</f>
        <v>0.16872333271806952</v>
      </c>
      <c r="K6" s="2"/>
    </row>
    <row r="7" spans="1:18" x14ac:dyDescent="0.2">
      <c r="A7" s="48" t="s">
        <v>6</v>
      </c>
      <c r="B7" s="448">
        <f>Charter!H5</f>
        <v>0</v>
      </c>
      <c r="C7" s="449">
        <f>Charter!H6</f>
        <v>0</v>
      </c>
      <c r="D7" s="390">
        <f>B7+C7</f>
        <v>0</v>
      </c>
      <c r="E7" s="390">
        <f>'[1]Monthly Summary'!D7</f>
        <v>778</v>
      </c>
      <c r="F7" s="430">
        <f>IFERROR((D7-E7)/E7,0)</f>
        <v>-1</v>
      </c>
      <c r="G7" s="390">
        <f>+D7+'[2]Monthly Summary'!G7</f>
        <v>1399</v>
      </c>
      <c r="H7" s="390">
        <f>+'[1]Monthly Summary'!G7</f>
        <v>1599</v>
      </c>
      <c r="I7" s="431">
        <f>IFERROR((G7-H7)/H7,0)</f>
        <v>-0.12507817385866166</v>
      </c>
      <c r="K7" s="2"/>
    </row>
    <row r="8" spans="1:18" x14ac:dyDescent="0.2">
      <c r="A8" s="50" t="s">
        <v>7</v>
      </c>
      <c r="B8" s="85">
        <f>SUM(B5:B7)</f>
        <v>1770602</v>
      </c>
      <c r="C8" s="85">
        <f>SUM(C5:C7)</f>
        <v>1775071</v>
      </c>
      <c r="D8" s="85">
        <f>SUM(D5:D7)</f>
        <v>3545673</v>
      </c>
      <c r="E8" s="85">
        <f>SUM(E5:E7)</f>
        <v>3526196</v>
      </c>
      <c r="F8" s="446">
        <f>(D8-E8)/E8</f>
        <v>5.5235159928716387E-3</v>
      </c>
      <c r="G8" s="2">
        <f>SUM(G5:G7)</f>
        <v>20682091</v>
      </c>
      <c r="H8" s="2">
        <f>SUM(H5:H7)</f>
        <v>21145904</v>
      </c>
      <c r="I8" s="447">
        <f>(G8-H8)/H8</f>
        <v>-2.1933940492683594E-2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">
      <c r="A10" s="48" t="s">
        <v>8</v>
      </c>
      <c r="B10" s="427">
        <f>'Major Airline Stats'!L9+'Regional Major'!K10</f>
        <v>50994</v>
      </c>
      <c r="C10" s="428">
        <f>'Major Airline Stats'!L10+'Regional Major'!K11</f>
        <v>51753</v>
      </c>
      <c r="D10" s="429">
        <f>SUM(B10:C10)</f>
        <v>102747</v>
      </c>
      <c r="E10" s="390">
        <f>'[1]Monthly Summary'!D10</f>
        <v>83939</v>
      </c>
      <c r="F10" s="430">
        <f>(D10-E10)/E10</f>
        <v>0.22406747757299944</v>
      </c>
      <c r="G10" s="390">
        <f>+D10+'[2]Monthly Summary'!G10</f>
        <v>635551</v>
      </c>
      <c r="H10" s="390">
        <f>+'[1]Monthly Summary'!G10</f>
        <v>582435</v>
      </c>
      <c r="I10" s="431">
        <f>(G10-H10)/H10</f>
        <v>9.1196442521483082E-2</v>
      </c>
      <c r="J10" s="161"/>
    </row>
    <row r="11" spans="1:18" ht="15.75" thickBot="1" x14ac:dyDescent="0.3">
      <c r="A11" s="49" t="s">
        <v>13</v>
      </c>
      <c r="B11" s="187">
        <f>B10+B8</f>
        <v>1821596</v>
      </c>
      <c r="C11" s="187">
        <f>C10+C8</f>
        <v>1826824</v>
      </c>
      <c r="D11" s="187">
        <f>D10+D8</f>
        <v>3648420</v>
      </c>
      <c r="E11" s="187">
        <f>E10+E8</f>
        <v>3610135</v>
      </c>
      <c r="F11" s="68">
        <f>(D11-E11)/E11</f>
        <v>1.0604866577011663E-2</v>
      </c>
      <c r="G11" s="187">
        <f>G8+G10</f>
        <v>21317642</v>
      </c>
      <c r="H11" s="187">
        <f>H8+H10</f>
        <v>21728339</v>
      </c>
      <c r="I11" s="70">
        <f>(G11-H11)/H11</f>
        <v>-1.8901444790602726E-2</v>
      </c>
      <c r="N11" s="420"/>
      <c r="Q11" s="420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5" thickBot="1" x14ac:dyDescent="0.25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">
      <c r="A16" s="48" t="s">
        <v>4</v>
      </c>
      <c r="B16" s="216">
        <f>'Major Airline Stats'!L15+'Major Airline Stats'!L19</f>
        <v>10670</v>
      </c>
      <c r="C16" s="216">
        <f>'Major Airline Stats'!L16+'Major Airline Stats'!L20</f>
        <v>10672</v>
      </c>
      <c r="D16" s="30">
        <f>SUM(B16:C16)</f>
        <v>21342</v>
      </c>
      <c r="E16" s="2">
        <f>'[1]Monthly Summary'!D16</f>
        <v>22059</v>
      </c>
      <c r="F16" s="69">
        <f t="shared" ref="F16:F22" si="0">(D16-E16)/E16</f>
        <v>-3.2503739970080242E-2</v>
      </c>
      <c r="G16" s="2">
        <f>+D16+'[2]Monthly Summary'!G16</f>
        <v>128696</v>
      </c>
      <c r="H16" s="2">
        <f>+'[1]Monthly Summary'!G16</f>
        <v>133164</v>
      </c>
      <c r="I16" s="183">
        <f t="shared" ref="I16:I22" si="1">(G16-H16)/H16</f>
        <v>-3.3552611817007597E-2</v>
      </c>
      <c r="N16" s="328"/>
      <c r="Q16" s="420"/>
    </row>
    <row r="17" spans="1:17" x14ac:dyDescent="0.2">
      <c r="A17" s="48" t="s">
        <v>5</v>
      </c>
      <c r="B17" s="30">
        <f>'Regional Major'!K15+'Regional Major'!K18</f>
        <v>3909</v>
      </c>
      <c r="C17" s="30">
        <f>'Regional Major'!K16+'Regional Major'!K19</f>
        <v>3910</v>
      </c>
      <c r="D17" s="30">
        <f>SUM(B17:C17)</f>
        <v>7819</v>
      </c>
      <c r="E17" s="2">
        <f>'[1]Monthly Summary'!D17</f>
        <v>6334</v>
      </c>
      <c r="F17" s="69">
        <f>(D17-E17)/E17</f>
        <v>0.23444900536785601</v>
      </c>
      <c r="G17" s="2">
        <f>+D17+'[2]Monthly Summary'!G17</f>
        <v>53207</v>
      </c>
      <c r="H17" s="2">
        <f>+'[1]Monthly Summary'!G17</f>
        <v>45510</v>
      </c>
      <c r="I17" s="183">
        <f t="shared" si="1"/>
        <v>0.16912766424961548</v>
      </c>
      <c r="L17" s="2"/>
      <c r="M17" s="2"/>
      <c r="N17" s="328"/>
      <c r="Q17" s="420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9</v>
      </c>
      <c r="F18" s="69">
        <f>IFERROR((D18-E18)/E18,0)</f>
        <v>-1</v>
      </c>
      <c r="G18" s="2">
        <f>+D18+'[2]Monthly Summary'!G18</f>
        <v>8</v>
      </c>
      <c r="H18" s="2">
        <f>+'[1]Monthly Summary'!G18</f>
        <v>18</v>
      </c>
      <c r="I18" s="183">
        <f>IFERROR((G18-H18)/H18,0)</f>
        <v>-0.55555555555555558</v>
      </c>
      <c r="N18" s="328"/>
      <c r="Q18" s="420"/>
    </row>
    <row r="19" spans="1:17" x14ac:dyDescent="0.2">
      <c r="A19" s="48" t="s">
        <v>11</v>
      </c>
      <c r="B19" s="30">
        <f>Cargo!S4+Cargo!S8</f>
        <v>562</v>
      </c>
      <c r="C19" s="30">
        <f>Cargo!S5+Cargo!S9</f>
        <v>563</v>
      </c>
      <c r="D19" s="30">
        <f t="shared" si="2"/>
        <v>1125</v>
      </c>
      <c r="E19" s="2">
        <f>'[1]Monthly Summary'!D19</f>
        <v>1073</v>
      </c>
      <c r="F19" s="69">
        <f>(D19-E19)/E19</f>
        <v>4.8462255358807084E-2</v>
      </c>
      <c r="G19" s="2">
        <f>+D19+'[2]Monthly Summary'!G19</f>
        <v>7358</v>
      </c>
      <c r="H19" s="2">
        <f>+'[1]Monthly Summary'!G19</f>
        <v>7677</v>
      </c>
      <c r="I19" s="183">
        <f t="shared" si="1"/>
        <v>-4.1552689852807086E-2</v>
      </c>
      <c r="M19" s="420"/>
      <c r="N19" s="328"/>
      <c r="Q19" s="420"/>
    </row>
    <row r="20" spans="1:17" x14ac:dyDescent="0.2">
      <c r="A20" s="48" t="s">
        <v>146</v>
      </c>
      <c r="B20" s="30">
        <f>'[3]General Avation'!$JN$4</f>
        <v>972</v>
      </c>
      <c r="C20" s="30">
        <f>'[3]General Avation'!$JN$5</f>
        <v>972</v>
      </c>
      <c r="D20" s="30">
        <f t="shared" si="2"/>
        <v>1944</v>
      </c>
      <c r="E20" s="2">
        <f>'[1]Monthly Summary'!D20</f>
        <v>1764</v>
      </c>
      <c r="F20" s="69">
        <f t="shared" si="0"/>
        <v>0.10204081632653061</v>
      </c>
      <c r="G20" s="2">
        <f>+D20+'[2]Monthly Summary'!G20</f>
        <v>10377</v>
      </c>
      <c r="H20" s="2">
        <f>+'[1]Monthly Summary'!G20</f>
        <v>10188</v>
      </c>
      <c r="I20" s="183">
        <f t="shared" si="1"/>
        <v>1.8551236749116608E-2</v>
      </c>
      <c r="M20" s="2"/>
      <c r="N20" s="328"/>
      <c r="Q20" s="420"/>
    </row>
    <row r="21" spans="1:17" ht="12.75" customHeight="1" x14ac:dyDescent="0.2">
      <c r="A21" s="48" t="s">
        <v>12</v>
      </c>
      <c r="B21" s="432">
        <f>'[3]Military '!$JN$4</f>
        <v>43</v>
      </c>
      <c r="C21" s="433">
        <f>'[3]Military '!$JN$5</f>
        <v>44</v>
      </c>
      <c r="D21" s="433">
        <f t="shared" si="2"/>
        <v>87</v>
      </c>
      <c r="E21" s="390">
        <f>'[1]Monthly Summary'!D21</f>
        <v>84</v>
      </c>
      <c r="F21" s="434">
        <f t="shared" si="0"/>
        <v>3.5714285714285712E-2</v>
      </c>
      <c r="G21" s="390">
        <f>+D21+'[2]Monthly Summary'!G21</f>
        <v>585</v>
      </c>
      <c r="H21" s="390">
        <f>+'[1]Monthly Summary'!G21</f>
        <v>572</v>
      </c>
      <c r="I21" s="435">
        <f t="shared" si="1"/>
        <v>2.2727272727272728E-2</v>
      </c>
      <c r="K21" s="87"/>
      <c r="N21" s="328"/>
      <c r="Q21" s="420"/>
    </row>
    <row r="22" spans="1:17" ht="15.75" thickBot="1" x14ac:dyDescent="0.3">
      <c r="A22" s="49" t="s">
        <v>28</v>
      </c>
      <c r="B22" s="188">
        <f>SUM(B16:B21)</f>
        <v>16156</v>
      </c>
      <c r="C22" s="188">
        <f>SUM(C16:C21)</f>
        <v>16161</v>
      </c>
      <c r="D22" s="188">
        <f>SUM(D16:D21)</f>
        <v>32317</v>
      </c>
      <c r="E22" s="188">
        <f>SUM(E16:E21)</f>
        <v>31323</v>
      </c>
      <c r="F22" s="185">
        <f t="shared" si="0"/>
        <v>3.1733869680426526E-2</v>
      </c>
      <c r="G22" s="188">
        <f>SUM(G16:G21)</f>
        <v>200231</v>
      </c>
      <c r="H22" s="188">
        <f>SUM(H16:H21)</f>
        <v>197129</v>
      </c>
      <c r="I22" s="186">
        <f t="shared" si="1"/>
        <v>1.573588868203055E-2</v>
      </c>
      <c r="N22" s="321"/>
      <c r="Q22" s="420"/>
    </row>
    <row r="23" spans="1:17" x14ac:dyDescent="0.2">
      <c r="B23" s="87"/>
      <c r="C23" s="87"/>
      <c r="L23" s="2"/>
      <c r="N23" s="328"/>
      <c r="Q23" s="420"/>
    </row>
    <row r="24" spans="1:17" ht="12.75" customHeight="1" x14ac:dyDescent="0.2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9076.5834032944076</v>
      </c>
      <c r="C27" s="12">
        <f>(Cargo!S21+'Major Airline Stats'!L33+'Regional Major'!K30)*0.00045359237</f>
        <v>6754.3728130271465</v>
      </c>
      <c r="D27" s="12">
        <f>SUM(B27:C27)</f>
        <v>15830.956216321554</v>
      </c>
      <c r="E27" s="2">
        <f>'[1]Monthly Summary'!D27</f>
        <v>15492.713433810928</v>
      </c>
      <c r="F27" s="71">
        <f>(D27-E27)/E27</f>
        <v>2.1832378424585915E-2</v>
      </c>
      <c r="G27" s="2">
        <f>+D27+'[2]Monthly Summary'!G27</f>
        <v>101967.02196201083</v>
      </c>
      <c r="H27" s="2">
        <f>+'[1]Monthly Summary'!G27</f>
        <v>108038.79496177015</v>
      </c>
      <c r="I27" s="72">
        <f>(G27-H27)/H27</f>
        <v>-5.6199932643712307E-2</v>
      </c>
      <c r="N27" s="87"/>
    </row>
    <row r="28" spans="1:17" x14ac:dyDescent="0.2">
      <c r="A28" s="43" t="s">
        <v>16</v>
      </c>
      <c r="B28" s="438">
        <f>(Cargo!S17+'Major Airline Stats'!L29+'Regional Major'!K26)*0.00045359237</f>
        <v>1565.119792296445</v>
      </c>
      <c r="C28" s="439">
        <f>(Cargo!S22+'Major Airline Stats'!L34+'Regional Major'!K31)*0.00045359237</f>
        <v>1282.0325673832599</v>
      </c>
      <c r="D28" s="439">
        <f>SUM(B28:C28)</f>
        <v>2847.1523596797051</v>
      </c>
      <c r="E28" s="390">
        <f>'[1]Monthly Summary'!D28</f>
        <v>576.52588130213996</v>
      </c>
      <c r="F28" s="440">
        <f>(D28-E28)/E28</f>
        <v>3.9384640863808813</v>
      </c>
      <c r="G28" s="390">
        <f>+D28+'[2]Monthly Summary'!G28</f>
        <v>15645.055601886092</v>
      </c>
      <c r="H28" s="390">
        <f>+'[1]Monthly Summary'!G28</f>
        <v>2612.0728976149499</v>
      </c>
      <c r="I28" s="441">
        <f>(G28-H28)/H28</f>
        <v>4.9895172206607983</v>
      </c>
    </row>
    <row r="29" spans="1:17" ht="15.75" thickBot="1" x14ac:dyDescent="0.3">
      <c r="A29" s="44" t="s">
        <v>62</v>
      </c>
      <c r="B29" s="436">
        <f>SUM(B27:B28)</f>
        <v>10641.703195590853</v>
      </c>
      <c r="C29" s="436">
        <f>SUM(C27:C28)</f>
        <v>8036.405380410406</v>
      </c>
      <c r="D29" s="436">
        <f>SUM(D27:D28)</f>
        <v>18678.108576001257</v>
      </c>
      <c r="E29" s="436">
        <f>SUM(E27:E28)</f>
        <v>16069.239315113067</v>
      </c>
      <c r="F29" s="68">
        <f>(D29-E29)/E29</f>
        <v>0.16235175852005373</v>
      </c>
      <c r="G29" s="436">
        <f>SUM(G27:G28)</f>
        <v>117612.07756389692</v>
      </c>
      <c r="H29" s="436">
        <f>SUM(H27:H28)</f>
        <v>110650.86785938511</v>
      </c>
      <c r="I29" s="437">
        <f>(G29-H29)/H29</f>
        <v>6.2911478591908598E-2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8" t="s">
        <v>142</v>
      </c>
      <c r="C31" s="457"/>
      <c r="D31" s="458" t="s">
        <v>149</v>
      </c>
      <c r="E31" s="457"/>
      <c r="F31" s="296"/>
      <c r="G31" s="297"/>
    </row>
    <row r="32" spans="1:17" x14ac:dyDescent="0.2">
      <c r="A32" s="278" t="s">
        <v>143</v>
      </c>
      <c r="B32" s="279">
        <f>C8-B33</f>
        <v>1166690</v>
      </c>
      <c r="C32" s="280">
        <f>B32/C8</f>
        <v>0.65726385029105883</v>
      </c>
      <c r="D32" s="281">
        <f>+B32+'[2]Monthly Summary'!$D$32</f>
        <v>7013586</v>
      </c>
      <c r="E32" s="282">
        <f>+D32/D34</f>
        <v>0.68173287402263638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608381</v>
      </c>
      <c r="C33" s="285">
        <f>+B33/C8</f>
        <v>0.34273614970894123</v>
      </c>
      <c r="D33" s="286">
        <f>+B33+'[2]Monthly Summary'!$D$33</f>
        <v>3274294</v>
      </c>
      <c r="E33" s="287">
        <f>+D33/D34</f>
        <v>0.31826712597736367</v>
      </c>
      <c r="G33" s="219"/>
      <c r="H33" s="388"/>
      <c r="I33" s="295"/>
    </row>
    <row r="34" spans="1:14" ht="13.5" thickBot="1" x14ac:dyDescent="0.25">
      <c r="B34" s="219"/>
      <c r="D34" s="288">
        <f>SUM(D32:D33)</f>
        <v>10287880</v>
      </c>
      <c r="H34" s="388"/>
    </row>
    <row r="35" spans="1:14" ht="13.5" thickBot="1" x14ac:dyDescent="0.25">
      <c r="B35" s="456" t="s">
        <v>245</v>
      </c>
      <c r="C35" s="457"/>
      <c r="D35" s="458" t="s">
        <v>234</v>
      </c>
      <c r="E35" s="457"/>
    </row>
    <row r="36" spans="1:14" x14ac:dyDescent="0.2">
      <c r="A36" s="278" t="s">
        <v>143</v>
      </c>
      <c r="B36" s="279">
        <f>'[1]Monthly Summary'!$B$32</f>
        <v>1229091</v>
      </c>
      <c r="C36" s="280">
        <f>+B36/B38</f>
        <v>0.69680350178780082</v>
      </c>
      <c r="D36" s="281">
        <f>+'[1]Monthly Summary'!D32</f>
        <v>7353100</v>
      </c>
      <c r="E36" s="282">
        <f>+D36/D38</f>
        <v>0.69765987773992399</v>
      </c>
    </row>
    <row r="37" spans="1:14" ht="13.5" thickBot="1" x14ac:dyDescent="0.25">
      <c r="A37" s="283" t="s">
        <v>144</v>
      </c>
      <c r="B37" s="284">
        <f>'[1]Monthly Summary'!$B$33</f>
        <v>534808</v>
      </c>
      <c r="C37" s="287">
        <f>+B37/B38</f>
        <v>0.30319649821219924</v>
      </c>
      <c r="D37" s="286">
        <f>+'[1]Monthly Summary'!D33</f>
        <v>3186563</v>
      </c>
      <c r="E37" s="287">
        <f>+D37/D38</f>
        <v>0.30234012226007606</v>
      </c>
      <c r="G37" s="219"/>
      <c r="M37" s="1"/>
    </row>
    <row r="38" spans="1:14" x14ac:dyDescent="0.2">
      <c r="B38" s="300">
        <f>+SUM(B36:B37)</f>
        <v>1763899</v>
      </c>
      <c r="D38" s="288">
        <f>SUM(D36:D37)</f>
        <v>10539663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2025</oddHeader>
    <oddFooter>&amp;LPrinted on &amp;D&amp;RPage &amp;P of &amp;N</oddFooter>
  </headerFooter>
  <ignoredErrors>
    <ignoredError sqref="F22 F29 F18 I18 F7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Q17" sqref="Q1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45839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[3]Delta!$JN$32</f>
        <v>110107</v>
      </c>
      <c r="C4" s="11">
        <f>'[3]Atlantic Southeast'!$JN$32</f>
        <v>0</v>
      </c>
      <c r="D4" s="11">
        <f>[3]Pinnacle!$JN$32</f>
        <v>3772</v>
      </c>
      <c r="E4" s="11">
        <f>'[3]Sky West'!$JN$32</f>
        <v>7727</v>
      </c>
      <c r="F4" s="11">
        <f>[3]WestJet!$JN$32</f>
        <v>11412</v>
      </c>
      <c r="G4" s="11">
        <f>'[3]Sun Country'!$JN$32</f>
        <v>3051</v>
      </c>
      <c r="H4" s="11">
        <f>[3]Icelandair!$JN$32</f>
        <v>5166</v>
      </c>
      <c r="I4" s="11">
        <f>[3]KLM!$JN$32</f>
        <v>2941</v>
      </c>
      <c r="J4" s="11">
        <f>[3]Lufthansa!$JN$32</f>
        <v>4211</v>
      </c>
      <c r="K4" s="11">
        <f>[3]Jazz_AC!$JN$32</f>
        <v>6253</v>
      </c>
      <c r="L4" s="11">
        <f>'[3]Sky Regional'!$JN$32</f>
        <v>0</v>
      </c>
      <c r="M4" s="11">
        <f>[3]Condor!$JN$32</f>
        <v>0</v>
      </c>
      <c r="N4" s="11">
        <f>'[3]Aer Lingus'!$JN$32</f>
        <v>4815</v>
      </c>
      <c r="O4" s="11">
        <f>'[3]Air France'!$JN$32</f>
        <v>7387</v>
      </c>
      <c r="P4" s="11">
        <f>[3]Frontier!$JN$32</f>
        <v>0</v>
      </c>
      <c r="Q4" s="11">
        <f>'[3]Charter Misc'!$JN$32+[3]Ryan!$JN$32+[3]Omni!$JN$32</f>
        <v>0</v>
      </c>
      <c r="R4" s="195">
        <f>SUM(B4:Q4)</f>
        <v>166842</v>
      </c>
    </row>
    <row r="5" spans="1:20" x14ac:dyDescent="0.2">
      <c r="A5" s="43" t="s">
        <v>31</v>
      </c>
      <c r="B5" s="7">
        <f>[3]Delta!$JN$33</f>
        <v>105473</v>
      </c>
      <c r="C5" s="7">
        <f>'[3]Atlantic Southeast'!$JN$33</f>
        <v>0</v>
      </c>
      <c r="D5" s="7">
        <f>[3]Pinnacle!$JN$33</f>
        <v>3693</v>
      </c>
      <c r="E5" s="7">
        <f>'[3]Sky West'!$JN$33</f>
        <v>7837</v>
      </c>
      <c r="F5" s="7">
        <f>[3]WestJet!$JN$33</f>
        <v>10238</v>
      </c>
      <c r="G5" s="7">
        <f>'[3]Sun Country'!$JN$33</f>
        <v>3739</v>
      </c>
      <c r="H5" s="7">
        <f>[3]Icelandair!$JN$33</f>
        <v>4666</v>
      </c>
      <c r="I5" s="7">
        <f>[3]KLM!$JN$33</f>
        <v>2878</v>
      </c>
      <c r="J5" s="7">
        <f>[3]Lufthansa!$JN$33</f>
        <v>3813</v>
      </c>
      <c r="K5" s="7">
        <f>[3]Jazz_AC!$JN$33</f>
        <v>5222</v>
      </c>
      <c r="L5" s="7">
        <f>'[3]Sky Regional'!$JN$33</f>
        <v>0</v>
      </c>
      <c r="M5" s="7">
        <f>[3]Condor!$JN$33</f>
        <v>0</v>
      </c>
      <c r="N5" s="7">
        <f>'[3]Aer Lingus'!$JN$33</f>
        <v>3152</v>
      </c>
      <c r="O5" s="7">
        <f>'[3]Air France'!$JN$33</f>
        <v>6401</v>
      </c>
      <c r="P5" s="7">
        <f>[3]Frontier!$JN$33</f>
        <v>0</v>
      </c>
      <c r="Q5" s="7">
        <f>'[3]Charter Misc'!$JN$33++[3]Ryan!$JN$33+[3]Omni!$JN$33</f>
        <v>0</v>
      </c>
      <c r="R5" s="196">
        <f>SUM(B5:Q5)</f>
        <v>157112</v>
      </c>
    </row>
    <row r="6" spans="1:20" ht="15" x14ac:dyDescent="0.25">
      <c r="A6" s="41" t="s">
        <v>7</v>
      </c>
      <c r="B6" s="23">
        <f t="shared" ref="B6:Q6" si="0">SUM(B4:B5)</f>
        <v>215580</v>
      </c>
      <c r="C6" s="23">
        <f t="shared" si="0"/>
        <v>0</v>
      </c>
      <c r="D6" s="23">
        <f t="shared" si="0"/>
        <v>7465</v>
      </c>
      <c r="E6" s="23">
        <f t="shared" si="0"/>
        <v>15564</v>
      </c>
      <c r="F6" s="23">
        <f t="shared" ref="F6" si="1">SUM(F4:F5)</f>
        <v>21650</v>
      </c>
      <c r="G6" s="23">
        <f t="shared" si="0"/>
        <v>6790</v>
      </c>
      <c r="H6" s="23">
        <f t="shared" si="0"/>
        <v>9832</v>
      </c>
      <c r="I6" s="23">
        <f t="shared" ref="I6:J6" si="2">SUM(I4:I5)</f>
        <v>5819</v>
      </c>
      <c r="J6" s="23">
        <f t="shared" si="2"/>
        <v>8024</v>
      </c>
      <c r="K6" s="23">
        <f t="shared" si="0"/>
        <v>11475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7967</v>
      </c>
      <c r="O6" s="23">
        <f t="shared" si="0"/>
        <v>13788</v>
      </c>
      <c r="P6" s="23">
        <f t="shared" si="0"/>
        <v>0</v>
      </c>
      <c r="Q6" s="23">
        <f t="shared" si="0"/>
        <v>0</v>
      </c>
      <c r="R6" s="197">
        <f>SUM(B6:Q6)</f>
        <v>323954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[3]Delta!$JN$37</f>
        <v>3152</v>
      </c>
      <c r="C9" s="11">
        <f>'[3]Atlantic Southeast'!$JN$37</f>
        <v>0</v>
      </c>
      <c r="D9" s="11">
        <f>[3]Pinnacle!$JN$37</f>
        <v>99</v>
      </c>
      <c r="E9" s="11">
        <f>'[3]Sky West'!$JN$37</f>
        <v>116</v>
      </c>
      <c r="F9" s="11">
        <f>[3]WestJet!$JN$37</f>
        <v>8</v>
      </c>
      <c r="G9" s="11">
        <f>'[3]Sun Country'!$JN$37</f>
        <v>44</v>
      </c>
      <c r="H9" s="11">
        <f>[3]Icelandair!$JN$37</f>
        <v>10</v>
      </c>
      <c r="I9" s="11">
        <f>[3]KLM!$JN$37</f>
        <v>0</v>
      </c>
      <c r="J9" s="11">
        <f>[3]Lufthansa!$JN$37</f>
        <v>28</v>
      </c>
      <c r="K9" s="11">
        <f>[3]Jazz_AC!$JN$37</f>
        <v>108</v>
      </c>
      <c r="L9" s="11">
        <f>'[3]Sky Regional'!$JN$37</f>
        <v>0</v>
      </c>
      <c r="M9" s="11">
        <f>[3]Condor!$JN$37</f>
        <v>0</v>
      </c>
      <c r="N9" s="11">
        <f>'[3]Aer Lingus'!$JN$37</f>
        <v>25</v>
      </c>
      <c r="O9" s="11">
        <f>'[3]Air France'!$JN$37</f>
        <v>24</v>
      </c>
      <c r="P9" s="11">
        <f>[3]Frontier!$JN$37</f>
        <v>0</v>
      </c>
      <c r="Q9" s="11">
        <f>'[3]Charter Misc'!$JN$37+[3]Ryan!$JN$37+[3]Omni!$JN$37</f>
        <v>0</v>
      </c>
      <c r="R9" s="195">
        <f>SUM(B9:Q9)</f>
        <v>3614</v>
      </c>
    </row>
    <row r="10" spans="1:20" x14ac:dyDescent="0.2">
      <c r="A10" s="43" t="s">
        <v>33</v>
      </c>
      <c r="B10" s="7">
        <f>[3]Delta!$JN$38</f>
        <v>3317</v>
      </c>
      <c r="C10" s="7">
        <f>'[3]Atlantic Southeast'!$JN$38</f>
        <v>0</v>
      </c>
      <c r="D10" s="7">
        <f>[3]Pinnacle!$JN$38</f>
        <v>80</v>
      </c>
      <c r="E10" s="7">
        <f>'[3]Sky West'!$JN$38</f>
        <v>103</v>
      </c>
      <c r="F10" s="7">
        <f>[3]WestJet!$JN$38</f>
        <v>6</v>
      </c>
      <c r="G10" s="7">
        <f>'[3]Sun Country'!$JN$38</f>
        <v>53</v>
      </c>
      <c r="H10" s="7">
        <f>[3]Icelandair!$JN$38</f>
        <v>30</v>
      </c>
      <c r="I10" s="7">
        <f>[3]KLM!$JN$38</f>
        <v>0</v>
      </c>
      <c r="J10" s="7">
        <f>[3]Lufthansa!$JN$38</f>
        <v>38</v>
      </c>
      <c r="K10" s="7">
        <f>[3]Jazz_AC!$JN$38</f>
        <v>131</v>
      </c>
      <c r="L10" s="7">
        <f>'[3]Sky Regional'!$JN$38</f>
        <v>0</v>
      </c>
      <c r="M10" s="7">
        <f>[3]Condor!$JN$38</f>
        <v>0</v>
      </c>
      <c r="N10" s="7">
        <f>'[3]Aer Lingus'!$JN$38</f>
        <v>14</v>
      </c>
      <c r="O10" s="7">
        <f>'[3]Air France'!$JN$38</f>
        <v>0</v>
      </c>
      <c r="P10" s="7">
        <f>[3]Frontier!$JN$38</f>
        <v>0</v>
      </c>
      <c r="Q10" s="7">
        <f>'[3]Charter Misc'!$JN$38+[3]Ryan!$JN$38+[3]Omni!$JN$38</f>
        <v>0</v>
      </c>
      <c r="R10" s="196">
        <f>SUM(B10:Q10)</f>
        <v>3772</v>
      </c>
    </row>
    <row r="11" spans="1:20" ht="15.75" thickBot="1" x14ac:dyDescent="0.3">
      <c r="A11" s="44" t="s">
        <v>34</v>
      </c>
      <c r="B11" s="198">
        <f t="shared" ref="B11:G11" si="5">SUM(B9:B10)</f>
        <v>6469</v>
      </c>
      <c r="C11" s="198">
        <f t="shared" si="5"/>
        <v>0</v>
      </c>
      <c r="D11" s="198">
        <f t="shared" si="5"/>
        <v>179</v>
      </c>
      <c r="E11" s="198">
        <f t="shared" si="5"/>
        <v>219</v>
      </c>
      <c r="F11" s="198">
        <f t="shared" ref="F11" si="6">SUM(F9:F10)</f>
        <v>14</v>
      </c>
      <c r="G11" s="198">
        <f t="shared" si="5"/>
        <v>97</v>
      </c>
      <c r="H11" s="198">
        <f t="shared" ref="H11:Q11" si="7">SUM(H9:H10)</f>
        <v>40</v>
      </c>
      <c r="I11" s="198">
        <f t="shared" ref="I11:J11" si="8">SUM(I9:I10)</f>
        <v>0</v>
      </c>
      <c r="J11" s="198">
        <f t="shared" si="8"/>
        <v>66</v>
      </c>
      <c r="K11" s="198">
        <f t="shared" si="7"/>
        <v>239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39</v>
      </c>
      <c r="O11" s="198">
        <f t="shared" si="7"/>
        <v>24</v>
      </c>
      <c r="P11" s="198">
        <f t="shared" si="7"/>
        <v>0</v>
      </c>
      <c r="Q11" s="198">
        <f t="shared" si="7"/>
        <v>0</v>
      </c>
      <c r="R11" s="199">
        <f>SUM(B11:Q11)</f>
        <v>7386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SUM([3]Delta!$JH$32:$JN$32)</f>
        <v>743501</v>
      </c>
      <c r="C17" s="11">
        <f>SUM('[3]Atlantic Southeast'!$JH$32:$JN$32)</f>
        <v>0</v>
      </c>
      <c r="D17" s="11">
        <f>SUM([3]Pinnacle!$JH$32:$JN$32)</f>
        <v>25271</v>
      </c>
      <c r="E17" s="11">
        <f>SUM('[3]Sky West'!$JH$32:$JN$32)</f>
        <v>50486</v>
      </c>
      <c r="F17" s="11">
        <f>SUM([3]WestJet!$JH$32:$JN$32)</f>
        <v>49805</v>
      </c>
      <c r="G17" s="11">
        <f>SUM('[3]Sun Country'!$JH$32:$JN$32)</f>
        <v>148438</v>
      </c>
      <c r="H17" s="11">
        <f>SUM([3]Icelandair!$JH$32:$JN$32)</f>
        <v>20176</v>
      </c>
      <c r="I17" s="11">
        <f>SUM([3]KLM!$JH$32:$JN$32)</f>
        <v>14599</v>
      </c>
      <c r="J17" s="11">
        <f>SUM([3]Lufthansa!$JH$32:$JN$32)</f>
        <v>20469</v>
      </c>
      <c r="K17" s="11">
        <f>SUM([3]Jazz_AC!$JH$32:$JN$32)</f>
        <v>25090</v>
      </c>
      <c r="L17" s="11">
        <f>SUM('[3]Sky Regional'!$JH$32:$JN$32)</f>
        <v>0</v>
      </c>
      <c r="M17" s="11">
        <f>SUM([3]Condor!$JH$32:$JN$32)</f>
        <v>0</v>
      </c>
      <c r="N17" s="11">
        <f>SUM('[3]Aer Lingus'!$JH$32:$JN$32)</f>
        <v>14400</v>
      </c>
      <c r="O17" s="11">
        <f>SUM('[3]Air France'!$JH$32:$JN$32)</f>
        <v>21144</v>
      </c>
      <c r="P17" s="11">
        <f>SUM([3]Frontier!$JH$32:$JN$32)</f>
        <v>0</v>
      </c>
      <c r="Q17" s="11">
        <f>SUM('[3]Charter Misc'!$JH$32:$JN$32)+SUM([3]Ryan!$JH$32:$JN$32)+SUM([3]Omni!$JH$32:$JN$32)</f>
        <v>120</v>
      </c>
      <c r="R17" s="195">
        <f>SUM(B17:Q17)</f>
        <v>1133499</v>
      </c>
    </row>
    <row r="18" spans="1:21" x14ac:dyDescent="0.2">
      <c r="A18" s="43" t="s">
        <v>31</v>
      </c>
      <c r="B18" s="7">
        <f>SUM([3]Delta!$JH$33:$JN$33)</f>
        <v>746567</v>
      </c>
      <c r="C18" s="7">
        <f>SUM('[3]Atlantic Southeast'!$JH$33:$JN$33)</f>
        <v>0</v>
      </c>
      <c r="D18" s="7">
        <f>SUM([3]Pinnacle!$JH$33:$JN$33)</f>
        <v>26859</v>
      </c>
      <c r="E18" s="7">
        <f>SUM('[3]Sky West'!$JH$33:$JN$33)</f>
        <v>54986</v>
      </c>
      <c r="F18" s="7">
        <f>SUM([3]WestJet!$JH$33:$JN$33)</f>
        <v>51045</v>
      </c>
      <c r="G18" s="7">
        <f>SUM('[3]Sun Country'!$JH$33:$JN$33)</f>
        <v>114523</v>
      </c>
      <c r="H18" s="7">
        <f>SUM([3]Icelandair!$JH$33:$JN$33)</f>
        <v>19946</v>
      </c>
      <c r="I18" s="7">
        <f>SUM([3]KLM!$JH$33:$JN$33)</f>
        <v>14734</v>
      </c>
      <c r="J18" s="7">
        <f>SUM([3]Lufthansa!$JH$33:$JN$33)</f>
        <v>19907</v>
      </c>
      <c r="K18" s="7">
        <f>SUM([3]Jazz_AC!$JH$33:$JN$33)</f>
        <v>23190</v>
      </c>
      <c r="L18" s="7">
        <f>SUM('[3]Sky Regional'!$JH$33:$JN$33)</f>
        <v>0</v>
      </c>
      <c r="M18" s="7">
        <f>SUM([3]Condor!$JH$33:$JN$33)</f>
        <v>0</v>
      </c>
      <c r="N18" s="7">
        <f>SUM('[3]Aer Lingus'!$JH$33:$JN$33)</f>
        <v>12279</v>
      </c>
      <c r="O18" s="7">
        <f>SUM('[3]Air France'!$JH$33:$JN$33)</f>
        <v>20585</v>
      </c>
      <c r="P18" s="7">
        <f>SUM([3]Frontier!$JH$33:$JN$33)</f>
        <v>0</v>
      </c>
      <c r="Q18" s="7">
        <f>SUM('[3]Charter Misc'!$JH$33:$JN$33)++SUM([3]Ryan!$JH$33:$JN$33)+SUM([3]Omni!$JH$33:$JN$33)</f>
        <v>0</v>
      </c>
      <c r="R18" s="196">
        <f>SUM(B18:Q18)</f>
        <v>1104621</v>
      </c>
    </row>
    <row r="19" spans="1:21" ht="15" x14ac:dyDescent="0.25">
      <c r="A19" s="41" t="s">
        <v>7</v>
      </c>
      <c r="B19" s="23">
        <f t="shared" ref="B19:Q19" si="11">SUM(B17:B18)</f>
        <v>1490068</v>
      </c>
      <c r="C19" s="23">
        <f t="shared" si="11"/>
        <v>0</v>
      </c>
      <c r="D19" s="23">
        <f t="shared" si="11"/>
        <v>52130</v>
      </c>
      <c r="E19" s="23">
        <f t="shared" si="11"/>
        <v>105472</v>
      </c>
      <c r="F19" s="23">
        <f t="shared" ref="F19" si="12">SUM(F17:F18)</f>
        <v>100850</v>
      </c>
      <c r="G19" s="23">
        <f t="shared" si="11"/>
        <v>262961</v>
      </c>
      <c r="H19" s="23">
        <f t="shared" si="11"/>
        <v>40122</v>
      </c>
      <c r="I19" s="23">
        <f t="shared" ref="I19:J19" si="13">SUM(I17:I18)</f>
        <v>29333</v>
      </c>
      <c r="J19" s="23">
        <f t="shared" si="13"/>
        <v>40376</v>
      </c>
      <c r="K19" s="23">
        <f t="shared" si="11"/>
        <v>48280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26679</v>
      </c>
      <c r="O19" s="23">
        <f t="shared" si="11"/>
        <v>41729</v>
      </c>
      <c r="P19" s="23">
        <f t="shared" si="11"/>
        <v>0</v>
      </c>
      <c r="Q19" s="23">
        <f t="shared" si="11"/>
        <v>120</v>
      </c>
      <c r="R19" s="197">
        <f>SUM(B19:Q19)</f>
        <v>2238120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SUM([3]Delta!$JH$37:$JN$37)</f>
        <v>21048</v>
      </c>
      <c r="C22" s="11">
        <f>SUM('[3]Atlantic Southeast'!$JH$37:$JN$37)</f>
        <v>0</v>
      </c>
      <c r="D22" s="11">
        <f>SUM([3]Pinnacle!$JH$37:$JN$37)</f>
        <v>645</v>
      </c>
      <c r="E22" s="11">
        <f>SUM('[3]Sky West'!$JH$37:$JN$37)</f>
        <v>706</v>
      </c>
      <c r="F22" s="11">
        <f>SUM([3]WestJet!$JH$37:$JN$37)</f>
        <v>26</v>
      </c>
      <c r="G22" s="11">
        <f>SUM('[3]Sun Country'!$JH$37:$JN$37)</f>
        <v>2840</v>
      </c>
      <c r="H22" s="11">
        <f>SUM([3]Icelandair!$JH$37:$JN$37)</f>
        <v>131</v>
      </c>
      <c r="I22" s="11">
        <f>SUM([3]KLM!$JH$37:$JN$37)</f>
        <v>0</v>
      </c>
      <c r="J22" s="11">
        <f>SUM([3]Lufthansa!$JH$37:$JN$37)</f>
        <v>224</v>
      </c>
      <c r="K22" s="11">
        <f>SUM([3]Jazz_AC!$JH$37:$JN$37)</f>
        <v>475</v>
      </c>
      <c r="L22" s="11">
        <f>SUM('[3]Sky Regional'!$JH$37:$JN$37)</f>
        <v>0</v>
      </c>
      <c r="M22" s="11">
        <f>SUM([3]Condor!$JH$37:$JN$37)</f>
        <v>0</v>
      </c>
      <c r="N22" s="11">
        <f>SUM('[3]Aer Lingus'!$JH$37:$JN$37)</f>
        <v>74</v>
      </c>
      <c r="O22" s="11">
        <f>SUM('[3]Air France'!$JH$37:$JN$37)</f>
        <v>24</v>
      </c>
      <c r="P22" s="11">
        <f>SUM([3]Frontier!$JH$37:$JN$37)</f>
        <v>0</v>
      </c>
      <c r="Q22" s="11">
        <f>SUM('[3]Charter Misc'!$JH$37:$JN$37)++SUM([3]Ryan!$JH$37:$JN$37)+SUM([3]Omni!$JH$37:$JN$37)</f>
        <v>103</v>
      </c>
      <c r="R22" s="195">
        <f>SUM(B22:Q22)</f>
        <v>26296</v>
      </c>
    </row>
    <row r="23" spans="1:21" x14ac:dyDescent="0.2">
      <c r="A23" s="43" t="s">
        <v>33</v>
      </c>
      <c r="B23" s="7">
        <f>SUM([3]Delta!$JH$38:$JN$38)</f>
        <v>21945</v>
      </c>
      <c r="C23" s="7">
        <f>SUM('[3]Atlantic Southeast'!$JH$38:$JN$38)</f>
        <v>0</v>
      </c>
      <c r="D23" s="7">
        <f>SUM([3]Pinnacle!$JH$38:$JN$38)</f>
        <v>588</v>
      </c>
      <c r="E23" s="7">
        <f>SUM('[3]Sky West'!$JH$38:$JN$38)</f>
        <v>635</v>
      </c>
      <c r="F23" s="7">
        <f>SUM([3]WestJet!$JH$38:$JN$38)</f>
        <v>20</v>
      </c>
      <c r="G23" s="7">
        <f>SUM('[3]Sun Country'!$JH$38:$JN$38)</f>
        <v>2033</v>
      </c>
      <c r="H23" s="7">
        <f>SUM([3]Icelandair!$JH$38:$JN$38)</f>
        <v>158</v>
      </c>
      <c r="I23" s="7">
        <f>SUM([3]KLM!$JH$38:$JN$38)</f>
        <v>0</v>
      </c>
      <c r="J23" s="7">
        <f>SUM([3]Lufthansa!$JH$38:$JN$38)</f>
        <v>276</v>
      </c>
      <c r="K23" s="7">
        <f>SUM([3]Jazz_AC!$JH$38:$JN$38)</f>
        <v>540</v>
      </c>
      <c r="L23" s="7">
        <f>SUM('[3]Sky Regional'!$JH$38:$JN$38)</f>
        <v>0</v>
      </c>
      <c r="M23" s="7">
        <f>SUM([3]Condor!$JH$38:$JN$38)</f>
        <v>0</v>
      </c>
      <c r="N23" s="7">
        <f>SUM('[3]Aer Lingus'!$JH$38:$JN$38)</f>
        <v>66</v>
      </c>
      <c r="O23" s="7">
        <f>SUM('[3]Air France'!$JH$38:$JN$38)</f>
        <v>0</v>
      </c>
      <c r="P23" s="7">
        <f>SUM([3]Frontier!$JH$38:$JN$38)</f>
        <v>0</v>
      </c>
      <c r="Q23" s="7">
        <f>SUM('[3]Charter Misc'!$JH$38:$JN$38)++SUM([3]Ryan!$JH$38:$JN$38)+SUM([3]Omni!$JH$38:$JN$38)</f>
        <v>112</v>
      </c>
      <c r="R23" s="196">
        <f>SUM(B23:Q23)</f>
        <v>26373</v>
      </c>
    </row>
    <row r="24" spans="1:21" ht="15.75" thickBot="1" x14ac:dyDescent="0.3">
      <c r="A24" s="44" t="s">
        <v>34</v>
      </c>
      <c r="B24" s="198">
        <f t="shared" ref="B24:Q24" si="16">SUM(B22:B23)</f>
        <v>42993</v>
      </c>
      <c r="C24" s="198">
        <f t="shared" si="16"/>
        <v>0</v>
      </c>
      <c r="D24" s="198">
        <f t="shared" si="16"/>
        <v>1233</v>
      </c>
      <c r="E24" s="198">
        <f t="shared" si="16"/>
        <v>1341</v>
      </c>
      <c r="F24" s="198">
        <f t="shared" ref="F24" si="17">SUM(F22:F23)</f>
        <v>46</v>
      </c>
      <c r="G24" s="198">
        <f t="shared" si="16"/>
        <v>4873</v>
      </c>
      <c r="H24" s="198">
        <f t="shared" si="16"/>
        <v>289</v>
      </c>
      <c r="I24" s="198">
        <f t="shared" ref="I24:J24" si="18">SUM(I22:I23)</f>
        <v>0</v>
      </c>
      <c r="J24" s="198">
        <f t="shared" si="18"/>
        <v>500</v>
      </c>
      <c r="K24" s="198">
        <f t="shared" si="16"/>
        <v>1015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140</v>
      </c>
      <c r="O24" s="198">
        <f t="shared" si="16"/>
        <v>24</v>
      </c>
      <c r="P24" s="198">
        <f t="shared" si="16"/>
        <v>0</v>
      </c>
      <c r="Q24" s="198">
        <f t="shared" si="16"/>
        <v>215</v>
      </c>
      <c r="R24" s="199">
        <f>SUM(B24:Q24)</f>
        <v>52669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 x14ac:dyDescent="0.2">
      <c r="A28" s="43" t="s">
        <v>22</v>
      </c>
      <c r="B28" s="11">
        <f>[3]Delta!$JN$15</f>
        <v>570</v>
      </c>
      <c r="C28" s="11">
        <f>'[3]Atlantic Southeast'!$JN$15</f>
        <v>0</v>
      </c>
      <c r="D28" s="11">
        <f>[3]Pinnacle!$JN$15</f>
        <v>56</v>
      </c>
      <c r="E28" s="11">
        <f>'[3]Sky West'!$JN$15</f>
        <v>119</v>
      </c>
      <c r="F28" s="11">
        <f>[3]WestJet!$JN$15</f>
        <v>102</v>
      </c>
      <c r="G28" s="11">
        <f>'[3]Sun Country'!$JN$15</f>
        <v>27</v>
      </c>
      <c r="H28" s="11">
        <f>[3]Icelandair!$JN$15</f>
        <v>32</v>
      </c>
      <c r="I28" s="11">
        <f>[3]KLM!$JN$15</f>
        <v>11</v>
      </c>
      <c r="J28" s="11">
        <f>[3]Lufthansa!$JN$15</f>
        <v>16</v>
      </c>
      <c r="K28" s="11">
        <f>[3]Jazz_AC!$JN$15</f>
        <v>93</v>
      </c>
      <c r="L28" s="11">
        <f>'[3]Sky Regional'!$JN$15</f>
        <v>0</v>
      </c>
      <c r="M28" s="11">
        <f>[3]Condor!$JN$15</f>
        <v>0</v>
      </c>
      <c r="N28" s="11">
        <f>'[3]Aer Lingus'!$JN$15</f>
        <v>31</v>
      </c>
      <c r="O28" s="11">
        <f>'[3]Air France'!$JN$15</f>
        <v>29</v>
      </c>
      <c r="P28" s="11">
        <f>[3]Frontier!$JN$15</f>
        <v>0</v>
      </c>
      <c r="Q28" s="11">
        <f>'[3]Charter Misc'!$JN$15+[3]Ryan!$JN$15+[3]Omni!$JN$15</f>
        <v>0</v>
      </c>
      <c r="R28" s="195">
        <f>SUM(B28:Q28)</f>
        <v>1086</v>
      </c>
    </row>
    <row r="29" spans="1:21" x14ac:dyDescent="0.2">
      <c r="A29" s="43" t="s">
        <v>23</v>
      </c>
      <c r="B29" s="11">
        <f>[3]Delta!$JN$16</f>
        <v>573</v>
      </c>
      <c r="C29" s="11">
        <f>'[3]Atlantic Southeast'!$JN$16</f>
        <v>0</v>
      </c>
      <c r="D29" s="11">
        <f>[3]Pinnacle!$JN$16</f>
        <v>57</v>
      </c>
      <c r="E29" s="11">
        <f>'[3]Sky West'!$JN$16</f>
        <v>119</v>
      </c>
      <c r="F29" s="11">
        <f>[3]WestJet!$JN$16</f>
        <v>102</v>
      </c>
      <c r="G29" s="11">
        <f>'[3]Sun Country'!$JN$16</f>
        <v>26</v>
      </c>
      <c r="H29" s="11">
        <f>[3]Icelandair!$JN$16</f>
        <v>32</v>
      </c>
      <c r="I29" s="11">
        <f>[3]KLM!$JN$16</f>
        <v>11</v>
      </c>
      <c r="J29" s="11">
        <f>[3]Lufthansa!$JN$16</f>
        <v>16</v>
      </c>
      <c r="K29" s="11">
        <f>[3]Jazz_AC!$JN$16</f>
        <v>94</v>
      </c>
      <c r="L29" s="11">
        <f>'[3]Sky Regional'!$JN$16</f>
        <v>0</v>
      </c>
      <c r="M29" s="11">
        <f>[3]Condor!$JN$16</f>
        <v>0</v>
      </c>
      <c r="N29" s="11">
        <f>'[3]Aer Lingus'!$JN$16</f>
        <v>31</v>
      </c>
      <c r="O29" s="11">
        <f>'[3]Air France'!$JN$16</f>
        <v>29</v>
      </c>
      <c r="P29" s="11">
        <f>[3]Frontier!$JN$16</f>
        <v>0</v>
      </c>
      <c r="Q29" s="11">
        <f>'[3]Charter Misc'!$JN$16+[3]Ryan!$JN$16+[3]Omni!$JN$16</f>
        <v>0</v>
      </c>
      <c r="R29" s="195">
        <f>SUM(B29:Q29)</f>
        <v>1090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1143</v>
      </c>
      <c r="C31" s="270">
        <f t="shared" si="21"/>
        <v>0</v>
      </c>
      <c r="D31" s="270">
        <f t="shared" si="21"/>
        <v>113</v>
      </c>
      <c r="E31" s="270">
        <f>SUM(E28:E29)</f>
        <v>238</v>
      </c>
      <c r="F31" s="270">
        <f>SUM(F28:F29)</f>
        <v>204</v>
      </c>
      <c r="G31" s="270">
        <f t="shared" si="21"/>
        <v>53</v>
      </c>
      <c r="H31" s="270">
        <f t="shared" si="21"/>
        <v>64</v>
      </c>
      <c r="I31" s="270">
        <f t="shared" ref="I31:J31" si="22">SUM(I28:I29)</f>
        <v>22</v>
      </c>
      <c r="J31" s="270">
        <f t="shared" si="22"/>
        <v>32</v>
      </c>
      <c r="K31" s="270">
        <f t="shared" si="21"/>
        <v>187</v>
      </c>
      <c r="L31" s="270">
        <f t="shared" ref="L31" si="23">SUM(L28:L29)</f>
        <v>0</v>
      </c>
      <c r="M31" s="270">
        <f>SUM(M28:M29)</f>
        <v>0</v>
      </c>
      <c r="N31" s="270">
        <f>SUM(N28:N29)</f>
        <v>62</v>
      </c>
      <c r="O31" s="270">
        <f>SUM(O28:O29)</f>
        <v>58</v>
      </c>
      <c r="P31" s="270">
        <f t="shared" ref="P31" si="24">SUM(P28:P29)</f>
        <v>0</v>
      </c>
      <c r="Q31" s="270">
        <f>SUM(Q28:Q29)</f>
        <v>0</v>
      </c>
      <c r="R31" s="271">
        <f>SUM(B31:Q31)</f>
        <v>2176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 x14ac:dyDescent="0.2">
      <c r="A35" s="43" t="s">
        <v>22</v>
      </c>
      <c r="B35" s="11">
        <f>SUM([3]Delta!$JH$15:$JN$15)</f>
        <v>4222</v>
      </c>
      <c r="C35" s="11">
        <f>SUM('[3]Atlantic Southeast'!$JH$15:$JN$15)</f>
        <v>0</v>
      </c>
      <c r="D35" s="11">
        <f>SUM([3]Pinnacle!$JH$15:$JN$15)</f>
        <v>452</v>
      </c>
      <c r="E35" s="11">
        <f>SUM('[3]Sky West'!$JH$15:$JN$15)</f>
        <v>868</v>
      </c>
      <c r="F35" s="11">
        <f>SUM([3]WestJet!$JH$15:$JN$15)</f>
        <v>561</v>
      </c>
      <c r="G35" s="11">
        <f>SUM('[3]Sun Country'!$JH$15:$JN$15)</f>
        <v>1104</v>
      </c>
      <c r="H35" s="11">
        <f>SUM([3]Icelandair!$JH$15:$JN$15)</f>
        <v>135</v>
      </c>
      <c r="I35" s="11">
        <f>SUM([3]KLM!$JH$15:$JN$15)</f>
        <v>59</v>
      </c>
      <c r="J35" s="11">
        <f>SUM([3]Lufthansa!$JH$15:$JN$15)</f>
        <v>105</v>
      </c>
      <c r="K35" s="11">
        <f>SUM([3]Jazz_AC!$JH$15:$JN$15)</f>
        <v>488</v>
      </c>
      <c r="L35" s="11">
        <f>SUM('[3]Sky Regional'!$JH$15:$JN$15)</f>
        <v>0</v>
      </c>
      <c r="M35" s="11">
        <f>SUM([3]Condor!$JH$15:$JN$15)</f>
        <v>0</v>
      </c>
      <c r="N35" s="11">
        <f>SUM('[3]Aer Lingus'!$JH$15:$JN$15)</f>
        <v>109</v>
      </c>
      <c r="O35" s="11">
        <f>SUM('[3]Air France'!$JH$15:$JN$15)</f>
        <v>86</v>
      </c>
      <c r="P35" s="11">
        <f>SUM([3]Frontier!$JH$15:$JN$15)</f>
        <v>0</v>
      </c>
      <c r="Q35" s="11">
        <f>SUM('[3]Charter Misc'!$JH$15:$JN$15)+SUM([3]Ryan!$JH$15:$JN$15)+SUM([3]Omni!$JH$15:$JN$15)</f>
        <v>5</v>
      </c>
      <c r="R35" s="195">
        <f>SUM(B35:Q35)</f>
        <v>8194</v>
      </c>
    </row>
    <row r="36" spans="1:18" x14ac:dyDescent="0.2">
      <c r="A36" s="43" t="s">
        <v>23</v>
      </c>
      <c r="B36" s="11">
        <f>SUM([3]Delta!$JH$16:$JN$16)</f>
        <v>4243</v>
      </c>
      <c r="C36" s="11">
        <f>SUM('[3]Atlantic Southeast'!$JH$16:$JN$16)</f>
        <v>0</v>
      </c>
      <c r="D36" s="11">
        <f>SUM([3]Pinnacle!$JH$16:$JN$16)</f>
        <v>452</v>
      </c>
      <c r="E36" s="11">
        <f>SUM('[3]Sky West'!$JH$16:$JN$16)</f>
        <v>869</v>
      </c>
      <c r="F36" s="11">
        <f>SUM([3]WestJet!$JH$16:$JN$16)</f>
        <v>561</v>
      </c>
      <c r="G36" s="11">
        <f>SUM('[3]Sun Country'!$JH$16:$JN$16)</f>
        <v>1098</v>
      </c>
      <c r="H36" s="11">
        <f>SUM([3]Icelandair!$JH$16:$JN$16)</f>
        <v>135</v>
      </c>
      <c r="I36" s="11">
        <f>SUM([3]KLM!$JH$16:$JN$16)</f>
        <v>59</v>
      </c>
      <c r="J36" s="11">
        <f>SUM([3]Lufthansa!$JH$16:$JN$16)</f>
        <v>105</v>
      </c>
      <c r="K36" s="11">
        <f>SUM([3]Jazz_AC!$JH$16:$JN$16)</f>
        <v>489</v>
      </c>
      <c r="L36" s="11">
        <f>SUM('[3]Sky Regional'!$JH$16:$JN$16)</f>
        <v>0</v>
      </c>
      <c r="M36" s="11">
        <f>SUM([3]Condor!$JH$16:$JN$16)</f>
        <v>0</v>
      </c>
      <c r="N36" s="11">
        <f>SUM('[3]Aer Lingus'!$JH$16:$JN$16)</f>
        <v>109</v>
      </c>
      <c r="O36" s="11">
        <f>SUM('[3]Air France'!$JH$16:$JN$16)</f>
        <v>86</v>
      </c>
      <c r="P36" s="11">
        <f>SUM([3]Frontier!$JH$16:$JN$16)</f>
        <v>0</v>
      </c>
      <c r="Q36" s="11">
        <f>SUM('[3]Charter Misc'!$JH$16:$JN$16)+SUM([3]Ryan!$JH$16:$JN$16)+SUM([3]Omni!$JH$16:$JN$16)</f>
        <v>1</v>
      </c>
      <c r="R36" s="195">
        <f>SUM(B36:Q36)</f>
        <v>8207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8465</v>
      </c>
      <c r="C38" s="270">
        <f t="shared" si="25"/>
        <v>0</v>
      </c>
      <c r="D38" s="270">
        <f t="shared" si="25"/>
        <v>904</v>
      </c>
      <c r="E38" s="270">
        <f>+SUM(E35:E36)</f>
        <v>1737</v>
      </c>
      <c r="F38" s="270">
        <f>+SUM(F35:F36)</f>
        <v>1122</v>
      </c>
      <c r="G38" s="270">
        <f t="shared" si="25"/>
        <v>2202</v>
      </c>
      <c r="H38" s="270">
        <f t="shared" si="25"/>
        <v>270</v>
      </c>
      <c r="I38" s="270">
        <f t="shared" ref="I38:J38" si="26">+SUM(I35:I36)</f>
        <v>118</v>
      </c>
      <c r="J38" s="270">
        <f t="shared" si="26"/>
        <v>210</v>
      </c>
      <c r="K38" s="270">
        <f t="shared" si="25"/>
        <v>977</v>
      </c>
      <c r="L38" s="270">
        <f t="shared" ref="L38" si="27">+SUM(L35:L36)</f>
        <v>0</v>
      </c>
      <c r="M38" s="270">
        <f>+SUM(M35:M36)</f>
        <v>0</v>
      </c>
      <c r="N38" s="270">
        <f>+SUM(N35:N36)</f>
        <v>218</v>
      </c>
      <c r="O38" s="270">
        <f>+SUM(O35:O36)</f>
        <v>172</v>
      </c>
      <c r="P38" s="270">
        <f t="shared" ref="P38" si="28">+SUM(P35:P36)</f>
        <v>0</v>
      </c>
      <c r="Q38" s="270">
        <f>+SUM(Q35:Q36)</f>
        <v>6</v>
      </c>
      <c r="R38" s="271">
        <f>SUM(B38:Q38)</f>
        <v>16401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&amp;"Arial,Bold"July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zoomScaleNormal="100" zoomScaleSheetLayoutView="85" workbookViewId="0">
      <pane xSplit="2" ySplit="2" topLeftCell="Q37" activePane="bottomRight" state="frozen"/>
      <selection pane="topRight" activeCell="C1" sqref="C1"/>
      <selection pane="bottomLeft" activeCell="A3" sqref="A3"/>
      <selection pane="bottomRight" activeCell="X68" sqref="X68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7" t="s">
        <v>130</v>
      </c>
      <c r="B1" s="51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21" t="s">
        <v>134</v>
      </c>
      <c r="K1" s="52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09" t="s">
        <v>199</v>
      </c>
      <c r="T1" s="510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04" t="s">
        <v>13</v>
      </c>
      <c r="AC1" s="505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25">
      <c r="A2" s="487">
        <v>45839</v>
      </c>
      <c r="B2" s="488"/>
      <c r="C2" s="519" t="s">
        <v>9</v>
      </c>
      <c r="D2" s="520"/>
      <c r="E2" s="520"/>
      <c r="F2" s="520"/>
      <c r="G2" s="520"/>
      <c r="H2" s="520"/>
      <c r="I2" s="320"/>
      <c r="J2" s="487">
        <f>+A2</f>
        <v>45839</v>
      </c>
      <c r="K2" s="488"/>
      <c r="L2" s="514" t="s">
        <v>136</v>
      </c>
      <c r="M2" s="515"/>
      <c r="N2" s="515"/>
      <c r="O2" s="515"/>
      <c r="P2" s="515"/>
      <c r="Q2" s="515"/>
      <c r="R2" s="516"/>
      <c r="S2" s="487">
        <f>+J2</f>
        <v>45839</v>
      </c>
      <c r="T2" s="488"/>
      <c r="U2" s="511" t="s">
        <v>200</v>
      </c>
      <c r="V2" s="512"/>
      <c r="W2" s="512"/>
      <c r="X2" s="512"/>
      <c r="Y2" s="512"/>
      <c r="Z2" s="512"/>
      <c r="AA2" s="513"/>
      <c r="AB2" s="487">
        <f>+S2</f>
        <v>45839</v>
      </c>
      <c r="AC2" s="488"/>
      <c r="AD2" s="506" t="s">
        <v>13</v>
      </c>
      <c r="AE2" s="507"/>
      <c r="AF2" s="507"/>
      <c r="AG2" s="507"/>
      <c r="AH2" s="507"/>
      <c r="AI2" s="507"/>
      <c r="AJ2" s="508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187</v>
      </c>
      <c r="D4" s="249">
        <f>+SUM(D5:D6)</f>
        <v>297</v>
      </c>
      <c r="E4" s="250">
        <f>(C4-D4)/D4</f>
        <v>-0.37037037037037035</v>
      </c>
      <c r="F4" s="247">
        <f>+SUM(F5:F6)</f>
        <v>1218</v>
      </c>
      <c r="G4" s="249">
        <f>+SUM(G5:G6)</f>
        <v>1556</v>
      </c>
      <c r="H4" s="248">
        <f>(F4-G4)/G4</f>
        <v>-0.21722365038560412</v>
      </c>
      <c r="I4" s="250">
        <f>F4/$F$61</f>
        <v>6.695876373671682E-3</v>
      </c>
      <c r="J4" s="246" t="s">
        <v>98</v>
      </c>
      <c r="K4" s="37"/>
      <c r="L4" s="247">
        <f>+SUM(L5:L6)</f>
        <v>11475</v>
      </c>
      <c r="M4" s="249">
        <f>+SUM(M5:M6)</f>
        <v>18124</v>
      </c>
      <c r="N4" s="250">
        <f>(L4-M4)/M4</f>
        <v>-0.36686161995144562</v>
      </c>
      <c r="O4" s="247">
        <f>+SUM(O5:O6)</f>
        <v>69154</v>
      </c>
      <c r="P4" s="249">
        <f>+SUM(P5:P6)</f>
        <v>81849</v>
      </c>
      <c r="Q4" s="248">
        <f>(O4-P4)/P4</f>
        <v>-0.15510268909821745</v>
      </c>
      <c r="R4" s="250">
        <f>O4/$F$61</f>
        <v>0.3801696508578748</v>
      </c>
      <c r="S4" s="246" t="s">
        <v>98</v>
      </c>
      <c r="T4" s="37"/>
      <c r="U4" s="247">
        <f>+SUM(U5:U6)</f>
        <v>1553.1999999999998</v>
      </c>
      <c r="V4" s="249">
        <f>+SUM(V5:V6)</f>
        <v>1344.4</v>
      </c>
      <c r="W4" s="250">
        <f>(U4-V4)/V4</f>
        <v>0.15531091936923513</v>
      </c>
      <c r="X4" s="247">
        <f>+SUM(X5:X6)</f>
        <v>75876.3</v>
      </c>
      <c r="Y4" s="249">
        <f>+SUM(Y5:Y6)</f>
        <v>87191.3</v>
      </c>
      <c r="Z4" s="248">
        <f>(X4-Y4)/Y4</f>
        <v>-0.12977212175985448</v>
      </c>
      <c r="AA4" s="250">
        <f>X4/$F$61</f>
        <v>0.41712506115896936</v>
      </c>
      <c r="AB4" s="246" t="s">
        <v>98</v>
      </c>
      <c r="AC4" s="37"/>
      <c r="AD4" s="247">
        <f>+SUM(AD5:AD6)</f>
        <v>11714</v>
      </c>
      <c r="AE4" s="249">
        <f>+SUM(AE5:AE6)</f>
        <v>18373</v>
      </c>
      <c r="AF4" s="250">
        <f>(AD4-AE4)/AE4</f>
        <v>-0.36243400642246776</v>
      </c>
      <c r="AG4" s="247">
        <f>+SUM(AG5:AG6)</f>
        <v>70536</v>
      </c>
      <c r="AH4" s="249">
        <f>+SUM(AH5:AH6)</f>
        <v>83029</v>
      </c>
      <c r="AI4" s="248">
        <f>(AG4-AH4)/AH4</f>
        <v>-0.15046550000602199</v>
      </c>
      <c r="AJ4" s="250">
        <f>AG4/$F$61</f>
        <v>0.38776710664475023</v>
      </c>
    </row>
    <row r="5" spans="1:36" ht="14.1" customHeight="1" x14ac:dyDescent="0.2">
      <c r="A5" s="246"/>
      <c r="B5" s="306" t="s">
        <v>98</v>
      </c>
      <c r="C5" s="251">
        <f>[3]AirCanada!$JN$19</f>
        <v>0</v>
      </c>
      <c r="D5" s="2">
        <f>[3]AirCanada!$IZ$19</f>
        <v>0</v>
      </c>
      <c r="E5" s="63">
        <f>IFERROR((C5-D5)/D5,0)</f>
        <v>0</v>
      </c>
      <c r="F5" s="2">
        <f>SUM([3]AirCanada!$JH$19:$JN$19)</f>
        <v>241</v>
      </c>
      <c r="G5" s="2">
        <f>SUM([3]AirCanada!$IT$19:$IZ$19)</f>
        <v>0</v>
      </c>
      <c r="H5" s="3">
        <f>IFERROR((F5-G5)/G5,0)</f>
        <v>0</v>
      </c>
      <c r="I5" s="63">
        <f>F5/$F$61</f>
        <v>1.3248819425737894E-3</v>
      </c>
      <c r="J5" s="246"/>
      <c r="K5" s="306" t="s">
        <v>98</v>
      </c>
      <c r="L5" s="251">
        <f>[3]AirCanada!$JN$41</f>
        <v>0</v>
      </c>
      <c r="M5" s="2">
        <f>[3]AirCanada!$IZ$41</f>
        <v>0</v>
      </c>
      <c r="N5" s="63">
        <f>IFERROR((L5-M5)/M5,0)</f>
        <v>0</v>
      </c>
      <c r="O5" s="251">
        <f>SUM([3]AirCanada!$JH$41:$JN$41)</f>
        <v>20874</v>
      </c>
      <c r="P5" s="2">
        <f>SUM([3]AirCanada!$IT$41:$IZ$41)</f>
        <v>0</v>
      </c>
      <c r="Q5" s="3">
        <f>IFERROR((O5-P5)/P5,0)</f>
        <v>0</v>
      </c>
      <c r="R5" s="63">
        <f>O5/$O$61</f>
        <v>1.00934726942406E-3</v>
      </c>
      <c r="S5" s="246"/>
      <c r="T5" s="306" t="s">
        <v>98</v>
      </c>
      <c r="U5" s="251">
        <f>[3]AirCanada!$JN$64</f>
        <v>0</v>
      </c>
      <c r="V5" s="2">
        <f>[3]AirCanada!$IZ$64</f>
        <v>0</v>
      </c>
      <c r="W5" s="63">
        <f>IFERROR((U5-V5)/V5,0)</f>
        <v>0</v>
      </c>
      <c r="X5" s="251">
        <f>SUM([3]AirCanada!$JH$64:$JN$64)</f>
        <v>3166</v>
      </c>
      <c r="Y5" s="2">
        <f>SUM([3]AirCanada!$IT$64:$IZ$64)</f>
        <v>0</v>
      </c>
      <c r="Z5" s="3">
        <f>IFERROR((X5-Y5)/Y5,0)</f>
        <v>0</v>
      </c>
      <c r="AA5" s="63">
        <f>X5/$X$61</f>
        <v>5.9840801014824385E-5</v>
      </c>
      <c r="AB5" s="246"/>
      <c r="AC5" s="306" t="s">
        <v>98</v>
      </c>
      <c r="AD5" s="251">
        <f>[3]AirCanada!$JN$43</f>
        <v>0</v>
      </c>
      <c r="AE5" s="2">
        <f>[3]AirCanada!$IZ$43</f>
        <v>0</v>
      </c>
      <c r="AF5" s="63">
        <f>IFERROR((AD5-AE5)/AE5,0)</f>
        <v>0</v>
      </c>
      <c r="AG5" s="251">
        <f>SUM([3]AirCanada!$JH$43:$JN$43)</f>
        <v>21241</v>
      </c>
      <c r="AH5" s="2">
        <f>SUM([3]AirCanada!$IT$43:$IZ$43)</f>
        <v>0</v>
      </c>
      <c r="AI5" s="3">
        <f>IFERROR((AG5-AH5)/AH5,0)</f>
        <v>0</v>
      </c>
      <c r="AJ5" s="63">
        <f>AG5/$AG$61</f>
        <v>9.9647015658434744E-4</v>
      </c>
    </row>
    <row r="6" spans="1:36" ht="14.1" customHeight="1" x14ac:dyDescent="0.2">
      <c r="A6" s="246"/>
      <c r="B6" s="306" t="s">
        <v>207</v>
      </c>
      <c r="C6" s="251">
        <f>[3]Jazz_AC!$JN$19</f>
        <v>187</v>
      </c>
      <c r="D6" s="2">
        <f>[3]Jazz_AC!$IZ$19</f>
        <v>297</v>
      </c>
      <c r="E6" s="63">
        <f t="shared" ref="E6" si="0">(C6-D6)/D6</f>
        <v>-0.37037037037037035</v>
      </c>
      <c r="F6" s="2">
        <f>SUM([3]Jazz_AC!$JH$19:$JN$19)</f>
        <v>977</v>
      </c>
      <c r="G6" s="2">
        <f>SUM([3]Jazz_AC!$IT$19:$IZ$19)</f>
        <v>1556</v>
      </c>
      <c r="H6" s="3">
        <f t="shared" ref="H6" si="1">(F6-G6)/G6</f>
        <v>-0.37210796915167094</v>
      </c>
      <c r="I6" s="63">
        <f>F6/$F$61</f>
        <v>5.3709944310978931E-3</v>
      </c>
      <c r="J6" s="246"/>
      <c r="K6" s="306" t="s">
        <v>207</v>
      </c>
      <c r="L6" s="251">
        <f>[3]Jazz_AC!$JN$41</f>
        <v>11475</v>
      </c>
      <c r="M6" s="2">
        <f>[3]Jazz_AC!$IZ$41</f>
        <v>18124</v>
      </c>
      <c r="N6" s="63">
        <f t="shared" ref="N6" si="2">(L6-M6)/M6</f>
        <v>-0.36686161995144562</v>
      </c>
      <c r="O6" s="251">
        <f>SUM([3]Jazz_AC!$JH$41:$JN$41)</f>
        <v>48280</v>
      </c>
      <c r="P6" s="2">
        <f>SUM([3]Jazz_AC!$IT$41:$IZ$41)</f>
        <v>81849</v>
      </c>
      <c r="Q6" s="3">
        <f t="shared" ref="Q6" si="3">(O6-P6)/P6</f>
        <v>-0.41013329423694855</v>
      </c>
      <c r="R6" s="63">
        <f>O6/$O$61</f>
        <v>2.3345447047903424E-3</v>
      </c>
      <c r="S6" s="246"/>
      <c r="T6" s="306" t="s">
        <v>207</v>
      </c>
      <c r="U6" s="251">
        <f>[3]Jazz_AC!$JN$64</f>
        <v>1553.1999999999998</v>
      </c>
      <c r="V6" s="2">
        <f>[3]Jazz_AC!$IZ$64</f>
        <v>1344.4</v>
      </c>
      <c r="W6" s="63">
        <f t="shared" ref="W6" si="4">(U6-V6)/V6</f>
        <v>0.15531091936923513</v>
      </c>
      <c r="X6" s="251">
        <f>SUM([3]Jazz_AC!$JH$64:$JN$64)</f>
        <v>72710.3</v>
      </c>
      <c r="Y6" s="2">
        <f>SUM([3]Jazz_AC!$IT$64:$IZ$64)</f>
        <v>87191.3</v>
      </c>
      <c r="Z6" s="3">
        <f t="shared" ref="Z6" si="5">(X6-Y6)/Y6</f>
        <v>-0.16608308397741517</v>
      </c>
      <c r="AA6" s="63">
        <f>X6/$X$61</f>
        <v>1.3743027776463E-3</v>
      </c>
      <c r="AB6" s="246"/>
      <c r="AC6" s="306" t="s">
        <v>207</v>
      </c>
      <c r="AD6" s="251">
        <f>[3]Jazz_AC!$JN$43</f>
        <v>11714</v>
      </c>
      <c r="AE6" s="2">
        <f>[3]Jazz_AC!$IZ$43</f>
        <v>18373</v>
      </c>
      <c r="AF6" s="63">
        <f t="shared" ref="AF6" si="6">(AD6-AE6)/AE6</f>
        <v>-0.36243400642246776</v>
      </c>
      <c r="AG6" s="251">
        <f>SUM([3]Jazz_AC!$JH$43:$JN$43)</f>
        <v>49295</v>
      </c>
      <c r="AH6" s="2">
        <f>SUM([3]Jazz_AC!$IT$43:$IZ$43)</f>
        <v>83029</v>
      </c>
      <c r="AI6" s="3">
        <f t="shared" ref="AI6" si="7">(AG6-AH6)/AH6</f>
        <v>-0.40629177757169183</v>
      </c>
      <c r="AJ6" s="63">
        <f>AG6/$AG$61</f>
        <v>2.3125557350795823E-3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France'!$JN$19</f>
        <v>58</v>
      </c>
      <c r="D8" s="249">
        <f>'[3]Air France'!$IZ$19</f>
        <v>58</v>
      </c>
      <c r="E8" s="250">
        <f>IFERROR((C8-D8)/D8,0)</f>
        <v>0</v>
      </c>
      <c r="F8" s="249">
        <f>SUM('[3]Air France'!$JH$19:$JN$19)</f>
        <v>172</v>
      </c>
      <c r="G8" s="249">
        <f>SUM('[3]Air France'!$IT$19:$IZ$19)</f>
        <v>152</v>
      </c>
      <c r="H8" s="248">
        <f>IFERROR((F8-G8)/G8,0)</f>
        <v>0.13157894736842105</v>
      </c>
      <c r="I8" s="250">
        <f>F8/$F$61</f>
        <v>9.4555889677465463E-4</v>
      </c>
      <c r="J8" s="246" t="s">
        <v>153</v>
      </c>
      <c r="K8" s="37"/>
      <c r="L8" s="247">
        <f>'[3]Air France'!$JN$41</f>
        <v>13788</v>
      </c>
      <c r="M8" s="249">
        <f>'[3]Air France'!$IZ$41</f>
        <v>14713</v>
      </c>
      <c r="N8" s="250">
        <f>IFERROR((L8-M8)/M8,0)</f>
        <v>-6.2869571127574256E-2</v>
      </c>
      <c r="O8" s="247">
        <f>SUM('[3]Air France'!$JH$41:$JN$41)</f>
        <v>41729</v>
      </c>
      <c r="P8" s="249">
        <f>SUM('[3]Air France'!$IT$41:$IZ$41)</f>
        <v>38739</v>
      </c>
      <c r="Q8" s="248">
        <f>IFERROR((O8-P8)/P8,0)</f>
        <v>7.718320039236945E-2</v>
      </c>
      <c r="R8" s="250">
        <f>O8/$O$61</f>
        <v>2.0177758075019927E-3</v>
      </c>
      <c r="S8" s="246" t="s">
        <v>153</v>
      </c>
      <c r="T8" s="37"/>
      <c r="U8" s="247">
        <f>'[3]Air France'!$JN$64</f>
        <v>468261</v>
      </c>
      <c r="V8" s="249">
        <f>'[3]Air France'!$IZ$64</f>
        <v>323052</v>
      </c>
      <c r="W8" s="250">
        <f>IFERROR((U8-V8)/V8,0)</f>
        <v>0.44949110359942052</v>
      </c>
      <c r="X8" s="247">
        <f>SUM('[3]Air France'!$JH$64:$JN$64)</f>
        <v>1383985</v>
      </c>
      <c r="Y8" s="249">
        <f>SUM('[3]Air France'!$IT$64:$IZ$64)</f>
        <v>762537</v>
      </c>
      <c r="Z8" s="248">
        <f>IFERROR((X8-Y8)/Y8,0)</f>
        <v>0.81497422420157972</v>
      </c>
      <c r="AA8" s="250">
        <f>X8/$X$61</f>
        <v>2.6158803219362516E-2</v>
      </c>
      <c r="AB8" s="246" t="s">
        <v>153</v>
      </c>
      <c r="AC8" s="37"/>
      <c r="AD8" s="247">
        <f>'[3]Air France'!$JN$43</f>
        <v>13812</v>
      </c>
      <c r="AE8" s="249">
        <f>'[3]Air France'!$IZ$43</f>
        <v>14752</v>
      </c>
      <c r="AF8" s="250">
        <f>IFERROR((AD8-AE8)/AE8,0)</f>
        <v>-6.3720173535791763E-2</v>
      </c>
      <c r="AG8" s="247">
        <f>SUM('[3]Air France'!$JH$43:$JN$43)</f>
        <v>41753</v>
      </c>
      <c r="AH8" s="249">
        <f>SUM('[3]Air France'!$IT$43:$IZ$43)</f>
        <v>38825</v>
      </c>
      <c r="AI8" s="248">
        <f>IFERROR((AG8-AH8)/AH8,0)</f>
        <v>7.5415325177076623E-2</v>
      </c>
      <c r="AJ8" s="250">
        <f>AG8/$AG$61</f>
        <v>1.9587410408109908E-3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Lingus'!$JN$19</f>
        <v>62</v>
      </c>
      <c r="D10" s="249">
        <f>'[3]Aer Lingus'!$IZ$19</f>
        <v>36</v>
      </c>
      <c r="E10" s="250">
        <f>IFERROR((C10-D10)/D10,0)</f>
        <v>0.72222222222222221</v>
      </c>
      <c r="F10" s="249">
        <f>SUM('[3]Aer Lingus'!$JH$19:$JN$19)</f>
        <v>218</v>
      </c>
      <c r="G10" s="249">
        <f>SUM('[3]Aer Lingus'!$IT$19:$IZ$19)</f>
        <v>108</v>
      </c>
      <c r="H10" s="248">
        <f>IFERROR((F10-G10)/G10,0)</f>
        <v>1.0185185185185186</v>
      </c>
      <c r="I10" s="250">
        <f>F10/$F$61</f>
        <v>1.198440927307411E-3</v>
      </c>
      <c r="J10" s="246" t="s">
        <v>186</v>
      </c>
      <c r="K10" s="37"/>
      <c r="L10" s="247">
        <f>'[3]Aer Lingus'!$JN$41</f>
        <v>7967</v>
      </c>
      <c r="M10" s="249">
        <f>'[3]Aer Lingus'!$IZ$41</f>
        <v>5616</v>
      </c>
      <c r="N10" s="250">
        <f>IFERROR((L10-M10)/M10,0)</f>
        <v>0.41862535612535612</v>
      </c>
      <c r="O10" s="247">
        <f>SUM('[3]Aer Lingus'!$JH$41:$JN$41)</f>
        <v>26679</v>
      </c>
      <c r="P10" s="249">
        <f>SUM('[3]Aer Lingus'!$IT$41:$IZ$41)</f>
        <v>20900</v>
      </c>
      <c r="Q10" s="248">
        <f>IFERROR((O10-P10)/P10,0)</f>
        <v>0.27650717703349281</v>
      </c>
      <c r="R10" s="250">
        <f>O10/$O$61</f>
        <v>1.2900438728065773E-3</v>
      </c>
      <c r="S10" s="246" t="s">
        <v>186</v>
      </c>
      <c r="T10" s="37"/>
      <c r="U10" s="247">
        <f>'[3]Aer Lingus'!$JN$64</f>
        <v>350.5</v>
      </c>
      <c r="V10" s="249">
        <f>'[3]Aer Lingus'!$IZ$64</f>
        <v>2436.11</v>
      </c>
      <c r="W10" s="250">
        <f>IFERROR((U10-V10)/V10,0)</f>
        <v>-0.85612308147004856</v>
      </c>
      <c r="X10" s="247">
        <f>SUM('[3]Aer Lingus'!$JH$64:$JN$64)</f>
        <v>350.5</v>
      </c>
      <c r="Y10" s="249">
        <f>SUM('[3]Aer Lingus'!$IT$64:$IZ$64)</f>
        <v>2436.11</v>
      </c>
      <c r="Z10" s="248">
        <f>IFERROR((X10-Y10)/Y10,0)</f>
        <v>-0.85612308147004856</v>
      </c>
      <c r="AA10" s="250">
        <f>X10/$X$61</f>
        <v>6.6248265179077534E-6</v>
      </c>
      <c r="AB10" s="246" t="s">
        <v>186</v>
      </c>
      <c r="AC10" s="37"/>
      <c r="AD10" s="247">
        <f>'[3]Aer Lingus'!$JN$43</f>
        <v>8006</v>
      </c>
      <c r="AE10" s="249">
        <f>'[3]Aer Lingus'!$IZ$43</f>
        <v>5645</v>
      </c>
      <c r="AF10" s="250">
        <f>IFERROR((AD10-AE10)/AE10,0)</f>
        <v>0.41824623560673163</v>
      </c>
      <c r="AG10" s="247">
        <f>SUM('[3]Aer Lingus'!$JH$43:$JN$43)</f>
        <v>26819</v>
      </c>
      <c r="AH10" s="249">
        <f>SUM('[3]Aer Lingus'!$IT$43:$IZ$43)</f>
        <v>21031</v>
      </c>
      <c r="AI10" s="248">
        <f>IFERROR((AG10-AH10)/AH10,0)</f>
        <v>0.27521278113261377</v>
      </c>
      <c r="AJ10" s="250">
        <f>AG10/$AG$61</f>
        <v>1.2581485395902082E-3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47">
        <f>'[3]Allegiant '!$JN$19</f>
        <v>34</v>
      </c>
      <c r="D12" s="249">
        <f>'[3]Allegiant '!$IZ$19</f>
        <v>32</v>
      </c>
      <c r="E12" s="250">
        <f t="shared" ref="E12" si="8">(C12-D12)/D12</f>
        <v>6.25E-2</v>
      </c>
      <c r="F12" s="249">
        <f>SUM('[3]Allegiant '!$JH$19:$JN$19)</f>
        <v>340</v>
      </c>
      <c r="G12" s="249">
        <f>SUM('[3]Allegiant '!$IT$19:$IZ$19)</f>
        <v>446</v>
      </c>
      <c r="H12" s="248">
        <f t="shared" ref="H12" si="9">(F12-G12)/G12</f>
        <v>-0.23766816143497757</v>
      </c>
      <c r="I12" s="250">
        <f>F12/$F$61</f>
        <v>1.8691280517638522E-3</v>
      </c>
      <c r="J12" s="246" t="s">
        <v>208</v>
      </c>
      <c r="K12" s="253"/>
      <c r="L12" s="247">
        <f>'[3]Allegiant '!$JN$41</f>
        <v>5418</v>
      </c>
      <c r="M12" s="249">
        <f>'[3]Allegiant '!$IZ$41</f>
        <v>4842</v>
      </c>
      <c r="N12" s="250">
        <f t="shared" ref="N12" si="10">(L12-M12)/M12</f>
        <v>0.11895910780669144</v>
      </c>
      <c r="O12" s="247">
        <f>SUM('[3]Allegiant '!$JH$41:$JN$41)</f>
        <v>49684</v>
      </c>
      <c r="P12" s="249">
        <f>SUM('[3]Allegiant '!$IT$41:$IZ$41)</f>
        <v>62212</v>
      </c>
      <c r="Q12" s="248">
        <f t="shared" ref="Q12" si="11">(O12-P12)/P12</f>
        <v>-0.20137594033305473</v>
      </c>
      <c r="R12" s="250">
        <f>O12/$O$61</f>
        <v>2.402434115840998E-3</v>
      </c>
      <c r="S12" s="246" t="s">
        <v>208</v>
      </c>
      <c r="T12" s="253"/>
      <c r="U12" s="247">
        <f>'[3]Allegiant '!$JN$64</f>
        <v>0</v>
      </c>
      <c r="V12" s="249">
        <f>'[3]Allegiant '!$IZ$64</f>
        <v>0</v>
      </c>
      <c r="W12" s="250">
        <f>IFERROR((U12-V12)/V12,0)</f>
        <v>0</v>
      </c>
      <c r="X12" s="247">
        <f>SUM('[3]Allegiant '!$JH$64:$JN$64)</f>
        <v>0</v>
      </c>
      <c r="Y12" s="249">
        <f>SUM('[3]Allegiant '!$IT$64:$IZ$64)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'!$JN$43</f>
        <v>5418</v>
      </c>
      <c r="AE12" s="249">
        <f>'[3]Allegiant '!$IZ$43</f>
        <v>4842</v>
      </c>
      <c r="AF12" s="250">
        <f t="shared" ref="AF12" si="12">(AD12-AE12)/AE12</f>
        <v>0.11895910780669144</v>
      </c>
      <c r="AG12" s="247">
        <f>SUM('[3]Allegiant '!$JH$43:$JN$43)</f>
        <v>49684</v>
      </c>
      <c r="AH12" s="249">
        <f>SUM('[3]Allegiant '!$IT$43:$IZ$43)</f>
        <v>62212</v>
      </c>
      <c r="AI12" s="248">
        <f t="shared" ref="AI12" si="13">(AG12-AH12)/AH12</f>
        <v>-0.20137594033305473</v>
      </c>
      <c r="AJ12" s="250">
        <f>AG12/$AG$61</f>
        <v>2.3308047295201128E-3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378</v>
      </c>
      <c r="D14" s="249">
        <f>SUM(D15:D15)</f>
        <v>362</v>
      </c>
      <c r="E14" s="250">
        <f>(C14-D14)/D14</f>
        <v>4.4198895027624308E-2</v>
      </c>
      <c r="F14" s="249">
        <f>SUM(F15:F15)</f>
        <v>1475</v>
      </c>
      <c r="G14" s="249">
        <f>SUM(G15:G15)</f>
        <v>1371</v>
      </c>
      <c r="H14" s="248">
        <f>(F14-G14)/G14</f>
        <v>7.5857038657913933E-2</v>
      </c>
      <c r="I14" s="250">
        <f>F14/$F$61</f>
        <v>8.1087172833872994E-3</v>
      </c>
      <c r="J14" s="246" t="s">
        <v>127</v>
      </c>
      <c r="K14" s="37"/>
      <c r="L14" s="247">
        <f>SUM(L15:L15)</f>
        <v>48620</v>
      </c>
      <c r="M14" s="249">
        <f>SUM(M15:M15)</f>
        <v>44485</v>
      </c>
      <c r="N14" s="250">
        <f>(L14-M14)/M14</f>
        <v>9.2952680678880517E-2</v>
      </c>
      <c r="O14" s="247">
        <f>SUM(O15:O15)</f>
        <v>182603</v>
      </c>
      <c r="P14" s="249">
        <f>SUM(P15:P15)</f>
        <v>175503</v>
      </c>
      <c r="Q14" s="248">
        <f>(O14-P14)/P14</f>
        <v>4.0455148914833365E-2</v>
      </c>
      <c r="R14" s="250">
        <f>O14/$O$61</f>
        <v>8.8296368419393308E-3</v>
      </c>
      <c r="S14" s="246" t="s">
        <v>127</v>
      </c>
      <c r="T14" s="37"/>
      <c r="U14" s="247">
        <f>SUM(U15:U15)</f>
        <v>71937</v>
      </c>
      <c r="V14" s="249">
        <f>SUM(V15:V15)</f>
        <v>61390</v>
      </c>
      <c r="W14" s="250">
        <f>(U14-V14)/V14</f>
        <v>0.1718032252809904</v>
      </c>
      <c r="X14" s="247">
        <f>SUM(X15:X15)</f>
        <v>234929</v>
      </c>
      <c r="Y14" s="249">
        <f>SUM(Y15:Y15)</f>
        <v>221932</v>
      </c>
      <c r="Z14" s="248">
        <f>(X14-Y14)/Y14</f>
        <v>5.856298325613251E-2</v>
      </c>
      <c r="AA14" s="250">
        <f>X14/$X$61</f>
        <v>4.4404104679758929E-3</v>
      </c>
      <c r="AB14" s="246" t="s">
        <v>127</v>
      </c>
      <c r="AC14" s="37"/>
      <c r="AD14" s="247">
        <f>SUM(AD15:AD15)</f>
        <v>50247</v>
      </c>
      <c r="AE14" s="249">
        <f>SUM(AE15:AE15)</f>
        <v>45090</v>
      </c>
      <c r="AF14" s="250">
        <f>(AD14-AE14)/AE14</f>
        <v>0.11437125748502994</v>
      </c>
      <c r="AG14" s="247">
        <f>SUM(AG15:AG15)</f>
        <v>189871</v>
      </c>
      <c r="AH14" s="249">
        <f>SUM(AH15:AH15)</f>
        <v>181311</v>
      </c>
      <c r="AI14" s="248">
        <f>(AG14-AH14)/AH14</f>
        <v>4.7211697028862014E-2</v>
      </c>
      <c r="AJ14" s="250">
        <f>AG14/$AG$61</f>
        <v>8.9073388776812132E-3</v>
      </c>
    </row>
    <row r="15" spans="1:36" ht="14.1" customHeight="1" x14ac:dyDescent="0.2">
      <c r="A15" s="246"/>
      <c r="B15" s="306" t="s">
        <v>127</v>
      </c>
      <c r="C15" s="310">
        <f>[3]Alaska!$JN$19</f>
        <v>378</v>
      </c>
      <c r="D15" s="207">
        <f>[3]Alaska!$IZ$19</f>
        <v>362</v>
      </c>
      <c r="E15" s="312">
        <f>(C15-D15)/D15</f>
        <v>4.4198895027624308E-2</v>
      </c>
      <c r="F15" s="207">
        <f>SUM([3]Alaska!$JH$19:$JN$19)</f>
        <v>1475</v>
      </c>
      <c r="G15" s="207">
        <f>SUM([3]Alaska!$IT$19:$IZ$19)</f>
        <v>1371</v>
      </c>
      <c r="H15" s="311">
        <f>(F15-G15)/G15</f>
        <v>7.5857038657913933E-2</v>
      </c>
      <c r="I15" s="312">
        <f>F15/$F$61</f>
        <v>8.1087172833872994E-3</v>
      </c>
      <c r="J15" s="246"/>
      <c r="K15" s="306" t="s">
        <v>127</v>
      </c>
      <c r="L15" s="310">
        <f>[3]Alaska!$JN$41</f>
        <v>48620</v>
      </c>
      <c r="M15" s="207">
        <f>[3]Alaska!$IZ$41</f>
        <v>44485</v>
      </c>
      <c r="N15" s="312">
        <f>(L15-M15)/M15</f>
        <v>9.2952680678880517E-2</v>
      </c>
      <c r="O15" s="310">
        <f>SUM([3]Alaska!$JH$41:$JN$41)</f>
        <v>182603</v>
      </c>
      <c r="P15" s="207">
        <f>SUM([3]Alaska!$IT$41:$IZ$41)</f>
        <v>175503</v>
      </c>
      <c r="Q15" s="311">
        <f>(O15-P15)/P15</f>
        <v>4.0455148914833365E-2</v>
      </c>
      <c r="R15" s="312">
        <f>O15/$O$61</f>
        <v>8.8296368419393308E-3</v>
      </c>
      <c r="S15" s="246"/>
      <c r="T15" s="306" t="s">
        <v>127</v>
      </c>
      <c r="U15" s="310">
        <f>[3]Alaska!$JN$64</f>
        <v>71937</v>
      </c>
      <c r="V15" s="207">
        <f>[3]Alaska!$IZ$64</f>
        <v>61390</v>
      </c>
      <c r="W15" s="312">
        <f>(U15-V15)/V15</f>
        <v>0.1718032252809904</v>
      </c>
      <c r="X15" s="310">
        <f>SUM([3]Alaska!$JH$64:$JN$64)</f>
        <v>234929</v>
      </c>
      <c r="Y15" s="207">
        <f>SUM([3]Alaska!$IT$64:$IZ$64)</f>
        <v>221932</v>
      </c>
      <c r="Z15" s="311">
        <f>(X15-Y15)/Y15</f>
        <v>5.856298325613251E-2</v>
      </c>
      <c r="AA15" s="312">
        <f>X15/$X$61</f>
        <v>4.4404104679758929E-3</v>
      </c>
      <c r="AB15" s="246"/>
      <c r="AC15" s="306" t="s">
        <v>127</v>
      </c>
      <c r="AD15" s="310">
        <f>[3]Alaska!$JN$43</f>
        <v>50247</v>
      </c>
      <c r="AE15" s="207">
        <f>[3]Alaska!$IZ$43</f>
        <v>45090</v>
      </c>
      <c r="AF15" s="312">
        <f>(AD15-AE15)/AE15</f>
        <v>0.11437125748502994</v>
      </c>
      <c r="AG15" s="310">
        <f>SUM([3]Alaska!$JH$43:$JN$43)</f>
        <v>189871</v>
      </c>
      <c r="AH15" s="207">
        <f>SUM([3]Alaska!$IT$43:$IZ$43)</f>
        <v>181311</v>
      </c>
      <c r="AI15" s="311">
        <f>(AG15-AH15)/AH15</f>
        <v>4.7211697028862014E-2</v>
      </c>
      <c r="AJ15" s="63">
        <f>AG15/$AG$61</f>
        <v>8.9073388776812132E-3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1346</v>
      </c>
      <c r="D17" s="249">
        <f>SUM(D18:D23)</f>
        <v>1290</v>
      </c>
      <c r="E17" s="250">
        <f t="shared" ref="E17:E21" si="14">(C17-D17)/D17</f>
        <v>4.3410852713178294E-2</v>
      </c>
      <c r="F17" s="247">
        <f>SUM(F18:F23)</f>
        <v>8910</v>
      </c>
      <c r="G17" s="249">
        <f>SUM(G18:G23)</f>
        <v>7915</v>
      </c>
      <c r="H17" s="248">
        <f t="shared" ref="H17:H23" si="15">(F17-G17)/G17</f>
        <v>0.12571067593177512</v>
      </c>
      <c r="I17" s="250">
        <f t="shared" ref="I17:I23" si="16">F17/$F$61</f>
        <v>4.8982149827105657E-2</v>
      </c>
      <c r="J17" s="246" t="s">
        <v>17</v>
      </c>
      <c r="K17" s="253"/>
      <c r="L17" s="247">
        <f>SUM(L18:L23)</f>
        <v>152109</v>
      </c>
      <c r="M17" s="249">
        <f>SUM(M18:M23)</f>
        <v>149743</v>
      </c>
      <c r="N17" s="250">
        <f t="shared" ref="N17:N21" si="17">(L17-M17)/M17</f>
        <v>1.580040469337465E-2</v>
      </c>
      <c r="O17" s="247">
        <f>SUM(O18:O23)</f>
        <v>933346</v>
      </c>
      <c r="P17" s="249">
        <f>SUM(P18:P23)</f>
        <v>887903</v>
      </c>
      <c r="Q17" s="248">
        <f t="shared" ref="Q17:Q23" si="18">(O17-P17)/P17</f>
        <v>5.1180140172969346E-2</v>
      </c>
      <c r="R17" s="250">
        <f t="shared" ref="R17:R23" si="19">O17/$O$61</f>
        <v>4.5131275104334033E-2</v>
      </c>
      <c r="S17" s="246" t="s">
        <v>17</v>
      </c>
      <c r="T17" s="253"/>
      <c r="U17" s="247">
        <f>SUM(U18:U23)</f>
        <v>55280</v>
      </c>
      <c r="V17" s="249">
        <f>SUM(V18:V23)</f>
        <v>64614</v>
      </c>
      <c r="W17" s="250">
        <f t="shared" ref="W17:W21" si="20">(U17-V17)/V17</f>
        <v>-0.14445785743027828</v>
      </c>
      <c r="X17" s="247">
        <f>SUM(X18:X23)</f>
        <v>295182</v>
      </c>
      <c r="Y17" s="249">
        <f>SUM(Y18:Y23)</f>
        <v>329883</v>
      </c>
      <c r="Z17" s="248">
        <f t="shared" ref="Z17:Z21" si="21">(X17-Y17)/Y17</f>
        <v>-0.10519184074353634</v>
      </c>
      <c r="AA17" s="250">
        <f t="shared" ref="AA17:AA23" si="22">X17/$X$61</f>
        <v>5.5792568936064088E-3</v>
      </c>
      <c r="AB17" s="246" t="s">
        <v>17</v>
      </c>
      <c r="AC17" s="253"/>
      <c r="AD17" s="247">
        <f>SUM(AD18:AD23)</f>
        <v>157049</v>
      </c>
      <c r="AE17" s="249">
        <f>SUM(AE18:AE23)</f>
        <v>155062</v>
      </c>
      <c r="AF17" s="250">
        <f t="shared" ref="AF17:AF21" si="23">(AD17-AE17)/AE17</f>
        <v>1.2814229147050857E-2</v>
      </c>
      <c r="AG17" s="247">
        <f>SUM(AG18:AG23)</f>
        <v>967025</v>
      </c>
      <c r="AH17" s="249">
        <f>SUM(AH18:AH23)</f>
        <v>918439</v>
      </c>
      <c r="AI17" s="248">
        <f t="shared" ref="AI17:AI21" si="24">(AG17-AH17)/AH17</f>
        <v>5.2900628130991827E-2</v>
      </c>
      <c r="AJ17" s="250">
        <f t="shared" ref="AJ17:AJ23" si="25">AG17/$AG$61</f>
        <v>4.5365639714277983E-2</v>
      </c>
    </row>
    <row r="18" spans="1:36" ht="14.1" customHeight="1" x14ac:dyDescent="0.2">
      <c r="A18" s="36"/>
      <c r="B18" s="37" t="s">
        <v>17</v>
      </c>
      <c r="C18" s="251">
        <f>[3]American!$JN$19</f>
        <v>868</v>
      </c>
      <c r="D18" s="2">
        <f>[3]American!$IZ$19</f>
        <v>890</v>
      </c>
      <c r="E18" s="63">
        <f t="shared" si="14"/>
        <v>-2.4719101123595506E-2</v>
      </c>
      <c r="F18" s="2">
        <f>SUM([3]American!$JH$19:$JN$19)</f>
        <v>5572</v>
      </c>
      <c r="G18" s="2">
        <f>SUM([3]American!$IT$19:$IZ$19)</f>
        <v>4987</v>
      </c>
      <c r="H18" s="3">
        <f t="shared" si="15"/>
        <v>0.11730499298175255</v>
      </c>
      <c r="I18" s="63">
        <f t="shared" si="16"/>
        <v>3.0631710307141718E-2</v>
      </c>
      <c r="J18" s="36"/>
      <c r="K18" s="37" t="s">
        <v>17</v>
      </c>
      <c r="L18" s="251">
        <f>[3]American!$JN$41</f>
        <v>121959</v>
      </c>
      <c r="M18" s="2">
        <f>[3]American!$IZ$41</f>
        <v>124991</v>
      </c>
      <c r="N18" s="63">
        <f t="shared" si="17"/>
        <v>-2.4257746557752157E-2</v>
      </c>
      <c r="O18" s="251">
        <f>SUM([3]American!$JH$41:$JN$41)</f>
        <v>733543</v>
      </c>
      <c r="P18" s="2">
        <f>SUM([3]American!$IT$41:$IZ$41)</f>
        <v>713465</v>
      </c>
      <c r="Q18" s="3">
        <f t="shared" si="18"/>
        <v>2.8141534623282151E-2</v>
      </c>
      <c r="R18" s="63">
        <f t="shared" si="19"/>
        <v>3.5469944622742798E-2</v>
      </c>
      <c r="S18" s="36"/>
      <c r="T18" s="37" t="s">
        <v>17</v>
      </c>
      <c r="U18" s="251">
        <f>[3]American!$JN$64</f>
        <v>51742</v>
      </c>
      <c r="V18" s="2">
        <f>[3]American!$IZ$64</f>
        <v>61626</v>
      </c>
      <c r="W18" s="63">
        <f t="shared" si="20"/>
        <v>-0.1603868497062928</v>
      </c>
      <c r="X18" s="251">
        <f>SUM([3]American!$JH$64:$JN$64)</f>
        <v>269942</v>
      </c>
      <c r="Y18" s="2">
        <f>SUM([3]American!$IT$64:$IZ$64)</f>
        <v>303691</v>
      </c>
      <c r="Z18" s="3">
        <f t="shared" si="21"/>
        <v>-0.11112940455923949</v>
      </c>
      <c r="AA18" s="63">
        <f t="shared" si="22"/>
        <v>5.102193780020128E-3</v>
      </c>
      <c r="AB18" s="36"/>
      <c r="AC18" s="37" t="s">
        <v>17</v>
      </c>
      <c r="AD18" s="251">
        <f>[3]American!$JN$43</f>
        <v>125842</v>
      </c>
      <c r="AE18" s="2">
        <f>[3]American!$IZ$43</f>
        <v>129421</v>
      </c>
      <c r="AF18" s="63">
        <f t="shared" si="23"/>
        <v>-2.7653935605504516E-2</v>
      </c>
      <c r="AG18" s="251">
        <f>SUM([3]American!$JH$43:$JN$43)</f>
        <v>759945</v>
      </c>
      <c r="AH18" s="2">
        <f>SUM([3]American!$IT$43:$IZ$43)</f>
        <v>737597</v>
      </c>
      <c r="AI18" s="3">
        <f t="shared" si="24"/>
        <v>3.029838787305263E-2</v>
      </c>
      <c r="AJ18" s="63">
        <f t="shared" si="25"/>
        <v>3.5650982211077251E-2</v>
      </c>
    </row>
    <row r="19" spans="1:36" ht="14.1" customHeight="1" x14ac:dyDescent="0.2">
      <c r="A19" s="36"/>
      <c r="B19" s="306" t="s">
        <v>160</v>
      </c>
      <c r="C19" s="251">
        <f>'[3]American Eagle'!$JN$19</f>
        <v>181</v>
      </c>
      <c r="D19" s="2">
        <f>'[3]American Eagle'!$IZ$19</f>
        <v>182</v>
      </c>
      <c r="E19" s="63">
        <f t="shared" si="14"/>
        <v>-5.4945054945054949E-3</v>
      </c>
      <c r="F19" s="2">
        <f>SUM('[3]American Eagle'!$JH$19:$JN$19)</f>
        <v>1051</v>
      </c>
      <c r="G19" s="2">
        <f>SUM('[3]American Eagle'!$IT$19:$IZ$19)</f>
        <v>880</v>
      </c>
      <c r="H19" s="3">
        <f t="shared" si="15"/>
        <v>0.19431818181818181</v>
      </c>
      <c r="I19" s="63">
        <f t="shared" si="16"/>
        <v>5.7778046541288493E-3</v>
      </c>
      <c r="J19" s="36"/>
      <c r="K19" s="306" t="s">
        <v>160</v>
      </c>
      <c r="L19" s="251">
        <f>'[3]American Eagle'!$JN$41</f>
        <v>11507</v>
      </c>
      <c r="M19" s="2">
        <f>'[3]American Eagle'!$IZ$41</f>
        <v>10980</v>
      </c>
      <c r="N19" s="63">
        <f t="shared" si="17"/>
        <v>4.7996357012750457E-2</v>
      </c>
      <c r="O19" s="251">
        <f>SUM('[3]American Eagle'!$JH$41:$JN$41)</f>
        <v>62412</v>
      </c>
      <c r="P19" s="2">
        <f>SUM('[3]American Eagle'!$IT$41:$IZ$41)</f>
        <v>54630</v>
      </c>
      <c r="Q19" s="3">
        <f t="shared" si="18"/>
        <v>0.14244920373421197</v>
      </c>
      <c r="R19" s="63">
        <f t="shared" si="19"/>
        <v>3.0178874091834063E-3</v>
      </c>
      <c r="S19" s="36"/>
      <c r="T19" s="306" t="s">
        <v>160</v>
      </c>
      <c r="U19" s="251">
        <f>'[3]American Eagle'!$JN$64</f>
        <v>1549</v>
      </c>
      <c r="V19" s="2">
        <f>'[3]American Eagle'!$IZ$64</f>
        <v>125</v>
      </c>
      <c r="W19" s="63">
        <f>IFERROR((U19-V19)/V19,0)</f>
        <v>11.391999999999999</v>
      </c>
      <c r="X19" s="251">
        <f>SUM('[3]American Eagle'!$JH$64:$JN$64)</f>
        <v>9134</v>
      </c>
      <c r="Y19" s="2">
        <f>SUM('[3]American Eagle'!$IT$64:$IZ$64)</f>
        <v>3352</v>
      </c>
      <c r="Z19" s="311">
        <f>IFERROR((X19-Y19)/Y19,0)</f>
        <v>1.7249403341288783</v>
      </c>
      <c r="AA19" s="63">
        <f t="shared" si="22"/>
        <v>1.7264241202444912E-4</v>
      </c>
      <c r="AB19" s="36"/>
      <c r="AC19" s="306" t="s">
        <v>160</v>
      </c>
      <c r="AD19" s="251">
        <f>'[3]American Eagle'!$JN$43</f>
        <v>12018</v>
      </c>
      <c r="AE19" s="2">
        <f>'[3]American Eagle'!$IZ$43</f>
        <v>11505</v>
      </c>
      <c r="AF19" s="63">
        <f t="shared" si="23"/>
        <v>4.4589308996088657E-2</v>
      </c>
      <c r="AG19" s="251">
        <f>SUM('[3]American Eagle'!$JH$43:$JN$43)</f>
        <v>65185</v>
      </c>
      <c r="AH19" s="2">
        <f>SUM('[3]American Eagle'!$IT$43:$IZ$43)</f>
        <v>57045</v>
      </c>
      <c r="AI19" s="3">
        <f t="shared" si="24"/>
        <v>0.14269436409851871</v>
      </c>
      <c r="AJ19" s="63">
        <f t="shared" si="25"/>
        <v>3.0579966647968876E-3</v>
      </c>
    </row>
    <row r="20" spans="1:36" ht="14.1" customHeight="1" x14ac:dyDescent="0.2">
      <c r="A20" s="36"/>
      <c r="B20" s="306" t="s">
        <v>52</v>
      </c>
      <c r="C20" s="251">
        <f>[3]Republic!$JN$19</f>
        <v>223</v>
      </c>
      <c r="D20" s="2">
        <f>[3]Republic!$IZ$19</f>
        <v>106</v>
      </c>
      <c r="E20" s="63">
        <f t="shared" si="14"/>
        <v>1.1037735849056605</v>
      </c>
      <c r="F20" s="2">
        <f>SUM([3]Republic!$JH$19:$JN$19)</f>
        <v>1264</v>
      </c>
      <c r="G20" s="2">
        <f>SUM([3]Republic!$IT$19:$IZ$19)</f>
        <v>898</v>
      </c>
      <c r="H20" s="3">
        <f t="shared" si="15"/>
        <v>0.40757238307349664</v>
      </c>
      <c r="I20" s="63">
        <f t="shared" si="16"/>
        <v>6.9487584042044383E-3</v>
      </c>
      <c r="J20" s="36"/>
      <c r="K20" s="254" t="s">
        <v>52</v>
      </c>
      <c r="L20" s="251">
        <f>[3]Republic!$JN$41</f>
        <v>14341</v>
      </c>
      <c r="M20" s="2">
        <f>[3]Republic!$IZ$41</f>
        <v>7039</v>
      </c>
      <c r="N20" s="63">
        <f t="shared" si="17"/>
        <v>1.0373632618269641</v>
      </c>
      <c r="O20" s="251">
        <f>SUM([3]Republic!$JH$41:$JN$41)</f>
        <v>78433</v>
      </c>
      <c r="P20" s="2">
        <f>SUM([3]Republic!$IT$41:$IZ$41)</f>
        <v>52043</v>
      </c>
      <c r="Q20" s="3">
        <f t="shared" si="18"/>
        <v>0.50708068328113287</v>
      </c>
      <c r="R20" s="63">
        <f t="shared" si="19"/>
        <v>3.7925713510940542E-3</v>
      </c>
      <c r="S20" s="36"/>
      <c r="T20" s="254" t="s">
        <v>52</v>
      </c>
      <c r="U20" s="251">
        <f>[3]Republic!$JN$64</f>
        <v>1764</v>
      </c>
      <c r="V20" s="2">
        <f>[3]Republic!$IZ$64</f>
        <v>2863</v>
      </c>
      <c r="W20" s="63">
        <f t="shared" si="20"/>
        <v>-0.38386308068459657</v>
      </c>
      <c r="X20" s="251">
        <f>SUM([3]Republic!$JH$64:$JN$64)</f>
        <v>15593</v>
      </c>
      <c r="Y20" s="2">
        <f>SUM([3]Republic!$IT$64:$IZ$64)</f>
        <v>19377</v>
      </c>
      <c r="Z20" s="3">
        <f t="shared" si="21"/>
        <v>-0.19528306755431699</v>
      </c>
      <c r="AA20" s="63">
        <f t="shared" si="22"/>
        <v>2.9472445048141395E-4</v>
      </c>
      <c r="AB20" s="36"/>
      <c r="AC20" s="254" t="s">
        <v>52</v>
      </c>
      <c r="AD20" s="251">
        <f>[3]Republic!$JN$43</f>
        <v>14801</v>
      </c>
      <c r="AE20" s="2">
        <f>[3]Republic!$IZ$43</f>
        <v>7248</v>
      </c>
      <c r="AF20" s="63">
        <f t="shared" si="23"/>
        <v>1.0420805739514349</v>
      </c>
      <c r="AG20" s="251">
        <f>SUM([3]Republic!$JH$43:$JN$43)</f>
        <v>81315</v>
      </c>
      <c r="AH20" s="2">
        <f>SUM([3]Republic!$IT$43:$IZ$43)</f>
        <v>54242</v>
      </c>
      <c r="AI20" s="3">
        <f t="shared" si="24"/>
        <v>0.49911507687769624</v>
      </c>
      <c r="AJ20" s="63">
        <f t="shared" si="25"/>
        <v>3.8146966142204326E-3</v>
      </c>
    </row>
    <row r="21" spans="1:36" ht="14.1" customHeight="1" x14ac:dyDescent="0.2">
      <c r="A21" s="36"/>
      <c r="B21" s="306" t="s">
        <v>171</v>
      </c>
      <c r="C21" s="251">
        <f>[3]PSA!$JN$19</f>
        <v>74</v>
      </c>
      <c r="D21" s="2">
        <f>[3]PSA!$IZ$19</f>
        <v>112</v>
      </c>
      <c r="E21" s="63">
        <f t="shared" si="14"/>
        <v>-0.3392857142857143</v>
      </c>
      <c r="F21" s="2">
        <f>SUM([3]PSA!$JH$19:$JN$19)</f>
        <v>1021</v>
      </c>
      <c r="G21" s="2">
        <f>SUM([3]PSA!$IT$19:$IZ$19)</f>
        <v>822</v>
      </c>
      <c r="H21" s="3">
        <f t="shared" si="15"/>
        <v>0.24209245742092458</v>
      </c>
      <c r="I21" s="63">
        <f t="shared" si="16"/>
        <v>5.6128815907379205E-3</v>
      </c>
      <c r="J21" s="36"/>
      <c r="K21" s="306" t="s">
        <v>171</v>
      </c>
      <c r="L21" s="251">
        <f>[3]PSA!$JN$41</f>
        <v>4302</v>
      </c>
      <c r="M21" s="2">
        <f>[3]PSA!$IZ$41</f>
        <v>6733</v>
      </c>
      <c r="N21" s="63">
        <f t="shared" si="17"/>
        <v>-0.36105747809297489</v>
      </c>
      <c r="O21" s="251">
        <f>SUM([3]PSA!$JH$41:$JN$41)</f>
        <v>58850</v>
      </c>
      <c r="P21" s="2">
        <f>SUM([3]PSA!$IT$41:$IZ$41)</f>
        <v>52154</v>
      </c>
      <c r="Q21" s="3">
        <f t="shared" si="18"/>
        <v>0.12838900180235457</v>
      </c>
      <c r="R21" s="63">
        <f t="shared" si="19"/>
        <v>2.8456494589252624E-3</v>
      </c>
      <c r="S21" s="36"/>
      <c r="T21" s="306" t="s">
        <v>171</v>
      </c>
      <c r="U21" s="251">
        <f>[3]PSA!$JN$64</f>
        <v>225</v>
      </c>
      <c r="V21" s="2">
        <f>[3]PSA!$IZ$64</f>
        <v>0</v>
      </c>
      <c r="W21" s="63" t="e">
        <f t="shared" si="20"/>
        <v>#DIV/0!</v>
      </c>
      <c r="X21" s="251">
        <f>SUM([3]PSA!$JH$64:$JN$64)</f>
        <v>513</v>
      </c>
      <c r="Y21" s="2">
        <f>SUM([3]PSA!$IT$64:$IZ$64)</f>
        <v>783</v>
      </c>
      <c r="Z21" s="3">
        <f t="shared" si="21"/>
        <v>-0.34482758620689657</v>
      </c>
      <c r="AA21" s="63">
        <f t="shared" si="22"/>
        <v>9.6962510804184802E-6</v>
      </c>
      <c r="AB21" s="36"/>
      <c r="AC21" s="306" t="s">
        <v>171</v>
      </c>
      <c r="AD21" s="251">
        <f>[3]PSA!$JN$43</f>
        <v>4388</v>
      </c>
      <c r="AE21" s="2">
        <f>[3]PSA!$IZ$43</f>
        <v>6888</v>
      </c>
      <c r="AF21" s="63">
        <f t="shared" si="23"/>
        <v>-0.36295005807200931</v>
      </c>
      <c r="AG21" s="251">
        <f>SUM([3]PSA!$JH$43:$JN$43)</f>
        <v>60466</v>
      </c>
      <c r="AH21" s="2">
        <f>SUM([3]PSA!$IT$43:$IZ$43)</f>
        <v>53393</v>
      </c>
      <c r="AI21" s="3">
        <f t="shared" si="24"/>
        <v>0.13247054857378307</v>
      </c>
      <c r="AJ21" s="63">
        <f t="shared" si="25"/>
        <v>2.836616189822944E-3</v>
      </c>
    </row>
    <row r="22" spans="1:36" ht="14.1" customHeight="1" x14ac:dyDescent="0.2">
      <c r="A22" s="36"/>
      <c r="B22" s="306" t="s">
        <v>97</v>
      </c>
      <c r="C22" s="251">
        <f>'[3]Sky West_AA'!$JN$19</f>
        <v>0</v>
      </c>
      <c r="D22" s="2">
        <f>'[3]Sky West_AA'!$IZ$19</f>
        <v>0</v>
      </c>
      <c r="E22" s="63">
        <f>IFERROR((C22-D22)/D22,0)</f>
        <v>0</v>
      </c>
      <c r="F22" s="2">
        <f>SUM('[3]Sky West_AA'!$JH$19:$JN$19)</f>
        <v>2</v>
      </c>
      <c r="G22" s="2">
        <f>SUM('[3]Sky West_AA'!$IT$19:$IZ$19)</f>
        <v>60</v>
      </c>
      <c r="H22" s="3">
        <f>IFERROR((F22-G22)/G22,0)</f>
        <v>-0.96666666666666667</v>
      </c>
      <c r="I22" s="63">
        <f t="shared" si="16"/>
        <v>1.0994870892728542E-5</v>
      </c>
      <c r="J22" s="36"/>
      <c r="K22" s="306" t="s">
        <v>97</v>
      </c>
      <c r="L22" s="251">
        <f>'[3]Sky West_AA'!$JN$41</f>
        <v>0</v>
      </c>
      <c r="M22" s="2">
        <f>'[3]Sky West_AA'!$IZ$41</f>
        <v>0</v>
      </c>
      <c r="N22" s="63">
        <f>IFERROR((L22-M22)/M22,0)</f>
        <v>0</v>
      </c>
      <c r="O22" s="251">
        <f>SUM('[3]Sky West_AA'!$JH$41:$JN$41)</f>
        <v>108</v>
      </c>
      <c r="P22" s="2">
        <f>SUM('[3]Sky West_AA'!$IT$41:$IZ$41)</f>
        <v>3516</v>
      </c>
      <c r="Q22" s="3">
        <f>IFERROR((O22-P22)/P22,0)</f>
        <v>-0.96928327645051193</v>
      </c>
      <c r="R22" s="312">
        <f t="shared" si="19"/>
        <v>5.2222623885119513E-6</v>
      </c>
      <c r="S22" s="36"/>
      <c r="T22" s="306" t="s">
        <v>97</v>
      </c>
      <c r="U22" s="251">
        <f>'[3]Sky West_AA'!$JN$64</f>
        <v>0</v>
      </c>
      <c r="V22" s="2">
        <f>'[3]Sky West_AA'!$IZ$64</f>
        <v>0</v>
      </c>
      <c r="W22" s="63">
        <f>IFERROR((U22-V22)/V22,0)</f>
        <v>0</v>
      </c>
      <c r="X22" s="251">
        <f>SUM('[3]Sky West_AA'!$JH$64:$JN$64)</f>
        <v>0</v>
      </c>
      <c r="Y22" s="2">
        <f>SUM('[3]Sky West_AA'!$IT$64:$IZ$64)</f>
        <v>2</v>
      </c>
      <c r="Z22" s="311">
        <f>IFERROR((X22-Y22)/Y22,0)</f>
        <v>-1</v>
      </c>
      <c r="AA22" s="312">
        <f t="shared" si="22"/>
        <v>0</v>
      </c>
      <c r="AB22" s="36"/>
      <c r="AC22" s="306" t="s">
        <v>97</v>
      </c>
      <c r="AD22" s="251">
        <f>'[3]Sky West_AA'!$JN$43</f>
        <v>0</v>
      </c>
      <c r="AE22" s="2">
        <f>'[3]Sky West_AA'!$IZ$43</f>
        <v>0</v>
      </c>
      <c r="AF22" s="312">
        <f>IFERROR((AD22-AE22)/AE22,0)</f>
        <v>0</v>
      </c>
      <c r="AG22" s="251">
        <f>SUM('[3]Sky West_AA'!$JH$43:$JN$43)</f>
        <v>114</v>
      </c>
      <c r="AH22" s="2">
        <f>SUM('[3]Sky West_AA'!$IT$43:$IZ$43)</f>
        <v>3684</v>
      </c>
      <c r="AI22" s="311">
        <f>IFERROR((AG22-AH22)/AH22,0)</f>
        <v>-0.96905537459283386</v>
      </c>
      <c r="AJ22" s="63">
        <f t="shared" si="25"/>
        <v>5.3480343604639898E-6</v>
      </c>
    </row>
    <row r="23" spans="1:36" ht="14.1" customHeight="1" x14ac:dyDescent="0.2">
      <c r="A23" s="36"/>
      <c r="B23" s="306" t="s">
        <v>50</v>
      </c>
      <c r="C23" s="251">
        <f>'[3]Air Wisconsin'!$JN$19</f>
        <v>0</v>
      </c>
      <c r="D23" s="2">
        <f>'[3]Air Wisconsin'!$IZ$19</f>
        <v>0</v>
      </c>
      <c r="E23" s="63">
        <f>IFERROR((C23-D23)/D23,0)</f>
        <v>0</v>
      </c>
      <c r="F23" s="2">
        <f>SUM('[3]Air Wisconsin'!$JH$19:$JN$19)</f>
        <v>0</v>
      </c>
      <c r="G23" s="2">
        <f>SUM('[3]Air Wisconsin'!$IT$19:$IZ$19)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Wisconsin'!$JN$41</f>
        <v>0</v>
      </c>
      <c r="M23" s="2">
        <f>'[3]Air Wisconsin'!$IZ$41</f>
        <v>0</v>
      </c>
      <c r="N23" s="63">
        <f>IFERROR((L23-M23)/M23,0)</f>
        <v>0</v>
      </c>
      <c r="O23" s="251">
        <f>SUM('[3]Air Wisconsin'!$JH$41:$JN$41)</f>
        <v>0</v>
      </c>
      <c r="P23" s="2">
        <f>SUM('[3]Air Wisconsin'!$IT$41:$IZ$41)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Wisconsin'!$JN$64</f>
        <v>0</v>
      </c>
      <c r="V23" s="2">
        <f>'[3]Air Wisconsin'!$IZ$64</f>
        <v>0</v>
      </c>
      <c r="W23" s="63" t="e">
        <f t="shared" ref="W23" si="26">(U23-V23)/V23</f>
        <v>#DIV/0!</v>
      </c>
      <c r="X23" s="251">
        <f>SUM('[3]Air Wisconsin'!$JH$64:$JN$64)</f>
        <v>0</v>
      </c>
      <c r="Y23" s="2">
        <f>SUM('[3]Air Wisconsin'!$IT$64:$IZ$64)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Wisconsin'!$JN$43</f>
        <v>0</v>
      </c>
      <c r="AE23" s="2">
        <f>'[3]Air Wisconsin'!$IZ$43</f>
        <v>0</v>
      </c>
      <c r="AF23" s="63">
        <f>IFERROR((AD23-AE23)/AE23,0)</f>
        <v>0</v>
      </c>
      <c r="AG23" s="251">
        <f>SUM('[3]Air Wisconsin'!$JH$43:$JN$43)</f>
        <v>0</v>
      </c>
      <c r="AH23" s="2">
        <f>SUM('[3]Air Wisconsin'!$IT$43:$IZ$43)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[3]Condor!$JN$19</f>
        <v>0</v>
      </c>
      <c r="D25" s="249">
        <f>[3]Condor!$IZ$19</f>
        <v>26</v>
      </c>
      <c r="E25" s="250">
        <f>IFERROR((C25-D25)/D25,0)</f>
        <v>-1</v>
      </c>
      <c r="F25" s="249">
        <f>SUM([3]Condor!$JH$19:$JN$19)</f>
        <v>0</v>
      </c>
      <c r="G25" s="249">
        <f>SUM([3]Condor!$IT$19:$IZ$19)</f>
        <v>66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[3]Condor!$JN$41</f>
        <v>0</v>
      </c>
      <c r="M25" s="249">
        <f>[3]Condor!$IZ$41</f>
        <v>5744</v>
      </c>
      <c r="N25" s="250">
        <f>IFERROR((L25-M25)/M25,0)</f>
        <v>-1</v>
      </c>
      <c r="O25" s="247">
        <f>SUM([3]Condor!$JH$41:$JN$41)</f>
        <v>0</v>
      </c>
      <c r="P25" s="249">
        <f>SUM([3]Condor!$IT$41:$IZ$41)</f>
        <v>14329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[3]Condor!$JN$64</f>
        <v>0</v>
      </c>
      <c r="V25" s="249">
        <f>[3]Condor!$IZ$64</f>
        <v>140567</v>
      </c>
      <c r="W25" s="250">
        <f>IFERROR((U25-V25)/V25,0)</f>
        <v>-1</v>
      </c>
      <c r="X25" s="247">
        <f>SUM([3]Condor!$JH$64:$JN$64)</f>
        <v>0</v>
      </c>
      <c r="Y25" s="249">
        <f>SUM([3]Condor!$IT$64:$IZ$64)</f>
        <v>454544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[3]Condor!$JN$43</f>
        <v>0</v>
      </c>
      <c r="AE25" s="249">
        <f>[3]Condor!$IZ$43</f>
        <v>5781</v>
      </c>
      <c r="AF25" s="250">
        <f>IFERROR((AD25-AE25)/AE25,0)</f>
        <v>-1</v>
      </c>
      <c r="AG25" s="247">
        <f>SUM([3]Condor!$JH$43:$JN$43)</f>
        <v>0</v>
      </c>
      <c r="AH25" s="249">
        <f>SUM([3]Condor!$IT$43:$IZ$43)</f>
        <v>14413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Air'!$JN$19</f>
        <v>162</v>
      </c>
      <c r="D27" s="249">
        <f>'[3]Denver Air'!$IZ$19</f>
        <v>162</v>
      </c>
      <c r="E27" s="250">
        <f>(C27-D27)/D27</f>
        <v>0</v>
      </c>
      <c r="F27" s="249">
        <f>SUM('[3]Denver Air'!$JH$19:$JN$19)</f>
        <v>1082</v>
      </c>
      <c r="G27" s="249">
        <f>SUM('[3]Denver Air'!$IT$19:$IZ$19)</f>
        <v>1202</v>
      </c>
      <c r="H27" s="248">
        <f>(F27-G27)/G27</f>
        <v>-9.9833610648918464E-2</v>
      </c>
      <c r="I27" s="250">
        <f>F27/$F$61</f>
        <v>5.9482251529661412E-3</v>
      </c>
      <c r="J27" s="246" t="s">
        <v>201</v>
      </c>
      <c r="K27" s="37"/>
      <c r="L27" s="247">
        <f>'[3]Denver Air'!$JN$41</f>
        <v>1641</v>
      </c>
      <c r="M27" s="249">
        <f>'[3]Denver Air'!$IZ$41</f>
        <v>1943</v>
      </c>
      <c r="N27" s="250">
        <f>(L27-M27)/M27</f>
        <v>-0.15542974781266083</v>
      </c>
      <c r="O27" s="247">
        <f>SUM('[3]Denver Air'!$JH$41:$JN$41)</f>
        <v>11124</v>
      </c>
      <c r="P27" s="249">
        <f>SUM('[3]Denver Air'!$IT$41:$IZ$41)</f>
        <v>12220</v>
      </c>
      <c r="Q27" s="248">
        <f>(O27-P27)/P27</f>
        <v>-8.9689034369885429E-2</v>
      </c>
      <c r="R27" s="250">
        <f>O27/$O$61</f>
        <v>5.3789302601673099E-4</v>
      </c>
      <c r="S27" s="246" t="s">
        <v>201</v>
      </c>
      <c r="T27" s="37"/>
      <c r="U27" s="247">
        <f>'[3]Denver Air'!$JN$64</f>
        <v>0</v>
      </c>
      <c r="V27" s="249">
        <f>'[3]Denver Air'!$IZ$64</f>
        <v>0</v>
      </c>
      <c r="W27" s="250">
        <f>IFERROR((U27-V27)/V27,0)</f>
        <v>0</v>
      </c>
      <c r="X27" s="247">
        <f>SUM('[3]Denver Air'!$JH$64:$JN$64)</f>
        <v>0</v>
      </c>
      <c r="Y27" s="249">
        <f>SUM('[3]Denver Air'!$IT$64:$IZ$64)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Air'!$JN$43</f>
        <v>1762</v>
      </c>
      <c r="AE27" s="249">
        <f>'[3]Denver Air'!$IZ$43</f>
        <v>2017</v>
      </c>
      <c r="AF27" s="250">
        <f>(AD27-AE27)/AE27</f>
        <v>-0.1264253842340109</v>
      </c>
      <c r="AG27" s="247">
        <f>SUM('[3]Denver Air'!$JH$43:$JN$43)</f>
        <v>11720</v>
      </c>
      <c r="AH27" s="249">
        <f>SUM('[3]Denver Air'!$IT$43:$IZ$43)</f>
        <v>12713</v>
      </c>
      <c r="AI27" s="248">
        <f>(AG27-AH27)/AH27</f>
        <v>-7.8109022260678049E-2</v>
      </c>
      <c r="AJ27" s="250">
        <f>AG27/$AG$61</f>
        <v>5.4981546232138565E-4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21113</v>
      </c>
      <c r="D29" s="249">
        <f>SUM(D30:D32)</f>
        <v>19518</v>
      </c>
      <c r="E29" s="250">
        <f t="shared" ref="E29:E32" si="29">(C29-D29)/D29</f>
        <v>8.1719438467056052E-2</v>
      </c>
      <c r="F29" s="252">
        <f>SUM(F30:F32)</f>
        <v>132644</v>
      </c>
      <c r="G29" s="252">
        <f>SUM(G30:G32)</f>
        <v>125918</v>
      </c>
      <c r="H29" s="248">
        <f>(F29-G29)/G29</f>
        <v>5.34157149891199E-2</v>
      </c>
      <c r="I29" s="250">
        <f>F29/$F$61</f>
        <v>0.72920182734754235</v>
      </c>
      <c r="J29" s="246" t="s">
        <v>18</v>
      </c>
      <c r="K29" s="253"/>
      <c r="L29" s="247">
        <f>SUM(L30:L32)</f>
        <v>2495574</v>
      </c>
      <c r="M29" s="249">
        <f>SUM(M30:M32)</f>
        <v>2338818</v>
      </c>
      <c r="N29" s="250">
        <f t="shared" ref="N29:N32" si="30">(L29-M29)/M29</f>
        <v>6.7023599100058229E-2</v>
      </c>
      <c r="O29" s="247">
        <f>SUM(O30:O32)</f>
        <v>14704191</v>
      </c>
      <c r="P29" s="249">
        <f>SUM(P30:P32)</f>
        <v>14511752</v>
      </c>
      <c r="Q29" s="248">
        <f t="shared" ref="Q29:Q32" si="31">(O29-P29)/P29</f>
        <v>1.3260907435573595E-2</v>
      </c>
      <c r="R29" s="250">
        <f>O29/$O$61</f>
        <v>0.7110105890073698</v>
      </c>
      <c r="S29" s="246" t="s">
        <v>18</v>
      </c>
      <c r="T29" s="253"/>
      <c r="U29" s="247">
        <f>SUM(U30:U32)</f>
        <v>6847283</v>
      </c>
      <c r="V29" s="249">
        <f>SUM(V30:V32)</f>
        <v>5267354</v>
      </c>
      <c r="W29" s="250">
        <f t="shared" ref="W29:W30" si="32">(U29-V29)/V29</f>
        <v>0.29994737395663934</v>
      </c>
      <c r="X29" s="247">
        <f>SUM(X30:X32)</f>
        <v>44556313</v>
      </c>
      <c r="Y29" s="249">
        <f>SUM(Y30:Y32)</f>
        <v>41094193</v>
      </c>
      <c r="Z29" s="248">
        <f t="shared" ref="Z29:Z30" si="33">(X29-Y29)/Y29</f>
        <v>8.4248399767821211E-2</v>
      </c>
      <c r="AA29" s="250">
        <f>X29/$X$61</f>
        <v>0.84216217946532945</v>
      </c>
      <c r="AB29" s="246" t="s">
        <v>18</v>
      </c>
      <c r="AC29" s="253"/>
      <c r="AD29" s="247">
        <f>SUM(AD30:AD32)</f>
        <v>2573523</v>
      </c>
      <c r="AE29" s="249">
        <f>SUM(AE30:AE32)</f>
        <v>2399967</v>
      </c>
      <c r="AF29" s="250">
        <f t="shared" ref="AF29:AF32" si="34">(AD29-AE29)/AE29</f>
        <v>7.2315994344922238E-2</v>
      </c>
      <c r="AG29" s="247">
        <f>SUM(AG30:AG32)</f>
        <v>15187678</v>
      </c>
      <c r="AH29" s="249">
        <f>SUM(AH30:AH32)</f>
        <v>14952128</v>
      </c>
      <c r="AI29" s="248">
        <f t="shared" ref="AI29:AI32" si="35">(AG29-AH29)/AH29</f>
        <v>1.5753610455983256E-2</v>
      </c>
      <c r="AJ29" s="250">
        <f>AG29/$AG$61</f>
        <v>0.71249319122511412</v>
      </c>
    </row>
    <row r="30" spans="1:36" ht="14.1" customHeight="1" x14ac:dyDescent="0.2">
      <c r="A30" s="36"/>
      <c r="B30" s="37" t="s">
        <v>18</v>
      </c>
      <c r="C30" s="251">
        <f>[3]Delta!$JN$19</f>
        <v>14255</v>
      </c>
      <c r="D30" s="2">
        <f>[3]Delta!$IZ$19</f>
        <v>14135</v>
      </c>
      <c r="E30" s="63">
        <f t="shared" si="29"/>
        <v>8.4895649097983736E-3</v>
      </c>
      <c r="F30" s="2">
        <f>SUM([3]Delta!$JH$19:$JN$19)</f>
        <v>86333</v>
      </c>
      <c r="G30" s="2">
        <f>SUM([3]Delta!$IT$19:$IZ$19)</f>
        <v>86985</v>
      </c>
      <c r="H30" s="3">
        <f t="shared" ref="H30:H32" si="36">(F30-G30)/G30</f>
        <v>-7.4955452089440705E-3</v>
      </c>
      <c r="I30" s="63">
        <f>F30/$F$61</f>
        <v>0.47461009439096663</v>
      </c>
      <c r="J30" s="36"/>
      <c r="K30" s="37" t="s">
        <v>18</v>
      </c>
      <c r="L30" s="251">
        <f>[3]Delta!$JN$41</f>
        <v>2053821</v>
      </c>
      <c r="M30" s="2">
        <f>[3]Delta!$IZ$41</f>
        <v>2027980</v>
      </c>
      <c r="N30" s="63">
        <f t="shared" si="30"/>
        <v>1.274223611672699E-2</v>
      </c>
      <c r="O30" s="251">
        <f>SUM([3]Delta!$JH$41:$JN$41)</f>
        <v>12060393</v>
      </c>
      <c r="P30" s="2">
        <f>SUM([3]Delta!$IT$41:$IZ$41)</f>
        <v>12288376</v>
      </c>
      <c r="Q30" s="3">
        <f t="shared" si="31"/>
        <v>-1.8552736342052033E-2</v>
      </c>
      <c r="R30" s="63">
        <f>O30/$O$61</f>
        <v>0.58317163661641491</v>
      </c>
      <c r="S30" s="36"/>
      <c r="T30" s="37" t="s">
        <v>18</v>
      </c>
      <c r="U30" s="251">
        <f>[3]Delta!$JN$64</f>
        <v>6847283</v>
      </c>
      <c r="V30" s="2">
        <f>[3]Delta!$IZ$64</f>
        <v>5267354</v>
      </c>
      <c r="W30" s="63">
        <f t="shared" si="32"/>
        <v>0.29994737395663934</v>
      </c>
      <c r="X30" s="251">
        <f>SUM([3]Delta!$JH$64:$JN$64)</f>
        <v>44556313</v>
      </c>
      <c r="Y30" s="2">
        <f>SUM([3]Delta!$IT$64:$IZ$64)</f>
        <v>41094193</v>
      </c>
      <c r="Z30" s="3">
        <f t="shared" si="33"/>
        <v>8.4248399767821211E-2</v>
      </c>
      <c r="AA30" s="63">
        <f>X30/$X$61</f>
        <v>0.84216217946532945</v>
      </c>
      <c r="AB30" s="36"/>
      <c r="AC30" s="37" t="s">
        <v>18</v>
      </c>
      <c r="AD30" s="251">
        <f>[3]Delta!$JN$43</f>
        <v>2119811</v>
      </c>
      <c r="AE30" s="2">
        <f>[3]Delta!$IZ$43</f>
        <v>2080694</v>
      </c>
      <c r="AF30" s="63">
        <f t="shared" si="34"/>
        <v>1.8799977315261156E-2</v>
      </c>
      <c r="AG30" s="251">
        <f>SUM([3]Delta!$JH$43:$JN$43)</f>
        <v>12464563</v>
      </c>
      <c r="AH30" s="2">
        <f>SUM([3]Delta!$IT$43:$IZ$43)</f>
        <v>12660215</v>
      </c>
      <c r="AI30" s="3">
        <f>(AG30-AH30)/AH30</f>
        <v>-1.5454081940946501E-2</v>
      </c>
      <c r="AJ30" s="63">
        <f>AG30/$AG$61</f>
        <v>0.58474483519445708</v>
      </c>
    </row>
    <row r="31" spans="1:36" ht="14.1" customHeight="1" x14ac:dyDescent="0.2">
      <c r="A31" s="36"/>
      <c r="B31" s="37" t="s">
        <v>155</v>
      </c>
      <c r="C31" s="251">
        <f>[3]Pinnacle!$JN$19</f>
        <v>2678</v>
      </c>
      <c r="D31" s="2">
        <f>[3]Pinnacle!$IZ$19</f>
        <v>1442</v>
      </c>
      <c r="E31" s="63">
        <f t="shared" si="29"/>
        <v>0.8571428571428571</v>
      </c>
      <c r="F31" s="2">
        <f>SUM([3]Pinnacle!$JH$19:$JN$19)</f>
        <v>17071</v>
      </c>
      <c r="G31" s="2">
        <f>SUM([3]Pinnacle!$IT$19:$IZ$19)</f>
        <v>9508</v>
      </c>
      <c r="H31" s="3">
        <f t="shared" si="36"/>
        <v>0.79543542280185109</v>
      </c>
      <c r="I31" s="63">
        <f>F31/$F$61</f>
        <v>9.3846720504884476E-2</v>
      </c>
      <c r="J31" s="36"/>
      <c r="K31" s="37" t="s">
        <v>155</v>
      </c>
      <c r="L31" s="251">
        <f>[3]Pinnacle!$JN$41</f>
        <v>176974</v>
      </c>
      <c r="M31" s="2">
        <f>[3]Pinnacle!$IZ$41</f>
        <v>90526</v>
      </c>
      <c r="N31" s="63">
        <f t="shared" si="30"/>
        <v>0.95495216843779684</v>
      </c>
      <c r="O31" s="251">
        <f>SUM([3]Pinnacle!$JH$41:$JN$41)</f>
        <v>1047189</v>
      </c>
      <c r="P31" s="2">
        <f>SUM([3]Pinnacle!$IT$41:$IZ$41)</f>
        <v>599991</v>
      </c>
      <c r="Q31" s="3">
        <f t="shared" si="31"/>
        <v>0.74534118011770178</v>
      </c>
      <c r="R31" s="63">
        <f>O31/$O$61</f>
        <v>5.0636071558920755E-2</v>
      </c>
      <c r="S31" s="36"/>
      <c r="T31" s="37" t="s">
        <v>155</v>
      </c>
      <c r="U31" s="251">
        <f>[3]Pinnacle!$JN$64</f>
        <v>0</v>
      </c>
      <c r="V31" s="2">
        <f>[3]Pinnacle!$IZ$64</f>
        <v>0</v>
      </c>
      <c r="W31" s="63">
        <f>IFERROR((U31-V31)/V31,0)</f>
        <v>0</v>
      </c>
      <c r="X31" s="251">
        <f>SUM([3]Pinnacle!$JH$64:$JN$64)</f>
        <v>0</v>
      </c>
      <c r="Y31" s="2">
        <f>SUM([3]Pinnacle!$IT$64:$IZ$64)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[3]Pinnacle!$JN$43</f>
        <v>181211</v>
      </c>
      <c r="AE31" s="2">
        <f>[3]Pinnacle!$IZ$43</f>
        <v>92734</v>
      </c>
      <c r="AF31" s="63">
        <f t="shared" si="34"/>
        <v>0.95409450686910946</v>
      </c>
      <c r="AG31" s="251">
        <f>SUM([3]Pinnacle!$JH$43:$JN$43)</f>
        <v>1076445</v>
      </c>
      <c r="AH31" s="2">
        <f>SUM([3]Pinnacle!$IT$43:$IZ$43)</f>
        <v>617807</v>
      </c>
      <c r="AI31" s="3">
        <f t="shared" si="35"/>
        <v>0.74236452484351911</v>
      </c>
      <c r="AJ31" s="63">
        <f>AG31/$AG$61</f>
        <v>5.0498814448681227E-2</v>
      </c>
    </row>
    <row r="32" spans="1:36" ht="14.1" customHeight="1" x14ac:dyDescent="0.2">
      <c r="A32" s="36"/>
      <c r="B32" s="37" t="s">
        <v>97</v>
      </c>
      <c r="C32" s="251">
        <f>'[3]Sky West'!$JN$19</f>
        <v>4180</v>
      </c>
      <c r="D32" s="2">
        <f>'[3]Sky West'!$IZ$19</f>
        <v>3941</v>
      </c>
      <c r="E32" s="63">
        <f t="shared" si="29"/>
        <v>6.0644506470438973E-2</v>
      </c>
      <c r="F32" s="2">
        <f>SUM('[3]Sky West'!$JH$19:$JN$19)</f>
        <v>29240</v>
      </c>
      <c r="G32" s="2">
        <f>SUM('[3]Sky West'!$IT$19:$IZ$19)</f>
        <v>29425</v>
      </c>
      <c r="H32" s="3">
        <f t="shared" si="36"/>
        <v>-6.2871707731520813E-3</v>
      </c>
      <c r="I32" s="63">
        <f>F32/$F$61</f>
        <v>0.16074501245169129</v>
      </c>
      <c r="J32" s="36"/>
      <c r="K32" s="37" t="s">
        <v>97</v>
      </c>
      <c r="L32" s="251">
        <f>'[3]Sky West'!$JN$41</f>
        <v>264779</v>
      </c>
      <c r="M32" s="2">
        <f>'[3]Sky West'!$IZ$41</f>
        <v>220312</v>
      </c>
      <c r="N32" s="63">
        <f t="shared" si="30"/>
        <v>0.20183648643741603</v>
      </c>
      <c r="O32" s="251">
        <f>SUM('[3]Sky West'!$JH$41:$JN$41)</f>
        <v>1596609</v>
      </c>
      <c r="P32" s="2">
        <f>SUM('[3]Sky West'!$IT$41:$IZ$41)</f>
        <v>1623385</v>
      </c>
      <c r="Q32" s="3">
        <f t="shared" si="31"/>
        <v>-1.6493930891316601E-2</v>
      </c>
      <c r="R32" s="63">
        <f>O32/$O$61</f>
        <v>7.7202880832034054E-2</v>
      </c>
      <c r="S32" s="36"/>
      <c r="T32" s="37" t="s">
        <v>97</v>
      </c>
      <c r="U32" s="251">
        <f>'[3]Sky West'!$JN$64</f>
        <v>0</v>
      </c>
      <c r="V32" s="2">
        <f>'[3]Sky West'!$IZ$64</f>
        <v>0</v>
      </c>
      <c r="W32" s="63">
        <f>IFERROR((U32-V32)/V32,0)</f>
        <v>0</v>
      </c>
      <c r="X32" s="251">
        <f>SUM('[3]Sky West'!$JH$64:$JN$64)</f>
        <v>0</v>
      </c>
      <c r="Y32" s="2">
        <f>SUM('[3]Sky West'!$IT$64:$IZ$64)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West'!$JN$43</f>
        <v>272501</v>
      </c>
      <c r="AE32" s="2">
        <f>'[3]Sky West'!$IZ$43</f>
        <v>226539</v>
      </c>
      <c r="AF32" s="63">
        <f t="shared" si="34"/>
        <v>0.20288780298315082</v>
      </c>
      <c r="AG32" s="251">
        <f>SUM('[3]Sky West'!$JH$43:$JN$43)</f>
        <v>1646670</v>
      </c>
      <c r="AH32" s="2">
        <f>SUM('[3]Sky West'!$IT$43:$IZ$43)</f>
        <v>1674106</v>
      </c>
      <c r="AI32" s="3">
        <f t="shared" si="35"/>
        <v>-1.6388448521180859E-2</v>
      </c>
      <c r="AJ32" s="63">
        <f>AG32/$AG$61</f>
        <v>7.7249541581975778E-2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[3]Frontier!$JN$19</f>
        <v>157</v>
      </c>
      <c r="D34" s="249">
        <f>[3]Frontier!$IZ$19</f>
        <v>324</v>
      </c>
      <c r="E34" s="250">
        <f>(C34-D34)/D34</f>
        <v>-0.51543209876543206</v>
      </c>
      <c r="F34" s="249">
        <f>SUM([3]Frontier!$JH$19:$JN$19)</f>
        <v>1128</v>
      </c>
      <c r="G34" s="249">
        <f>SUM([3]Frontier!$IT$19:$IZ$19)</f>
        <v>2248</v>
      </c>
      <c r="H34" s="248">
        <f>(F34-G34)/G34</f>
        <v>-0.49822064056939502</v>
      </c>
      <c r="I34" s="250">
        <f>F34/$F$61</f>
        <v>6.2011071834988975E-3</v>
      </c>
      <c r="J34" s="246" t="s">
        <v>47</v>
      </c>
      <c r="K34" s="37"/>
      <c r="L34" s="247">
        <f>[3]Frontier!$JN$41</f>
        <v>26279</v>
      </c>
      <c r="M34" s="249">
        <f>[3]Frontier!$IZ$41</f>
        <v>48657</v>
      </c>
      <c r="N34" s="250">
        <f>(L34-M34)/M34</f>
        <v>-0.45991327044412933</v>
      </c>
      <c r="O34" s="247">
        <f>SUM([3]Frontier!$JH$41:$JN$41)</f>
        <v>187920</v>
      </c>
      <c r="P34" s="249">
        <f>SUM([3]Frontier!$IT$41:$IZ$41)</f>
        <v>349695</v>
      </c>
      <c r="Q34" s="248">
        <f>(O34-P34)/P34</f>
        <v>-0.46261742375498649</v>
      </c>
      <c r="R34" s="250">
        <f>O34/$O$61</f>
        <v>9.0867365560107945E-3</v>
      </c>
      <c r="S34" s="246" t="s">
        <v>47</v>
      </c>
      <c r="T34" s="37"/>
      <c r="U34" s="247">
        <f>[3]Frontier!$JN$64</f>
        <v>0</v>
      </c>
      <c r="V34" s="249">
        <f>[3]Frontier!$IZ$64</f>
        <v>0</v>
      </c>
      <c r="W34" s="250">
        <f>IFERROR((U34-V34)/V34,0)</f>
        <v>0</v>
      </c>
      <c r="X34" s="247">
        <f>SUM([3]Frontier!$JH$64:$JN$64)</f>
        <v>0</v>
      </c>
      <c r="Y34" s="249">
        <f>SUM([3]Frontier!$IT$64:$IZ$64)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[3]Frontier!$JN$43</f>
        <v>26434</v>
      </c>
      <c r="AE34" s="249">
        <f>[3]Frontier!$IZ$43</f>
        <v>49052</v>
      </c>
      <c r="AF34" s="250">
        <f>(AD34-AE34)/AE34</f>
        <v>-0.46110250346570986</v>
      </c>
      <c r="AG34" s="247">
        <f>SUM([3]Frontier!$JH$43:$JN$43)</f>
        <v>189244</v>
      </c>
      <c r="AH34" s="249">
        <f>SUM([3]Frontier!$IT$43:$IZ$43)</f>
        <v>351810</v>
      </c>
      <c r="AI34" s="248">
        <f>(AG34-AH34)/AH34</f>
        <v>-0.46208464796338933</v>
      </c>
      <c r="AJ34" s="250">
        <f>AG34/$AG$61</f>
        <v>8.8779246886986612E-3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[3]Icelandair!$JN$19</f>
        <v>64</v>
      </c>
      <c r="D36" s="249">
        <f>[3]Icelandair!$IZ$19</f>
        <v>62</v>
      </c>
      <c r="E36" s="250">
        <f>(C36-D36)/D36</f>
        <v>3.2258064516129031E-2</v>
      </c>
      <c r="F36" s="249">
        <f>SUM([3]Icelandair!$JH$19:$JN$19)</f>
        <v>270</v>
      </c>
      <c r="G36" s="249">
        <f>SUM([3]Icelandair!$IT$19:$IZ$19)</f>
        <v>230</v>
      </c>
      <c r="H36" s="248">
        <f>(F36-G36)/G36</f>
        <v>0.17391304347826086</v>
      </c>
      <c r="I36" s="250">
        <f>F36/$F$61</f>
        <v>1.4843075705183533E-3</v>
      </c>
      <c r="J36" s="246" t="s">
        <v>48</v>
      </c>
      <c r="K36" s="37"/>
      <c r="L36" s="247">
        <f>[3]Icelandair!$JN$41</f>
        <v>9832</v>
      </c>
      <c r="M36" s="249">
        <f>[3]Icelandair!$IZ$41</f>
        <v>11357</v>
      </c>
      <c r="N36" s="250">
        <f>(L36-M36)/M36</f>
        <v>-0.13427841859646034</v>
      </c>
      <c r="O36" s="247">
        <f>SUM([3]Icelandair!$JH$41:$JN$41)</f>
        <v>40122</v>
      </c>
      <c r="P36" s="249">
        <f>SUM([3]Icelandair!$IT$41:$IZ$41)</f>
        <v>35872</v>
      </c>
      <c r="Q36" s="248">
        <f>(O36-P36)/P36</f>
        <v>0.11847680642283676</v>
      </c>
      <c r="R36" s="250">
        <f>O36/$O$61</f>
        <v>1.94007047733219E-3</v>
      </c>
      <c r="S36" s="246" t="s">
        <v>48</v>
      </c>
      <c r="T36" s="37"/>
      <c r="U36" s="247">
        <f>[3]Icelandair!$JN$64</f>
        <v>0</v>
      </c>
      <c r="V36" s="249">
        <f>[3]Icelandair!$IZ$64</f>
        <v>2407</v>
      </c>
      <c r="W36" s="250">
        <f>(U36-V36)/V36</f>
        <v>-1</v>
      </c>
      <c r="X36" s="247">
        <f>SUM([3]Icelandair!$JH$64:$JN$64)</f>
        <v>20606</v>
      </c>
      <c r="Y36" s="249">
        <f>SUM([3]Icelandair!$IT$64:$IZ$64)</f>
        <v>6668</v>
      </c>
      <c r="Z36" s="248">
        <f>(X36-Y36)/Y36</f>
        <v>2.0902819436112776</v>
      </c>
      <c r="AA36" s="250">
        <f>X36/$X$61</f>
        <v>3.8947553560059103E-4</v>
      </c>
      <c r="AB36" s="246" t="s">
        <v>48</v>
      </c>
      <c r="AC36" s="37"/>
      <c r="AD36" s="247">
        <f>[3]Icelandair!$JN$43</f>
        <v>9872</v>
      </c>
      <c r="AE36" s="249">
        <f>[3]Icelandair!$IZ$43</f>
        <v>11422</v>
      </c>
      <c r="AF36" s="250">
        <f>(AD36-AE36)/AE36</f>
        <v>-0.13570302924181404</v>
      </c>
      <c r="AG36" s="247">
        <f>SUM([3]Icelandair!$JH$43:$JN$43)</f>
        <v>40411</v>
      </c>
      <c r="AH36" s="249">
        <f>SUM([3]Icelandair!$IT$43:$IZ$43)</f>
        <v>36195</v>
      </c>
      <c r="AI36" s="248">
        <f>(AG36-AH36)/AH36</f>
        <v>0.11648017682000276</v>
      </c>
      <c r="AJ36" s="250">
        <f>AG36/$AG$61</f>
        <v>1.8957843556202656E-3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Blue'!$JN$19</f>
        <v>0</v>
      </c>
      <c r="D38" s="249">
        <f>'[3]Jet Blue'!$IZ$19</f>
        <v>65</v>
      </c>
      <c r="E38" s="250">
        <f>(C38-D38)/D38</f>
        <v>-1</v>
      </c>
      <c r="F38" s="249">
        <f>SUM('[3]Jet Blue'!$JH$19:$JN$19)</f>
        <v>0</v>
      </c>
      <c r="G38" s="249">
        <f>SUM('[3]Jet Blue'!$IT$19:$IZ$19)</f>
        <v>473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Blue'!$JN$41</f>
        <v>0</v>
      </c>
      <c r="M38" s="249">
        <f>'[3]Jet Blue'!$IZ$41</f>
        <v>7742</v>
      </c>
      <c r="N38" s="250">
        <f>(L38-M38)/M38</f>
        <v>-1</v>
      </c>
      <c r="O38" s="247">
        <f>SUM('[3]Jet Blue'!$JH$41:$JN$41)</f>
        <v>0</v>
      </c>
      <c r="P38" s="249">
        <f>SUM('[3]Jet Blue'!$IT$41:$IZ$41)</f>
        <v>42939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Blue'!$JN$64</f>
        <v>0</v>
      </c>
      <c r="V38" s="249">
        <f>'[3]Jet Blue'!$IZ$64</f>
        <v>0</v>
      </c>
      <c r="W38" s="250">
        <f>IFERROR((U38-V38)/V38,0)</f>
        <v>0</v>
      </c>
      <c r="X38" s="247">
        <f>SUM('[3]Jet Blue'!$JH$64:$JN$64)</f>
        <v>0</v>
      </c>
      <c r="Y38" s="249">
        <f>SUM('[3]Jet Blue'!$IT$64:$IZ$64)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Blue'!$JN$43</f>
        <v>0</v>
      </c>
      <c r="AE38" s="249">
        <f>'[3]Jet Blue'!$IZ$43</f>
        <v>7889</v>
      </c>
      <c r="AF38" s="250">
        <f>(AD38-AE38)/AE38</f>
        <v>-1</v>
      </c>
      <c r="AG38" s="247">
        <f>SUM('[3]Jet Blue'!$JH$43:$JN$43)</f>
        <v>0</v>
      </c>
      <c r="AH38" s="249">
        <f>SUM('[3]Jet Blue'!$IT$43:$IZ$43)</f>
        <v>43879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[3]KLM!$JN$19</f>
        <v>22</v>
      </c>
      <c r="D40" s="249">
        <f>[3]KLM!$IZ$19</f>
        <v>26</v>
      </c>
      <c r="E40" s="250">
        <f>(C40-D40)/D40</f>
        <v>-0.15384615384615385</v>
      </c>
      <c r="F40" s="249">
        <f>SUM([3]KLM!$JH$19:$JN$19)</f>
        <v>118</v>
      </c>
      <c r="G40" s="249">
        <f>SUM([3]KLM!$IT$19:$IZ$19)</f>
        <v>188</v>
      </c>
      <c r="H40" s="248">
        <f>(F40-G40)/G40</f>
        <v>-0.37234042553191488</v>
      </c>
      <c r="I40" s="250">
        <f>F40/$F$61</f>
        <v>6.4869738267098404E-4</v>
      </c>
      <c r="J40" s="246" t="s">
        <v>178</v>
      </c>
      <c r="K40" s="37"/>
      <c r="L40" s="247">
        <f>[3]KLM!$JN$41</f>
        <v>5819</v>
      </c>
      <c r="M40" s="249">
        <f>[3]KLM!$IZ$41</f>
        <v>7706</v>
      </c>
      <c r="N40" s="250">
        <f>(L40-M40)/M40</f>
        <v>-0.24487412405917466</v>
      </c>
      <c r="O40" s="247">
        <f>SUM([3]KLM!$JH$41:$JN$41)</f>
        <v>29333</v>
      </c>
      <c r="P40" s="249">
        <f>SUM([3]KLM!$IT$41:$IZ$41)</f>
        <v>45036</v>
      </c>
      <c r="Q40" s="248">
        <f>(O40-P40)/P40</f>
        <v>-0.34867661426414426</v>
      </c>
      <c r="R40" s="250">
        <f>O40/$O$61</f>
        <v>1.4183761355761209E-3</v>
      </c>
      <c r="S40" s="246" t="s">
        <v>178</v>
      </c>
      <c r="T40" s="37"/>
      <c r="U40" s="247">
        <f>[3]KLM!$JN$64</f>
        <v>243644</v>
      </c>
      <c r="V40" s="249">
        <f>[3]KLM!$IZ$64</f>
        <v>235738</v>
      </c>
      <c r="W40" s="250">
        <f>(U40-V40)/V40</f>
        <v>3.353723201180972E-2</v>
      </c>
      <c r="X40" s="247">
        <f>SUM([3]KLM!$JH$64:$JN$64)</f>
        <v>1159445</v>
      </c>
      <c r="Y40" s="249">
        <f>SUM([3]KLM!$IT$64:$IZ$64)</f>
        <v>1845384</v>
      </c>
      <c r="Z40" s="248">
        <f>(X40-Y40)/Y40</f>
        <v>-0.3717052927737533</v>
      </c>
      <c r="AA40" s="250">
        <f>X40/$X$61</f>
        <v>2.1914756011570769E-2</v>
      </c>
      <c r="AB40" s="246" t="s">
        <v>178</v>
      </c>
      <c r="AC40" s="37"/>
      <c r="AD40" s="247">
        <f>[3]KLM!$JN$43</f>
        <v>5819</v>
      </c>
      <c r="AE40" s="249">
        <f>[3]KLM!$IZ$43</f>
        <v>7724</v>
      </c>
      <c r="AF40" s="250">
        <f>(AD40-AE40)/AE40</f>
        <v>-0.24663386846193683</v>
      </c>
      <c r="AG40" s="247">
        <f>SUM([3]KLM!$JH$43:$JN$43)</f>
        <v>29333</v>
      </c>
      <c r="AH40" s="249">
        <f>SUM([3]KLM!$IT$43:$IZ$43)</f>
        <v>45121</v>
      </c>
      <c r="AI40" s="248">
        <f>(AG40-AH40)/AH40</f>
        <v>-0.34990359256222159</v>
      </c>
      <c r="AJ40" s="250">
        <f>AG40/$AG$61</f>
        <v>1.3760867710130721E-3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244</v>
      </c>
      <c r="B42" s="37"/>
      <c r="C42" s="247">
        <f>[3]Lufthansa!$JN$19</f>
        <v>32</v>
      </c>
      <c r="D42" s="249">
        <f>[3]Lufthansa!$IZ$19</f>
        <v>44</v>
      </c>
      <c r="E42" s="250">
        <f>IFERROR((C42-D42)/D42,0)</f>
        <v>-0.27272727272727271</v>
      </c>
      <c r="F42" s="249">
        <f>SUM([3]Lufthansa!$JH$19:$JN$19)</f>
        <v>210</v>
      </c>
      <c r="G42" s="249">
        <f>SUM([3]Lufthansa!$IT$19:$IZ$19)</f>
        <v>82</v>
      </c>
      <c r="H42" s="248">
        <f>IFERROR((F42-G42)/G42,0)</f>
        <v>1.5609756097560976</v>
      </c>
      <c r="I42" s="250">
        <f>F42/$F$61</f>
        <v>1.1544614437364968E-3</v>
      </c>
      <c r="J42" s="246" t="s">
        <v>244</v>
      </c>
      <c r="K42" s="37"/>
      <c r="L42" s="247">
        <f>[3]Lufthansa!$JN$41</f>
        <v>8024</v>
      </c>
      <c r="M42" s="249">
        <f>[3]Lufthansa!$IZ$41</f>
        <v>11597</v>
      </c>
      <c r="N42" s="250">
        <f>IFERROR((L42-M42)/M42,0)</f>
        <v>-0.30809692161765972</v>
      </c>
      <c r="O42" s="247">
        <f>SUM([3]Lufthansa!$JH$41:$JN$41)</f>
        <v>40376</v>
      </c>
      <c r="P42" s="249">
        <f>SUM([3]Lufthansa!$IT$41:$IZ$41)</f>
        <v>20138</v>
      </c>
      <c r="Q42" s="248">
        <f>IFERROR((O42-P42)/P42,0)</f>
        <v>1.0049657364187108</v>
      </c>
      <c r="R42" s="250">
        <f>O42/$O$61</f>
        <v>1.952352464801468E-3</v>
      </c>
      <c r="S42" s="246" t="s">
        <v>244</v>
      </c>
      <c r="T42" s="37"/>
      <c r="U42" s="247">
        <f>[3]Lufthansa!$JN$64</f>
        <v>316896</v>
      </c>
      <c r="V42" s="249">
        <f>[3]Lufthansa!$IZ$64</f>
        <v>291883</v>
      </c>
      <c r="W42" s="250">
        <f>IFERROR((U42-V42)/V42,0)</f>
        <v>8.5695295717804737E-2</v>
      </c>
      <c r="X42" s="247">
        <f>SUM([3]Lufthansa!$JH$64:$JN$64)</f>
        <v>3169667</v>
      </c>
      <c r="Y42" s="249">
        <f>SUM([3]Lufthansa!$IT$64:$IZ$64)</f>
        <v>508326</v>
      </c>
      <c r="Z42" s="248">
        <f>IFERROR((X42-Y42)/Y42,0)</f>
        <v>5.2355004465638189</v>
      </c>
      <c r="AA42" s="250">
        <f>X42/$X$61</f>
        <v>5.9910111254028856E-2</v>
      </c>
      <c r="AB42" s="246" t="s">
        <v>244</v>
      </c>
      <c r="AC42" s="37"/>
      <c r="AD42" s="247">
        <f>[3]Lufthansa!$JN$43</f>
        <v>8090</v>
      </c>
      <c r="AE42" s="249">
        <f>[3]Lufthansa!$IZ$43</f>
        <v>11732</v>
      </c>
      <c r="AF42" s="250">
        <f>IFERROR((AD42-AE42)/AE42,0)</f>
        <v>-0.31043300375042621</v>
      </c>
      <c r="AG42" s="247">
        <f>SUM([3]Lufthansa!$JH$43:$JN$43)</f>
        <v>40876</v>
      </c>
      <c r="AH42" s="249">
        <f>SUM([3]Lufthansa!$IT$43:$IZ$43)</f>
        <v>20374</v>
      </c>
      <c r="AI42" s="248">
        <f>IFERROR((AG42-AH42)/AH42,0)</f>
        <v>1.0062825169333465</v>
      </c>
      <c r="AJ42" s="250">
        <f>AG42/$AG$61</f>
        <v>1.9175987063011057E-3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[3]Southwest!$JN$19</f>
        <v>1182</v>
      </c>
      <c r="D44" s="249">
        <f>[3]Southwest!$IZ$19</f>
        <v>1386</v>
      </c>
      <c r="E44" s="250">
        <f>(C44-D44)/D44</f>
        <v>-0.1471861471861472</v>
      </c>
      <c r="F44" s="249">
        <f>SUM([3]Southwest!$JH$19:$JN$19)</f>
        <v>6935</v>
      </c>
      <c r="G44" s="249">
        <f>SUM([3]Southwest!$IT$19:$IZ$19)</f>
        <v>8714</v>
      </c>
      <c r="H44" s="248">
        <f>(F44-G44)/G44</f>
        <v>-0.2041542345650677</v>
      </c>
      <c r="I44" s="250">
        <f>F44/$F$61</f>
        <v>3.8124714820536219E-2</v>
      </c>
      <c r="J44" s="246" t="s">
        <v>128</v>
      </c>
      <c r="K44" s="37"/>
      <c r="L44" s="247">
        <f>[3]Southwest!$JN$41</f>
        <v>155629</v>
      </c>
      <c r="M44" s="249">
        <f>[3]Southwest!$IZ$41</f>
        <v>184490</v>
      </c>
      <c r="N44" s="250">
        <f>(L44-M44)/M44</f>
        <v>-0.15643666323377961</v>
      </c>
      <c r="O44" s="247">
        <f>SUM([3]Southwest!$JH$41:$JN$41)</f>
        <v>851216</v>
      </c>
      <c r="P44" s="249">
        <f>SUM([3]Southwest!$IT$41:$IZ$41)</f>
        <v>1048537</v>
      </c>
      <c r="Q44" s="248">
        <f>(O44-P44)/P44</f>
        <v>-0.18818696908168239</v>
      </c>
      <c r="R44" s="250">
        <f>O44/$O$61</f>
        <v>4.1159937974996195E-2</v>
      </c>
      <c r="S44" s="246" t="s">
        <v>128</v>
      </c>
      <c r="T44" s="37"/>
      <c r="U44" s="247">
        <f>[3]Southwest!$JN$64</f>
        <v>231768</v>
      </c>
      <c r="V44" s="249">
        <f>[3]Southwest!$IZ$64</f>
        <v>254284</v>
      </c>
      <c r="W44" s="250">
        <f>(U44-V44)/V44</f>
        <v>-8.854666435953501E-2</v>
      </c>
      <c r="X44" s="247">
        <f>SUM([3]Southwest!$JH$64:$JN$64)</f>
        <v>1452781</v>
      </c>
      <c r="Y44" s="249">
        <f>SUM([3]Southwest!$IT$64:$IZ$64)</f>
        <v>1648453</v>
      </c>
      <c r="Z44" s="248">
        <f>(X44-Y44)/Y44</f>
        <v>-0.11870038150920893</v>
      </c>
      <c r="AA44" s="250">
        <f>X44/$X$61</f>
        <v>2.7459121522147058E-2</v>
      </c>
      <c r="AB44" s="246" t="s">
        <v>128</v>
      </c>
      <c r="AC44" s="37"/>
      <c r="AD44" s="247">
        <f>[3]Southwest!$JN$43</f>
        <v>159784</v>
      </c>
      <c r="AE44" s="249">
        <f>[3]Southwest!$IZ$43</f>
        <v>188133</v>
      </c>
      <c r="AF44" s="250">
        <f>(AD44-AE44)/AE44</f>
        <v>-0.1506859508964403</v>
      </c>
      <c r="AG44" s="247">
        <f>SUM([3]Southwest!$JH$43:$JN$43)</f>
        <v>875202</v>
      </c>
      <c r="AH44" s="249">
        <f>SUM([3]Southwest!$IT$43:$IZ$43)</f>
        <v>1072746</v>
      </c>
      <c r="AI44" s="248">
        <f>(AG44-AH44)/AH44</f>
        <v>-0.18414797165405417</v>
      </c>
      <c r="AJ44" s="250">
        <f>AG44/$AG$61</f>
        <v>4.1057985687252677E-2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[3]Spirit!$JN$19</f>
        <v>78</v>
      </c>
      <c r="D46" s="249">
        <f>[3]Spirit!$IZ$19</f>
        <v>172</v>
      </c>
      <c r="E46" s="250">
        <f>(C46-D46)/D46</f>
        <v>-0.54651162790697672</v>
      </c>
      <c r="F46" s="249">
        <f>SUM([3]Spirit!$JH$19:$JN$19)</f>
        <v>958</v>
      </c>
      <c r="G46" s="249">
        <f>SUM([3]Spirit!$IT$19:$IZ$19)</f>
        <v>1342</v>
      </c>
      <c r="H46" s="248">
        <f>(F46-G46)/G46</f>
        <v>-0.28614008941877794</v>
      </c>
      <c r="I46" s="250">
        <f>F46/$F$61</f>
        <v>5.2665431576169718E-3</v>
      </c>
      <c r="J46" s="246" t="s">
        <v>152</v>
      </c>
      <c r="K46" s="37"/>
      <c r="L46" s="247">
        <f>[3]Spirit!$JN$41</f>
        <v>13956</v>
      </c>
      <c r="M46" s="249">
        <f>[3]Spirit!$IZ$41</f>
        <v>27768</v>
      </c>
      <c r="N46" s="250">
        <f>(L46-M46)/M46</f>
        <v>-0.49740708729472777</v>
      </c>
      <c r="O46" s="247">
        <f>SUM([3]Spirit!$JH$41:$JN$41)</f>
        <v>138658</v>
      </c>
      <c r="P46" s="249">
        <f>SUM([3]Spirit!$IT$41:$IZ$41)</f>
        <v>194520</v>
      </c>
      <c r="Q46" s="248">
        <f>(O46-P46)/P46</f>
        <v>-0.28717869627801768</v>
      </c>
      <c r="R46" s="250">
        <f>O46/$O$61</f>
        <v>6.7047079469100936E-3</v>
      </c>
      <c r="S46" s="246" t="s">
        <v>152</v>
      </c>
      <c r="T46" s="37"/>
      <c r="U46" s="247">
        <f>[3]Spirit!$JN$64</f>
        <v>0</v>
      </c>
      <c r="V46" s="249">
        <f>[3]Spirit!$IZ$64</f>
        <v>0</v>
      </c>
      <c r="W46" s="250">
        <f>IFERROR((U46-V46)/V46,0)</f>
        <v>0</v>
      </c>
      <c r="X46" s="247">
        <f>SUM([3]Spirit!$JH$64:$JN$64)</f>
        <v>0</v>
      </c>
      <c r="Y46" s="249">
        <f>SUM([3]Spirit!$IT$64:$IZ$64)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[3]Spirit!$JN$43</f>
        <v>14077</v>
      </c>
      <c r="AE46" s="249">
        <f>[3]Spirit!$IZ$43</f>
        <v>27970</v>
      </c>
      <c r="AF46" s="250">
        <f>(AD46-AE46)/AE46</f>
        <v>-0.49671076153021093</v>
      </c>
      <c r="AG46" s="247">
        <f>SUM([3]Spirit!$JH$43:$JN$43)</f>
        <v>139879</v>
      </c>
      <c r="AH46" s="249">
        <f>SUM([3]Spirit!$IT$43:$IZ$43)</f>
        <v>195966</v>
      </c>
      <c r="AI46" s="248">
        <f>(AG46-AH46)/AH46</f>
        <v>-0.28620781155914804</v>
      </c>
      <c r="AJ46" s="250">
        <f>AG46/$AG$61</f>
        <v>6.5620850728714247E-3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Country'!$JN$19</f>
        <v>2863</v>
      </c>
      <c r="D48" s="249">
        <f>'[3]Sun Country'!$IZ$19</f>
        <v>3097</v>
      </c>
      <c r="E48" s="250">
        <f>(C48-D48)/D48</f>
        <v>-7.5556990636099455E-2</v>
      </c>
      <c r="F48" s="249">
        <f>SUM('[3]Sun Country'!$JH$19:$JN$19)</f>
        <v>17060</v>
      </c>
      <c r="G48" s="249">
        <f>SUM('[3]Sun Country'!$IT$19:$IZ$19)</f>
        <v>17644</v>
      </c>
      <c r="H48" s="248">
        <f>(F48-G48)/G48</f>
        <v>-3.3099070505554294E-2</v>
      </c>
      <c r="I48" s="250">
        <f>F48/$F$61</f>
        <v>9.3786248714974471E-2</v>
      </c>
      <c r="J48" s="246" t="s">
        <v>49</v>
      </c>
      <c r="K48" s="37"/>
      <c r="L48" s="247">
        <f>'[3]Sun Country'!$JN$41</f>
        <v>428608</v>
      </c>
      <c r="M48" s="249">
        <f>'[3]Sun Country'!$IZ$41</f>
        <v>472796</v>
      </c>
      <c r="N48" s="250">
        <f>(L48-M48)/M48</f>
        <v>-9.3461027589065895E-2</v>
      </c>
      <c r="O48" s="247">
        <f>SUM('[3]Sun Country'!$JH$41:$JN$41)</f>
        <v>2442569</v>
      </c>
      <c r="P48" s="249">
        <f>SUM('[3]Sun Country'!$IT$41:$IZ$41)</f>
        <v>2622720</v>
      </c>
      <c r="Q48" s="248">
        <f>(O48-P48)/P48</f>
        <v>-6.8688613347974617E-2</v>
      </c>
      <c r="R48" s="250">
        <f>O48/$O$61</f>
        <v>0.11810866870412266</v>
      </c>
      <c r="S48" s="246" t="s">
        <v>49</v>
      </c>
      <c r="T48" s="37"/>
      <c r="U48" s="247">
        <f>'[3]Sun Country'!$JN$64</f>
        <v>0</v>
      </c>
      <c r="V48" s="249">
        <f>'[3]Sun Country'!$IZ$64</f>
        <v>0</v>
      </c>
      <c r="W48" s="250">
        <f>IFERROR((U48-V48)/V48,0)</f>
        <v>0</v>
      </c>
      <c r="X48" s="247">
        <f>SUM('[3]Sun Country'!$JH$64:$JN$64)</f>
        <v>0</v>
      </c>
      <c r="Y48" s="249">
        <f>SUM('[3]Sun Country'!$IT$64:$IZ$64)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Country'!$JN$43</f>
        <v>436264</v>
      </c>
      <c r="AE48" s="249">
        <f>'[3]Sun Country'!$IZ$43</f>
        <v>479719</v>
      </c>
      <c r="AF48" s="250">
        <f>(AD48-AE48)/AE48</f>
        <v>-9.0584279546984794E-2</v>
      </c>
      <c r="AG48" s="247">
        <f>SUM('[3]Sun Country'!$JH$43:$JN$43)</f>
        <v>2488069</v>
      </c>
      <c r="AH48" s="249">
        <f>SUM('[3]Sun Country'!$IT$43:$IZ$43)</f>
        <v>2662072</v>
      </c>
      <c r="AI48" s="248">
        <f>(AG48-AH48)/AH48</f>
        <v>-6.5363746735625478E-2</v>
      </c>
      <c r="AJ48" s="250">
        <f>AG48/$AG$61</f>
        <v>0.11672174125618666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1219</v>
      </c>
      <c r="D50" s="249">
        <f>SUM(D51:D54)</f>
        <v>1210</v>
      </c>
      <c r="E50" s="250">
        <f t="shared" ref="E50:E54" si="37">(C50-D50)/D50</f>
        <v>7.4380165289256199E-3</v>
      </c>
      <c r="F50" s="249">
        <f>SUM(F51:F54)</f>
        <v>8043</v>
      </c>
      <c r="G50" s="249">
        <f>SUM(G51:G54)</f>
        <v>8081</v>
      </c>
      <c r="H50" s="248">
        <f t="shared" ref="H50:H54" si="38">(F50-G50)/G50</f>
        <v>-4.7023883182774409E-3</v>
      </c>
      <c r="I50" s="250">
        <f>F50/$F$61</f>
        <v>4.421587329510783E-2</v>
      </c>
      <c r="J50" s="246" t="s">
        <v>19</v>
      </c>
      <c r="K50" s="253"/>
      <c r="L50" s="247">
        <f>SUM(L51:L54)</f>
        <v>139284</v>
      </c>
      <c r="M50" s="249">
        <f>SUM(M51:M54)</f>
        <v>146029</v>
      </c>
      <c r="N50" s="250">
        <f t="shared" ref="N50:N54" si="39">(L50-M50)/M50</f>
        <v>-4.6189455519109218E-2</v>
      </c>
      <c r="O50" s="247">
        <f>SUM(O51:O54)</f>
        <v>831138</v>
      </c>
      <c r="P50" s="249">
        <f>SUM(P51:P54)</f>
        <v>886014</v>
      </c>
      <c r="Q50" s="248">
        <f t="shared" ref="Q50:Q54" si="40">(O50-P50)/P50</f>
        <v>-6.1935815912615377E-2</v>
      </c>
      <c r="R50" s="250">
        <f>O50/$O$61</f>
        <v>4.0189080713546724E-2</v>
      </c>
      <c r="S50" s="246" t="s">
        <v>19</v>
      </c>
      <c r="T50" s="253"/>
      <c r="U50" s="247">
        <f>SUM(U51:U54)</f>
        <v>288295</v>
      </c>
      <c r="V50" s="249">
        <f>SUM(V51:V54)</f>
        <v>51279</v>
      </c>
      <c r="W50" s="250">
        <f t="shared" ref="W50:W51" si="41">(U50-V50)/V50</f>
        <v>4.6220870141773434</v>
      </c>
      <c r="X50" s="247">
        <f>SUM(X51:X54)</f>
        <v>557911</v>
      </c>
      <c r="Y50" s="249">
        <f>SUM(Y51:Y54)</f>
        <v>388123</v>
      </c>
      <c r="Z50" s="248">
        <f t="shared" ref="Z50:Z51" si="42">(X50-Y50)/Y50</f>
        <v>0.43745925904932198</v>
      </c>
      <c r="AA50" s="250">
        <f>X50/$X$61</f>
        <v>1.0545117225199522E-2</v>
      </c>
      <c r="AB50" s="246" t="s">
        <v>19</v>
      </c>
      <c r="AC50" s="253"/>
      <c r="AD50" s="247">
        <f>SUM(AD51:AD54)</f>
        <v>144885</v>
      </c>
      <c r="AE50" s="249">
        <f>SUM(AE51:AE54)</f>
        <v>150938</v>
      </c>
      <c r="AF50" s="250">
        <f t="shared" ref="AF50:AF54" si="43">(AD50-AE50)/AE50</f>
        <v>-4.0102558666472325E-2</v>
      </c>
      <c r="AG50" s="247">
        <f>SUM(AG51:AG54)</f>
        <v>867247</v>
      </c>
      <c r="AH50" s="249">
        <f>SUM(AH51:AH54)</f>
        <v>921038</v>
      </c>
      <c r="AI50" s="248">
        <f t="shared" ref="AI50:AI54" si="44">(AG50-AH50)/AH50</f>
        <v>-5.8402584909634563E-2</v>
      </c>
      <c r="AJ50" s="250">
        <f>AG50/$AG$61</f>
        <v>4.0684796096572926E-2</v>
      </c>
    </row>
    <row r="51" spans="1:36" ht="14.1" customHeight="1" x14ac:dyDescent="0.2">
      <c r="A51" s="36"/>
      <c r="B51" s="306" t="s">
        <v>19</v>
      </c>
      <c r="C51" s="251">
        <f>[3]United!$JN$19</f>
        <v>923</v>
      </c>
      <c r="D51" s="2">
        <f>[3]United!$IZ$19+[3]Continental!$IZ$19</f>
        <v>956</v>
      </c>
      <c r="E51" s="63">
        <f t="shared" si="37"/>
        <v>-3.4518828451882845E-2</v>
      </c>
      <c r="F51" s="2">
        <f>SUM([3]United!$JH$19:$JN$19)</f>
        <v>5462</v>
      </c>
      <c r="G51" s="2">
        <f>SUM([3]United!$IT$19:$IZ$19)+SUM([3]Continental!$IT$19:$IZ$19)</f>
        <v>5988</v>
      </c>
      <c r="H51" s="3">
        <f t="shared" si="38"/>
        <v>-8.7842351369405478E-2</v>
      </c>
      <c r="I51" s="63">
        <f>F51/$F$61</f>
        <v>3.0026992408041648E-2</v>
      </c>
      <c r="J51" s="36"/>
      <c r="K51" s="306" t="s">
        <v>19</v>
      </c>
      <c r="L51" s="251">
        <f>[3]United!$JN$41</f>
        <v>119632</v>
      </c>
      <c r="M51" s="2">
        <f>[3]United!$IZ$41+[3]Continental!$IZ$41</f>
        <v>129799</v>
      </c>
      <c r="N51" s="63">
        <f t="shared" si="39"/>
        <v>-7.8328800684134697E-2</v>
      </c>
      <c r="O51" s="251">
        <f>SUM([3]United!$JH$41:$JN$41)</f>
        <v>671078</v>
      </c>
      <c r="P51" s="2">
        <f>SUM([3]United!$IT$41:$IZ$41)+SUM([3]Continental!$IT$41:$IZ$41)</f>
        <v>754331</v>
      </c>
      <c r="Q51" s="3">
        <f t="shared" si="40"/>
        <v>-0.11036666927383337</v>
      </c>
      <c r="R51" s="63">
        <f>O51/$O$61</f>
        <v>3.2449494436646513E-2</v>
      </c>
      <c r="S51" s="36"/>
      <c r="T51" s="306" t="s">
        <v>19</v>
      </c>
      <c r="U51" s="251">
        <f>[3]United!$JN$64</f>
        <v>288295</v>
      </c>
      <c r="V51" s="2">
        <f>[3]United!$IZ$64+[3]Continental!$IZ$64</f>
        <v>51279</v>
      </c>
      <c r="W51" s="63">
        <f t="shared" si="41"/>
        <v>4.6220870141773434</v>
      </c>
      <c r="X51" s="251">
        <f>SUM([3]United!$JH$64:$JN$64)</f>
        <v>557911</v>
      </c>
      <c r="Y51" s="2">
        <f>SUM([3]United!$IT$64:$IZ$64)+SUM([3]Continental!$IT$64:$IZ$64)</f>
        <v>388123</v>
      </c>
      <c r="Z51" s="3">
        <f t="shared" si="42"/>
        <v>0.43745925904932198</v>
      </c>
      <c r="AA51" s="63">
        <f>X51/$X$61</f>
        <v>1.0545117225199522E-2</v>
      </c>
      <c r="AB51" s="36"/>
      <c r="AC51" s="306" t="s">
        <v>19</v>
      </c>
      <c r="AD51" s="251">
        <f>[3]United!$JN$43</f>
        <v>124664</v>
      </c>
      <c r="AE51" s="2">
        <f>[3]United!$IZ$43+[3]Continental!$IZ$43</f>
        <v>134134</v>
      </c>
      <c r="AF51" s="63">
        <f t="shared" si="43"/>
        <v>-7.0601040750294483E-2</v>
      </c>
      <c r="AG51" s="251">
        <f>SUM([3]United!$JH$43:$JN$43)</f>
        <v>701559</v>
      </c>
      <c r="AH51" s="2">
        <f>SUM([3]United!$IT$43:$IZ$43)+SUM([3]Continental!$IT$43:$IZ$43)</f>
        <v>784257</v>
      </c>
      <c r="AI51" s="3">
        <f t="shared" si="44"/>
        <v>-0.10544757649597007</v>
      </c>
      <c r="AJ51" s="63">
        <f>AG51/$AG$61</f>
        <v>3.2911944192041721E-2</v>
      </c>
    </row>
    <row r="52" spans="1:36" ht="14.1" customHeight="1" x14ac:dyDescent="0.2">
      <c r="A52" s="36"/>
      <c r="B52" s="37" t="s">
        <v>51</v>
      </c>
      <c r="C52" s="251">
        <f>[3]MESA_UA!$JN$19</f>
        <v>180</v>
      </c>
      <c r="D52" s="2">
        <f>[3]MESA_UA!$IZ$19</f>
        <v>214</v>
      </c>
      <c r="E52" s="63">
        <f t="shared" si="37"/>
        <v>-0.15887850467289719</v>
      </c>
      <c r="F52" s="2">
        <f>SUM([3]MESA_UA!$JH$19:$JN$19)</f>
        <v>954</v>
      </c>
      <c r="G52" s="2">
        <f>SUM([3]MESA_UA!$IT$19:$IZ$19)</f>
        <v>1127</v>
      </c>
      <c r="H52" s="3">
        <f>(F52-G52)/G52</f>
        <v>-0.15350488021295475</v>
      </c>
      <c r="I52" s="63">
        <f>F52/$F$61</f>
        <v>5.2445534158315149E-3</v>
      </c>
      <c r="J52" s="36"/>
      <c r="K52" s="37" t="s">
        <v>51</v>
      </c>
      <c r="L52" s="251">
        <f>[3]MESA_UA!$JN$41</f>
        <v>12732</v>
      </c>
      <c r="M52" s="2">
        <f>[3]MESA_UA!$IZ$41</f>
        <v>13744</v>
      </c>
      <c r="N52" s="63">
        <f t="shared" si="39"/>
        <v>-7.3632130384167632E-2</v>
      </c>
      <c r="O52" s="251">
        <f>SUM([3]MESA_UA!$JH$41:$JN$41)</f>
        <v>61697</v>
      </c>
      <c r="P52" s="2">
        <f>SUM([3]MESA_UA!$IT$41:$IZ$41)</f>
        <v>70865</v>
      </c>
      <c r="Q52" s="3">
        <f t="shared" si="40"/>
        <v>-0.12937275100543286</v>
      </c>
      <c r="R52" s="63">
        <f>O52/$O$61</f>
        <v>2.9833140980002025E-3</v>
      </c>
      <c r="S52" s="36"/>
      <c r="T52" s="37" t="s">
        <v>51</v>
      </c>
      <c r="U52" s="251">
        <f>[3]MESA_UA!$JN$64</f>
        <v>0</v>
      </c>
      <c r="V52" s="2">
        <f>[3]MESA_UA!$IZ$64</f>
        <v>0</v>
      </c>
      <c r="W52" s="63">
        <f>IFERROR((U52-V52)/V52,0)</f>
        <v>0</v>
      </c>
      <c r="X52" s="251">
        <f>SUM([3]MESA_UA!$JH$64:$JN$64)</f>
        <v>0</v>
      </c>
      <c r="Y52" s="2">
        <f>SUM([3]MESA_UA!$IT$64:$IZ$64)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[3]MESA_UA!$JN$43</f>
        <v>13057</v>
      </c>
      <c r="AE52" s="2">
        <f>[3]MESA_UA!$IZ$43</f>
        <v>14216</v>
      </c>
      <c r="AF52" s="63">
        <f t="shared" si="43"/>
        <v>-8.1527855936972426E-2</v>
      </c>
      <c r="AG52" s="251">
        <f>SUM([3]MESA_UA!$JH$43:$JN$43)</f>
        <v>63682</v>
      </c>
      <c r="AH52" s="2">
        <f>SUM([3]MESA_UA!$IT$43:$IZ$43)</f>
        <v>73453</v>
      </c>
      <c r="AI52" s="3">
        <f t="shared" si="44"/>
        <v>-0.13302383837283704</v>
      </c>
      <c r="AJ52" s="63">
        <f>AG52/$AG$61</f>
        <v>2.9874870538865598E-3</v>
      </c>
    </row>
    <row r="53" spans="1:36" ht="14.1" customHeight="1" x14ac:dyDescent="0.2">
      <c r="A53" s="36"/>
      <c r="B53" s="306" t="s">
        <v>52</v>
      </c>
      <c r="C53" s="251">
        <f>[3]Republic_UA!$JN$19</f>
        <v>2</v>
      </c>
      <c r="D53" s="2">
        <f>[3]Republic_UA!$IZ$19</f>
        <v>4</v>
      </c>
      <c r="E53" s="63">
        <f t="shared" si="37"/>
        <v>-0.5</v>
      </c>
      <c r="F53" s="2">
        <f>SUM([3]Republic_UA!$JH$19:$JN$19)</f>
        <v>918</v>
      </c>
      <c r="G53" s="2">
        <f>SUM([3]Republic_UA!$IT$19:$IZ$19)</f>
        <v>388</v>
      </c>
      <c r="H53" s="3">
        <f t="shared" ref="H53" si="46">(F53-G53)/G53</f>
        <v>1.365979381443299</v>
      </c>
      <c r="I53" s="63">
        <f>F53/$F$61</f>
        <v>5.0466457397624004E-3</v>
      </c>
      <c r="J53" s="36"/>
      <c r="K53" s="306" t="s">
        <v>52</v>
      </c>
      <c r="L53" s="251">
        <f>[3]Republic_UA!$JN$41</f>
        <v>133</v>
      </c>
      <c r="M53" s="2">
        <f>[3]Republic_UA!$IZ$41</f>
        <v>203</v>
      </c>
      <c r="N53" s="63">
        <f t="shared" si="39"/>
        <v>-0.34482758620689657</v>
      </c>
      <c r="O53" s="251">
        <f>SUM([3]Republic_UA!$JH$41:$JN$41)</f>
        <v>56827</v>
      </c>
      <c r="P53" s="2">
        <f>SUM([3]Republic_UA!$IT$41:$IZ$41)</f>
        <v>24973</v>
      </c>
      <c r="Q53" s="3">
        <f t="shared" si="40"/>
        <v>1.2755375805870339</v>
      </c>
      <c r="R53" s="63">
        <f>O53/$O$61</f>
        <v>2.7478287477034134E-3</v>
      </c>
      <c r="S53" s="36"/>
      <c r="T53" s="306" t="s">
        <v>52</v>
      </c>
      <c r="U53" s="251">
        <f>[3]Republic_UA!$JN$64</f>
        <v>0</v>
      </c>
      <c r="V53" s="2">
        <f>[3]Republic_UA!$IZ$64</f>
        <v>0</v>
      </c>
      <c r="W53" s="63">
        <f>IFERROR((U53-V53)/V53,0)</f>
        <v>0</v>
      </c>
      <c r="X53" s="251">
        <f>SUM([3]Republic_UA!$JH$64:$JN$64)</f>
        <v>0</v>
      </c>
      <c r="Y53" s="2">
        <f>SUM([3]Republic_UA!$IT$64:$IZ$64)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[3]Republic_UA!$JN$43</f>
        <v>142</v>
      </c>
      <c r="AE53" s="2">
        <f>[3]Republic_UA!$IZ$43</f>
        <v>229</v>
      </c>
      <c r="AF53" s="63">
        <f t="shared" si="43"/>
        <v>-0.37991266375545851</v>
      </c>
      <c r="AG53" s="251">
        <f>SUM([3]Republic_UA!$JH$43:$JN$43)</f>
        <v>58727</v>
      </c>
      <c r="AH53" s="2">
        <f>SUM([3]Republic_UA!$IT$43:$IZ$43)</f>
        <v>25873</v>
      </c>
      <c r="AI53" s="3">
        <f t="shared" si="44"/>
        <v>1.2698179569435319</v>
      </c>
      <c r="AJ53" s="63">
        <f>AG53/$AG$61</f>
        <v>2.7550352095348134E-3</v>
      </c>
    </row>
    <row r="54" spans="1:36" ht="14.1" customHeight="1" x14ac:dyDescent="0.2">
      <c r="A54" s="36"/>
      <c r="B54" s="37" t="s">
        <v>97</v>
      </c>
      <c r="C54" s="251">
        <f>'[3]Sky West_UA'!$JN$19</f>
        <v>114</v>
      </c>
      <c r="D54" s="2">
        <f>'[3]Sky West_UA'!$IZ$19+'[3]Sky West_CO'!$IZ$19</f>
        <v>36</v>
      </c>
      <c r="E54" s="63">
        <f t="shared" si="37"/>
        <v>2.1666666666666665</v>
      </c>
      <c r="F54" s="2">
        <f>SUM('[3]Sky West_UA'!$JH$19:$JN$19)</f>
        <v>709</v>
      </c>
      <c r="G54" s="2">
        <f>SUM('[3]Sky West_UA'!$IT$19:$IZ$19)+SUM('[3]Sky West_CO'!$IT$19:$IZ$19)</f>
        <v>578</v>
      </c>
      <c r="H54" s="3">
        <f t="shared" si="38"/>
        <v>0.22664359861591696</v>
      </c>
      <c r="I54" s="63">
        <f>F54/$F$61</f>
        <v>3.8976817314722682E-3</v>
      </c>
      <c r="J54" s="36"/>
      <c r="K54" s="37" t="s">
        <v>97</v>
      </c>
      <c r="L54" s="251">
        <f>'[3]Sky West_UA'!$JN$41</f>
        <v>6787</v>
      </c>
      <c r="M54" s="2">
        <f>'[3]Sky West_UA'!$IZ$41+'[3]Sky West_CO'!$IZ$41</f>
        <v>2283</v>
      </c>
      <c r="N54" s="63">
        <f t="shared" si="39"/>
        <v>1.9728427507665354</v>
      </c>
      <c r="O54" s="251">
        <f>SUM('[3]Sky West_UA'!$JH$41:$JN$41)</f>
        <v>41536</v>
      </c>
      <c r="P54" s="2">
        <f>SUM('[3]Sky West_UA'!$IT$41:$IZ$41)+SUM('[3]Sky West_CO'!$IT$41:$IZ$41)</f>
        <v>35845</v>
      </c>
      <c r="Q54" s="3">
        <f t="shared" si="40"/>
        <v>0.1587669130980611</v>
      </c>
      <c r="R54" s="63">
        <f>O54/$O$61</f>
        <v>2.0084434311965962E-3</v>
      </c>
      <c r="S54" s="36"/>
      <c r="T54" s="37" t="s">
        <v>97</v>
      </c>
      <c r="U54" s="251">
        <f>'[3]Sky West_UA'!$JN$64</f>
        <v>0</v>
      </c>
      <c r="V54" s="2">
        <f>'[3]Sky West_UA'!$IZ$64+'[3]Sky West_CO'!$IZ$64</f>
        <v>0</v>
      </c>
      <c r="W54" s="63">
        <f>IFERROR((U54-V54)/V54,0)</f>
        <v>0</v>
      </c>
      <c r="X54" s="251">
        <f>SUM('[3]Sky West_UA'!$JH$64:$JN$64)</f>
        <v>0</v>
      </c>
      <c r="Y54" s="2">
        <f>SUM('[3]Sky West_UA'!$IT$64:$IZ$64)+SUM('[3]Sky West_CO'!$IT$64:$IZ$64)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West_UA'!$JN$43</f>
        <v>7022</v>
      </c>
      <c r="AE54" s="2">
        <f>'[3]Sky West_UA'!$IZ$43+'[3]Sky West_CO'!$IZ$43</f>
        <v>2359</v>
      </c>
      <c r="AF54" s="63">
        <f t="shared" si="43"/>
        <v>1.976685036032217</v>
      </c>
      <c r="AG54" s="251">
        <f>SUM('[3]Sky West_UA'!$JH$43:$JN$43)</f>
        <v>43279</v>
      </c>
      <c r="AH54" s="2">
        <f>SUM('[3]Sky West_UA'!$IT$43:$IZ$43)+SUM('[3]Sky West_CO'!$IT$43:$IZ$43)</f>
        <v>37455</v>
      </c>
      <c r="AI54" s="3">
        <f t="shared" si="44"/>
        <v>0.155493258576959</v>
      </c>
      <c r="AJ54" s="63">
        <f>AG54/$AG$61</f>
        <v>2.0303296411098336E-3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[3]WestJet!$JN$19</f>
        <v>204</v>
      </c>
      <c r="D56" s="249">
        <f>[3]WestJet!$IZ$19</f>
        <v>226</v>
      </c>
      <c r="E56" s="250">
        <f>(C56-D56)/D56</f>
        <v>-9.7345132743362831E-2</v>
      </c>
      <c r="F56" s="249">
        <f>SUM([3]WestJet!$JH$19:$JN$19)</f>
        <v>1122</v>
      </c>
      <c r="G56" s="249">
        <f>SUM([3]WestJet!$IT$19:$IZ$19)</f>
        <v>938</v>
      </c>
      <c r="H56" s="248">
        <f>(F56-G56)/G56</f>
        <v>0.19616204690831557</v>
      </c>
      <c r="I56" s="250">
        <f>F56/$F$61</f>
        <v>6.1681225708207117E-3</v>
      </c>
      <c r="J56" s="246" t="s">
        <v>213</v>
      </c>
      <c r="K56" s="37"/>
      <c r="L56" s="247">
        <f>[3]WestJet!$JN$41</f>
        <v>21650</v>
      </c>
      <c r="M56" s="249">
        <f>[3]WestJet!$IZ$41</f>
        <v>23248</v>
      </c>
      <c r="N56" s="250">
        <f>(L56-M56)/M56</f>
        <v>-6.8737095664143155E-2</v>
      </c>
      <c r="O56" s="247">
        <f>SUM([3]WestJet!$JH$41:$JN$41)</f>
        <v>100850</v>
      </c>
      <c r="P56" s="249">
        <f>SUM([3]WestJet!$IT$41:$IZ$41)</f>
        <v>93427</v>
      </c>
      <c r="Q56" s="248">
        <f>(O56-P56)/P56</f>
        <v>7.9452406691855673E-2</v>
      </c>
      <c r="R56" s="250">
        <f>O56/$O$61</f>
        <v>4.87652927667991E-3</v>
      </c>
      <c r="S56" s="246" t="s">
        <v>213</v>
      </c>
      <c r="T56" s="37"/>
      <c r="U56" s="247">
        <f>[3]WestJet!$JN$64</f>
        <v>0</v>
      </c>
      <c r="V56" s="249">
        <f>[3]WestJet!$IZ$64</f>
        <v>0</v>
      </c>
      <c r="W56" s="250">
        <f>IFERROR((U56-V56)/V56,0)</f>
        <v>0</v>
      </c>
      <c r="X56" s="247">
        <f>SUM([3]WestJet!$JH$64:$JN$64)</f>
        <v>0</v>
      </c>
      <c r="Y56" s="249">
        <f>SUM([3]WestJet!$IT$64:$IZ$64)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[3]WestJet!$JN$43</f>
        <v>21664</v>
      </c>
      <c r="AE56" s="249">
        <f>[3]WestJet!$IZ$43</f>
        <v>23249</v>
      </c>
      <c r="AF56" s="250">
        <f>(AD56-AE56)/AE56</f>
        <v>-6.8174975267753457E-2</v>
      </c>
      <c r="AG56" s="247">
        <f>SUM([3]WestJet!$JH$43:$JN$43)</f>
        <v>100896</v>
      </c>
      <c r="AH56" s="249">
        <f>SUM([3]WestJet!$IT$43:$IZ$43)</f>
        <v>93438</v>
      </c>
      <c r="AI56" s="248">
        <f>(AG56-AH56)/AH56</f>
        <v>7.9817633082899894E-2</v>
      </c>
      <c r="AJ56" s="250">
        <f>AG56/$AG$61</f>
        <v>4.7332918845032872E-3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21342</v>
      </c>
      <c r="D59" s="450">
        <f>+D61-D60</f>
        <v>22059</v>
      </c>
      <c r="E59" s="316">
        <f>(C59-D59)/D59</f>
        <v>-3.2503739970080242E-2</v>
      </c>
      <c r="F59" s="315">
        <f>+F61-F60</f>
        <v>128696</v>
      </c>
      <c r="G59" s="450">
        <f>+G61-G60</f>
        <v>133164</v>
      </c>
      <c r="H59" s="316">
        <f>(F59-G59)/G59</f>
        <v>-3.3552611817007597E-2</v>
      </c>
      <c r="I59" s="341">
        <f>F59/$F$61</f>
        <v>0.70749795220529621</v>
      </c>
      <c r="K59" s="262" t="s">
        <v>131</v>
      </c>
      <c r="L59" s="315">
        <f>+L61-L60</f>
        <v>3042643</v>
      </c>
      <c r="M59" s="450">
        <f>+M61-M60</f>
        <v>3155474</v>
      </c>
      <c r="N59" s="316">
        <f>(L59-M59)/M59</f>
        <v>-3.5757226964950435E-2</v>
      </c>
      <c r="O59" s="315">
        <f>+O61-O60</f>
        <v>17628751</v>
      </c>
      <c r="P59" s="450">
        <f>+P61-P60</f>
        <v>18532959</v>
      </c>
      <c r="Q59" s="339">
        <f>(O59-P59)/P59</f>
        <v>-4.8789186875123396E-2</v>
      </c>
      <c r="R59" s="386">
        <f>+O59/O61</f>
        <v>0.85242558614576336</v>
      </c>
      <c r="S59" s="3"/>
      <c r="T59" s="262" t="s">
        <v>131</v>
      </c>
      <c r="U59" s="315">
        <f>+U61-U60</f>
        <v>8520176.5</v>
      </c>
      <c r="V59" s="315">
        <f>+V61-V60</f>
        <v>6692016.1100000003</v>
      </c>
      <c r="W59" s="316">
        <f>(U59-V59)/V59</f>
        <v>0.2731852942296637</v>
      </c>
      <c r="X59" s="315">
        <f>+X61-X60</f>
        <v>52809095.5</v>
      </c>
      <c r="Y59" s="450">
        <f>+Y61-Y60</f>
        <v>47236287.109999999</v>
      </c>
      <c r="Z59" s="339">
        <f>(X59-Y59)/Y59</f>
        <v>0.11797727406098833</v>
      </c>
      <c r="AA59" s="386">
        <f>+X59/X61</f>
        <v>0.99814863410876753</v>
      </c>
      <c r="AB59" s="3"/>
      <c r="AC59" s="262" t="s">
        <v>131</v>
      </c>
      <c r="AD59" s="315">
        <f>+AD61-AD60</f>
        <v>3131566</v>
      </c>
      <c r="AE59" s="315">
        <f>+AE61-AE60</f>
        <v>3229266</v>
      </c>
      <c r="AF59" s="341">
        <f>(AD59-AE59)/AE59</f>
        <v>-3.0254553201873119E-2</v>
      </c>
      <c r="AG59" s="315">
        <f>+AG61-AG60</f>
        <v>18171065</v>
      </c>
      <c r="AH59" s="315">
        <f>+AH61-AH60</f>
        <v>19034175</v>
      </c>
      <c r="AI59" s="341">
        <f>(AG59-AH59)/AH59</f>
        <v>-4.534528026562748E-2</v>
      </c>
      <c r="AJ59" s="386">
        <f>+AG59/AG61</f>
        <v>0.85245157882653144</v>
      </c>
    </row>
    <row r="60" spans="1:36" ht="14.1" customHeight="1" x14ac:dyDescent="0.2">
      <c r="B60" s="161" t="s">
        <v>132</v>
      </c>
      <c r="C60" s="317">
        <f>+C32+C31+C19+C54+C52+C23+C20+C53+C21+C22+C6</f>
        <v>7819</v>
      </c>
      <c r="D60" s="451">
        <f>+D32+D31+D19+D54+D52+D23+D20+D53+D21+D22+D6</f>
        <v>6334</v>
      </c>
      <c r="E60" s="263">
        <f>(C60-D60)/D60</f>
        <v>0.23444900536785601</v>
      </c>
      <c r="F60" s="317">
        <f>+F32+F31+F19+F54+F52+F23+F20+F53+F21+F22+F6</f>
        <v>53207</v>
      </c>
      <c r="G60" s="451">
        <f>+G32+G31+G19+G54+G52+G23+G20+G53+G21+G22+G6</f>
        <v>45510</v>
      </c>
      <c r="H60" s="263">
        <f>(F60-G60)/G60</f>
        <v>0.16912766424961548</v>
      </c>
      <c r="I60" s="342">
        <f>F60/$F$61</f>
        <v>0.29250204779470379</v>
      </c>
      <c r="K60" s="161" t="s">
        <v>132</v>
      </c>
      <c r="L60" s="317">
        <f>+L32+L31+L19+L54+L52+L23+L20+L53+L21+L22+L6</f>
        <v>503030</v>
      </c>
      <c r="M60" s="451">
        <f>+M32+M31+M19+M54+M52+M23+M20+M53+M21+M22+M6</f>
        <v>369944</v>
      </c>
      <c r="N60" s="263">
        <f>(L60-M60)/M60</f>
        <v>0.35974633998659256</v>
      </c>
      <c r="O60" s="317">
        <f>+O32+O31+O19+O54+O52+O23+O20+O53+O21+O22+O6</f>
        <v>3051941</v>
      </c>
      <c r="P60" s="451">
        <f>+P32+P31+P19+P54+P52+P23+P20+P53+P21+P22+P6</f>
        <v>2611346</v>
      </c>
      <c r="Q60" s="338">
        <f>(O60-P60)/P60</f>
        <v>0.16872333271806952</v>
      </c>
      <c r="R60" s="387">
        <f>+O60/O61</f>
        <v>0.14757441385423659</v>
      </c>
      <c r="S60" s="3"/>
      <c r="T60" s="161" t="s">
        <v>132</v>
      </c>
      <c r="U60" s="317">
        <f>+U32+U31+U19+U54+U52+U23+U20+U53+U21+U22+U6</f>
        <v>5091.2</v>
      </c>
      <c r="V60" s="317">
        <f>+V32+V31+V19+V54+V52+V23+V20+V53+V21+V22+V6</f>
        <v>4332.3999999999996</v>
      </c>
      <c r="W60" s="263">
        <f>(U60-V60)/V60</f>
        <v>0.17514541593574007</v>
      </c>
      <c r="X60" s="317">
        <f>+X32+X31+X19+X54+X52+X23+X20+X53+X21+X22+X6</f>
        <v>97950.3</v>
      </c>
      <c r="Y60" s="451">
        <f>+Y32+Y31+Y19+Y54+Y52+Y23+Y20+Y53+Y21+Y22+Y6</f>
        <v>113383.3</v>
      </c>
      <c r="Z60" s="338">
        <f>(X60-Y60)/Y60</f>
        <v>-0.1361135193630808</v>
      </c>
      <c r="AA60" s="387">
        <f>+X60/X61</f>
        <v>1.8513658912325814E-3</v>
      </c>
      <c r="AB60" s="3"/>
      <c r="AC60" s="161" t="s">
        <v>132</v>
      </c>
      <c r="AD60" s="317">
        <f>+AD32+AD31+AD19+AD54+AD52+AD23+AD20+AD53+AD21+AD22+AD6</f>
        <v>516854</v>
      </c>
      <c r="AE60" s="317">
        <f>+AE32+AE31+AE19+AE54+AE52+AE23+AE20+AE53+AE21+AE22+AE6</f>
        <v>380091</v>
      </c>
      <c r="AF60" s="342">
        <f>(AD60-AE60)/AE60</f>
        <v>0.35981646500443315</v>
      </c>
      <c r="AG60" s="317">
        <f>+AG32+AG31+AG19+AG54+AG52+AG23+AG20+AG53+AG21+AG22+AG6</f>
        <v>3145178</v>
      </c>
      <c r="AH60" s="317">
        <f>+AH32+AH31+AH19+AH54+AH52+AH23+AH20+AH53+AH21+AH22+AH6</f>
        <v>2692565</v>
      </c>
      <c r="AI60" s="342">
        <f>(AG60-AH60)/AH60</f>
        <v>0.16809733469758389</v>
      </c>
      <c r="AJ60" s="387">
        <f>+AG60/AG61</f>
        <v>0.1475484211734685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29161</v>
      </c>
      <c r="D61" s="445">
        <f>D50+D48+D44+D36+D34+D29+D17+D14+D4+D46+D25+D40+D8+D38+D27+D12+D56+D10+D42</f>
        <v>28393</v>
      </c>
      <c r="E61" s="319">
        <f>(C61-D61)/D61</f>
        <v>2.7048920508576057E-2</v>
      </c>
      <c r="F61" s="318">
        <f>F50+F48+F44+F36+F34+F29+F17+F14+F4+F46+F25+F40+F8+F38+F27+F12+F56+F10+F42</f>
        <v>181903</v>
      </c>
      <c r="G61" s="445">
        <f>G50+G48+G44+G36+G34+G29+G17+G14+G4+G46+G25+G40+G8+G38+G27+G12+G56+G10+G42</f>
        <v>178674</v>
      </c>
      <c r="H61" s="319">
        <f>(F61-G61)/G61</f>
        <v>1.8072019432038237E-2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3545673</v>
      </c>
      <c r="M61" s="445">
        <f>M50+M48+M44+M36+M34+M29+M17+M14+M4+M46+M25+M40+M8+M38+M27+M12+M56+M10+M42</f>
        <v>3525418</v>
      </c>
      <c r="N61" s="319">
        <f>(L61-M61)/M61</f>
        <v>5.745417990150388E-3</v>
      </c>
      <c r="O61" s="318">
        <f>O50+O48+O44+O36+O34+O29+O17+O14+O4+O46+O25+O40+O8+O38+O27+O12+O56+O10+O42</f>
        <v>20680692</v>
      </c>
      <c r="P61" s="445">
        <f>P50+P48+P44+P36+P34+P29+P17+P14+P4+P46+P25+P40+P8+P38+P27+P12+P56+P10+P42</f>
        <v>21144305</v>
      </c>
      <c r="Q61" s="385">
        <f>(O61-P61)/P61</f>
        <v>-2.1926140395723576E-2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8525267.6999999993</v>
      </c>
      <c r="V61" s="445">
        <f>V50+V48+V44+V36+V34+V29+V17+V14+V4+V46+V25+V40+V8+V38+V27+V12+V56+V10+V42</f>
        <v>6696348.5100000007</v>
      </c>
      <c r="W61" s="319">
        <f>(U61-V61)/V61</f>
        <v>0.27312186444131153</v>
      </c>
      <c r="X61" s="318">
        <f>X50+X48+X44+X36+X34+X29+X17+X14+X4+X46+X25+X40+X8+X38+X27+X12+X56+X10+X42</f>
        <v>52907045.799999997</v>
      </c>
      <c r="Y61" s="445">
        <f>Y50+Y48+Y44+Y36+Y34+Y29+Y17+Y14+Y4+Y46+Y25+Y40+Y8+Y38+Y27+Y12+Y56+Y10+Y42</f>
        <v>47349670.409999996</v>
      </c>
      <c r="Z61" s="385">
        <f>(X61-Y61)/Y61</f>
        <v>0.11736882943173164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3648420</v>
      </c>
      <c r="AE61" s="445">
        <f>AE50+AE48+AE44+AE36+AE34+AE29+AE17+AE14+AE4+AE46+AE25+AE40+AE8+AE38+AE27+AE12+AE56+AE10+AE42</f>
        <v>3609357</v>
      </c>
      <c r="AF61" s="343">
        <f>(AD61-AE61)/AE61</f>
        <v>1.082270332361138E-2</v>
      </c>
      <c r="AG61" s="318">
        <f>AG50+AG48+AG44+AG36+AG34+AG29+AG17+AG14+AG4+AG46+AG25+AG40+AG8+AG38+AG27+AG12+AG56+AG10+AG42</f>
        <v>21316243</v>
      </c>
      <c r="AH61" s="445">
        <f>AH50+AH48+AH44+AH36+AH34+AH29+AH17+AH14+AH4+AH46+AH25+AH40+AH8+AH38+AH27+AH12+AH56+AH10+AH42</f>
        <v>21726740</v>
      </c>
      <c r="AI61" s="343">
        <f>(AG61-AH61)/AH61</f>
        <v>-1.8893630613704589E-2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July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Q10" sqref="Q10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45839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[3]American!$JN$22</f>
        <v>60411</v>
      </c>
      <c r="C4" s="11">
        <f>[3]Delta!$JN$22+[3]Delta!$JN$32</f>
        <v>1024161</v>
      </c>
      <c r="D4" s="11">
        <f>[3]United!$JN$22</f>
        <v>60878</v>
      </c>
      <c r="E4" s="11">
        <f>[3]Spirit!$JN$22</f>
        <v>6922</v>
      </c>
      <c r="F4" s="11">
        <f>[3]Condor!$JN$22+[3]Condor!$JN$32</f>
        <v>0</v>
      </c>
      <c r="G4" s="11">
        <f>'[3]Air France'!$JN$32</f>
        <v>7387</v>
      </c>
      <c r="H4" s="11">
        <f>'[3]Jet Blue'!$JN$22</f>
        <v>0</v>
      </c>
      <c r="I4" s="11">
        <f>[3]KLM!$JN$22+[3]KLM!$JN$32</f>
        <v>2941</v>
      </c>
      <c r="J4" s="11">
        <f>[3]Lufthansa!$JN$22+[3]Lufthansa!$JN$32</f>
        <v>4211</v>
      </c>
      <c r="K4" s="11">
        <f>'Other Major Airline Stats'!L5</f>
        <v>351366</v>
      </c>
      <c r="L4" s="195">
        <f>SUM(B4:K4)</f>
        <v>1518277</v>
      </c>
    </row>
    <row r="5" spans="1:21" x14ac:dyDescent="0.2">
      <c r="A5" s="43" t="s">
        <v>31</v>
      </c>
      <c r="B5" s="7">
        <f>[3]American!$JN$23</f>
        <v>61548</v>
      </c>
      <c r="C5" s="7">
        <f>[3]Delta!$JN$23+[3]Delta!$JN$33</f>
        <v>1029660</v>
      </c>
      <c r="D5" s="7">
        <f>[3]United!$JN$23</f>
        <v>58754</v>
      </c>
      <c r="E5" s="7">
        <f>[3]Spirit!$JN$23</f>
        <v>7034</v>
      </c>
      <c r="F5" s="7">
        <f>[3]Condor!$JN$23+[3]Condor!$JN$33</f>
        <v>0</v>
      </c>
      <c r="G5" s="7">
        <f>'[3]Air France'!$JN$33</f>
        <v>6401</v>
      </c>
      <c r="H5" s="7">
        <f>'[3]Jet Blue'!$JN$23</f>
        <v>0</v>
      </c>
      <c r="I5" s="7">
        <f>[3]KLM!$JN$23+[3]KLM!$JN$33</f>
        <v>2878</v>
      </c>
      <c r="J5" s="7">
        <f>[3]Lufthansa!$JN$23+[3]Lufthansa!$JN$33</f>
        <v>3813</v>
      </c>
      <c r="K5" s="7">
        <f>'Other Major Airline Stats'!L6</f>
        <v>354278</v>
      </c>
      <c r="L5" s="196">
        <f>SUM(B5:K5)</f>
        <v>1524366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121959</v>
      </c>
      <c r="C6" s="23">
        <f t="shared" si="0"/>
        <v>2053821</v>
      </c>
      <c r="D6" s="23">
        <f t="shared" si="0"/>
        <v>119632</v>
      </c>
      <c r="E6" s="23">
        <f t="shared" si="0"/>
        <v>13956</v>
      </c>
      <c r="F6" s="23">
        <f t="shared" ref="F6:I6" si="1">SUM(F4:F5)</f>
        <v>0</v>
      </c>
      <c r="G6" s="23">
        <f t="shared" si="1"/>
        <v>13788</v>
      </c>
      <c r="H6" s="23">
        <f t="shared" ref="H6" si="2">SUM(H4:H5)</f>
        <v>0</v>
      </c>
      <c r="I6" s="23">
        <f t="shared" si="1"/>
        <v>5819</v>
      </c>
      <c r="J6" s="23">
        <f t="shared" ref="J6" si="3">SUM(J4:J5)</f>
        <v>8024</v>
      </c>
      <c r="K6" s="23">
        <f>SUM(K4:K5)</f>
        <v>705644</v>
      </c>
      <c r="L6" s="197">
        <f>SUM(B6:K6)</f>
        <v>3042643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[3]American!$JN$27</f>
        <v>1931</v>
      </c>
      <c r="C9" s="11">
        <f>[3]Delta!$JN$27+[3]Delta!$JN$37</f>
        <v>32850</v>
      </c>
      <c r="D9" s="11">
        <f>[3]United!$JN$27</f>
        <v>2433</v>
      </c>
      <c r="E9" s="11">
        <f>[3]Spirit!$JN$27</f>
        <v>54</v>
      </c>
      <c r="F9" s="11">
        <f>[3]Condor!$JN$27+[3]Condor!$JN$37</f>
        <v>0</v>
      </c>
      <c r="G9" s="11">
        <f>'[3]Air France'!$JN$37</f>
        <v>24</v>
      </c>
      <c r="H9" s="11">
        <f>'[3]Jet Blue'!$JN$27</f>
        <v>0</v>
      </c>
      <c r="I9" s="11">
        <f>[3]KLM!$JN$27+[3]KLM!$JN$37</f>
        <v>0</v>
      </c>
      <c r="J9" s="11">
        <f>[3]Lufthansa!$JN$27+[3]Lufthansa!$JN$37</f>
        <v>28</v>
      </c>
      <c r="K9" s="11">
        <f>'Other Major Airline Stats'!L10</f>
        <v>6625</v>
      </c>
      <c r="L9" s="195">
        <f>SUM(B9:K9)</f>
        <v>43945</v>
      </c>
      <c r="O9" s="219"/>
    </row>
    <row r="10" spans="1:21" x14ac:dyDescent="0.2">
      <c r="A10" s="43" t="s">
        <v>33</v>
      </c>
      <c r="B10" s="7">
        <f>[3]American!$JN$28</f>
        <v>1952</v>
      </c>
      <c r="C10" s="7">
        <f>[3]Delta!$JN$28+[3]Delta!$JN$38</f>
        <v>33140</v>
      </c>
      <c r="D10" s="7">
        <f>[3]United!$JN$28</f>
        <v>2599</v>
      </c>
      <c r="E10" s="7">
        <f>[3]Spirit!$JN$28</f>
        <v>67</v>
      </c>
      <c r="F10" s="7">
        <f>[3]Condor!$JN$28+[3]Condor!$JN$38</f>
        <v>0</v>
      </c>
      <c r="G10" s="7">
        <f>'[3]Air France'!$JN$38</f>
        <v>0</v>
      </c>
      <c r="H10" s="7">
        <f>'[3]Jet Blue'!$JN$28</f>
        <v>0</v>
      </c>
      <c r="I10" s="7">
        <f>[3]KLM!$JN$28+[3]KLM!$JN$38</f>
        <v>0</v>
      </c>
      <c r="J10" s="7">
        <f>[3]Lufthansa!$JN$28+[3]Lufthansa!$JN$38</f>
        <v>38</v>
      </c>
      <c r="K10" s="7">
        <f>'Other Major Airline Stats'!L11</f>
        <v>7182</v>
      </c>
      <c r="L10" s="196">
        <f>SUM(B10:K10)</f>
        <v>44978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3883</v>
      </c>
      <c r="C11" s="198">
        <f t="shared" si="4"/>
        <v>65990</v>
      </c>
      <c r="D11" s="198">
        <f t="shared" si="4"/>
        <v>5032</v>
      </c>
      <c r="E11" s="198">
        <f t="shared" si="4"/>
        <v>121</v>
      </c>
      <c r="F11" s="198">
        <f t="shared" ref="F11:I11" si="5">SUM(F9:F10)</f>
        <v>0</v>
      </c>
      <c r="G11" s="198">
        <f t="shared" si="5"/>
        <v>24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66</v>
      </c>
      <c r="K11" s="198">
        <f t="shared" si="4"/>
        <v>13807</v>
      </c>
      <c r="L11" s="199">
        <f>SUM(B11:K11)</f>
        <v>88923</v>
      </c>
    </row>
    <row r="12" spans="1:21" x14ac:dyDescent="0.2">
      <c r="C12" s="219"/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[3]American!$JN$4</f>
        <v>434</v>
      </c>
      <c r="C15" s="11">
        <f>[3]Delta!$JN$4+[3]Delta!$JN$15</f>
        <v>7122</v>
      </c>
      <c r="D15" s="11">
        <f>[3]United!$JN$4</f>
        <v>459</v>
      </c>
      <c r="E15" s="11">
        <f>[3]Spirit!$JN$4</f>
        <v>39</v>
      </c>
      <c r="F15" s="11">
        <f>[3]Condor!$JN$15</f>
        <v>0</v>
      </c>
      <c r="G15" s="11">
        <f>'[3]Air France'!$JN$15</f>
        <v>29</v>
      </c>
      <c r="H15" s="11">
        <f>'[3]Jet Blue'!$JN$4</f>
        <v>0</v>
      </c>
      <c r="I15" s="11">
        <f>[3]KLM!$JN$4+[3]KLM!$JN$15</f>
        <v>11</v>
      </c>
      <c r="J15" s="11">
        <f>[3]Lufthansa!$JN$4+[3]Lufthansa!$JN$15</f>
        <v>16</v>
      </c>
      <c r="K15" s="11">
        <f>'Other Major Airline Stats'!L16</f>
        <v>2519</v>
      </c>
      <c r="L15" s="16">
        <f>SUM(B15:K15)</f>
        <v>10629</v>
      </c>
      <c r="O15" s="452"/>
    </row>
    <row r="16" spans="1:21" x14ac:dyDescent="0.2">
      <c r="A16" s="43" t="s">
        <v>23</v>
      </c>
      <c r="B16" s="7">
        <f>[3]American!$JN$5</f>
        <v>434</v>
      </c>
      <c r="C16" s="7">
        <f>[3]Delta!$JN$5+[3]Delta!$JN$16</f>
        <v>7091</v>
      </c>
      <c r="D16" s="7">
        <f>[3]United!$JN$5</f>
        <v>455</v>
      </c>
      <c r="E16" s="7">
        <f>[3]Spirit!$JN$5</f>
        <v>39</v>
      </c>
      <c r="F16" s="7">
        <f>[3]Condor!$JN$5+[3]Condor!$JN$16</f>
        <v>0</v>
      </c>
      <c r="G16" s="7">
        <f>'[3]Air France'!$JN$16</f>
        <v>29</v>
      </c>
      <c r="H16" s="7">
        <f>'[3]Jet Blue'!$JN$5</f>
        <v>0</v>
      </c>
      <c r="I16" s="7">
        <f>[3]KLM!$JN$5+[3]KLM!$JN$16</f>
        <v>11</v>
      </c>
      <c r="J16" s="7">
        <f>[3]Lufthansa!$JN$5+[3]Lufthansa!$JN$16</f>
        <v>16</v>
      </c>
      <c r="K16" s="7">
        <f>'Other Major Airline Stats'!L17</f>
        <v>2520</v>
      </c>
      <c r="L16" s="22">
        <f>SUM(B16:K16)</f>
        <v>10595</v>
      </c>
      <c r="N16" s="452"/>
    </row>
    <row r="17" spans="1:14" x14ac:dyDescent="0.2">
      <c r="A17" s="43" t="s">
        <v>24</v>
      </c>
      <c r="B17" s="202">
        <f t="shared" ref="B17:K17" si="8">SUM(B15:B16)</f>
        <v>868</v>
      </c>
      <c r="C17" s="200">
        <f t="shared" si="8"/>
        <v>14213</v>
      </c>
      <c r="D17" s="200">
        <f t="shared" si="8"/>
        <v>914</v>
      </c>
      <c r="E17" s="200">
        <f t="shared" si="8"/>
        <v>78</v>
      </c>
      <c r="F17" s="200">
        <f t="shared" ref="F17:I17" si="9">SUM(F15:F16)</f>
        <v>0</v>
      </c>
      <c r="G17" s="200">
        <f t="shared" si="9"/>
        <v>58</v>
      </c>
      <c r="H17" s="200">
        <f t="shared" ref="H17" si="10">SUM(H15:H16)</f>
        <v>0</v>
      </c>
      <c r="I17" s="200">
        <f t="shared" si="9"/>
        <v>22</v>
      </c>
      <c r="J17" s="200">
        <f t="shared" ref="J17" si="11">SUM(J15:J16)</f>
        <v>32</v>
      </c>
      <c r="K17" s="200">
        <f t="shared" si="8"/>
        <v>5039</v>
      </c>
      <c r="L17" s="201">
        <f>SUM(B17:K17)</f>
        <v>21224</v>
      </c>
      <c r="N17" s="452"/>
    </row>
    <row r="18" spans="1:14" x14ac:dyDescent="0.2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">
      <c r="A19" s="43" t="s">
        <v>25</v>
      </c>
      <c r="B19" s="11">
        <f>[3]American!$JN$8</f>
        <v>0</v>
      </c>
      <c r="C19" s="11">
        <f>[3]Delta!$JN$8</f>
        <v>5</v>
      </c>
      <c r="D19" s="11">
        <f>[3]United!$JN$8</f>
        <v>3</v>
      </c>
      <c r="E19" s="11">
        <f>[3]Spirit!$JN$8+[3]Spirit!$JN$15</f>
        <v>0</v>
      </c>
      <c r="F19" s="11">
        <f>[3]Condor!$JN$8</f>
        <v>0</v>
      </c>
      <c r="G19" s="11">
        <f>'[3]Air France'!$JN$8</f>
        <v>0</v>
      </c>
      <c r="H19" s="11">
        <f>'[3]Jet Blue'!$JN$8</f>
        <v>0</v>
      </c>
      <c r="I19" s="11">
        <f>[3]KLM!$JN$8</f>
        <v>0</v>
      </c>
      <c r="J19" s="11">
        <f>[3]Lufthansa!$JN$8</f>
        <v>0</v>
      </c>
      <c r="K19" s="11">
        <f>'Other Major Airline Stats'!L20</f>
        <v>33</v>
      </c>
      <c r="L19" s="16">
        <f>SUM(B19:K19)</f>
        <v>41</v>
      </c>
    </row>
    <row r="20" spans="1:14" x14ac:dyDescent="0.2">
      <c r="A20" s="43" t="s">
        <v>26</v>
      </c>
      <c r="B20" s="7">
        <f>[3]American!$JN$9</f>
        <v>0</v>
      </c>
      <c r="C20" s="7">
        <f>[3]Delta!$JN$9</f>
        <v>37</v>
      </c>
      <c r="D20" s="7">
        <f>[3]United!$JN$9</f>
        <v>6</v>
      </c>
      <c r="E20" s="7">
        <f>[3]Spirit!$JN$9</f>
        <v>0</v>
      </c>
      <c r="F20" s="7">
        <f>[3]Condor!$JN$9</f>
        <v>0</v>
      </c>
      <c r="G20" s="7">
        <f>'[3]Air France'!$JN$9</f>
        <v>0</v>
      </c>
      <c r="H20" s="7">
        <f>'[3]Jet Blue'!$JN$9</f>
        <v>0</v>
      </c>
      <c r="I20" s="7">
        <f>[3]KLM!$JN$9</f>
        <v>0</v>
      </c>
      <c r="J20" s="7">
        <f>[3]Lufthansa!$JN$9</f>
        <v>0</v>
      </c>
      <c r="K20" s="7">
        <f>'Other Major Airline Stats'!L21</f>
        <v>34</v>
      </c>
      <c r="L20" s="22">
        <f>SUM(B20:K20)</f>
        <v>77</v>
      </c>
    </row>
    <row r="21" spans="1:14" x14ac:dyDescent="0.2">
      <c r="A21" s="43" t="s">
        <v>27</v>
      </c>
      <c r="B21" s="202">
        <f t="shared" ref="B21:K21" si="12">SUM(B19:B20)</f>
        <v>0</v>
      </c>
      <c r="C21" s="200">
        <f t="shared" si="12"/>
        <v>42</v>
      </c>
      <c r="D21" s="200">
        <f t="shared" si="12"/>
        <v>9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67</v>
      </c>
      <c r="L21" s="137">
        <f>SUM(B21:K21)</f>
        <v>118</v>
      </c>
    </row>
    <row r="22" spans="1:14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 x14ac:dyDescent="0.3">
      <c r="A23" s="44" t="s">
        <v>28</v>
      </c>
      <c r="B23" s="17">
        <f t="shared" ref="B23:K23" si="16">B17+B21</f>
        <v>868</v>
      </c>
      <c r="C23" s="17">
        <f t="shared" si="16"/>
        <v>14255</v>
      </c>
      <c r="D23" s="17">
        <f t="shared" si="16"/>
        <v>923</v>
      </c>
      <c r="E23" s="17">
        <f>E17+E21</f>
        <v>78</v>
      </c>
      <c r="F23" s="17">
        <f t="shared" ref="F23:I23" si="17">F17+F21</f>
        <v>0</v>
      </c>
      <c r="G23" s="17">
        <f t="shared" si="17"/>
        <v>58</v>
      </c>
      <c r="H23" s="17">
        <f t="shared" ref="H23" si="18">H17+H21</f>
        <v>0</v>
      </c>
      <c r="I23" s="17">
        <f t="shared" si="17"/>
        <v>22</v>
      </c>
      <c r="J23" s="17">
        <f t="shared" ref="J23" si="19">J17+J21</f>
        <v>32</v>
      </c>
      <c r="K23" s="17">
        <f t="shared" si="16"/>
        <v>5106</v>
      </c>
      <c r="L23" s="18">
        <f>SUM(B23:K23)</f>
        <v>21342</v>
      </c>
    </row>
    <row r="25" spans="1:14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">
      <c r="A28" s="43" t="s">
        <v>37</v>
      </c>
      <c r="B28" s="11">
        <f>[3]American!$JN$47</f>
        <v>16997</v>
      </c>
      <c r="C28" s="11">
        <f>[3]Delta!$JN$47</f>
        <v>4005767</v>
      </c>
      <c r="D28" s="11">
        <f>[3]United!$JN$47</f>
        <v>61410</v>
      </c>
      <c r="E28" s="11">
        <f>[3]Spirit!$JN$47</f>
        <v>0</v>
      </c>
      <c r="F28" s="11">
        <f>[3]Condor!$JN$47</f>
        <v>0</v>
      </c>
      <c r="G28" s="11">
        <f>'[3]Air France'!$JN$47</f>
        <v>458206</v>
      </c>
      <c r="H28" s="11">
        <f>'[3]Jet Blue'!$JN$47</f>
        <v>0</v>
      </c>
      <c r="I28" s="11">
        <f>[3]KLM!$JN$47</f>
        <v>240994</v>
      </c>
      <c r="J28" s="11">
        <f>[3]Lufthansa!$JN$47</f>
        <v>252582</v>
      </c>
      <c r="K28" s="11">
        <f>'Other Major Airline Stats'!L28</f>
        <v>230786</v>
      </c>
      <c r="L28" s="16">
        <f>SUM(B28:K28)</f>
        <v>5266742</v>
      </c>
    </row>
    <row r="29" spans="1:14" x14ac:dyDescent="0.2">
      <c r="A29" s="43" t="s">
        <v>38</v>
      </c>
      <c r="B29" s="7">
        <f>[3]American!$JN$48</f>
        <v>4396</v>
      </c>
      <c r="C29" s="7">
        <f>[3]Delta!$JN$48</f>
        <v>83571</v>
      </c>
      <c r="D29" s="7">
        <f>[3]United!$JN$48</f>
        <v>71485</v>
      </c>
      <c r="E29" s="7">
        <f>[3]Spirit!$JN$48</f>
        <v>0</v>
      </c>
      <c r="F29" s="7">
        <f>[3]Condor!$JN$48</f>
        <v>0</v>
      </c>
      <c r="G29" s="7">
        <f>'[3]Air France'!$JN$48</f>
        <v>0</v>
      </c>
      <c r="H29" s="7">
        <f>'[3]Jet Blue'!$JN$48</f>
        <v>0</v>
      </c>
      <c r="I29" s="7">
        <f>[3]KLM!$JN$48</f>
        <v>0</v>
      </c>
      <c r="J29" s="7">
        <f>[3]Lufthansa!$JN$48</f>
        <v>0</v>
      </c>
      <c r="K29" s="7">
        <f>'Other Major Airline Stats'!L29</f>
        <v>534.5</v>
      </c>
      <c r="L29" s="22">
        <f>SUM(B29:K29)</f>
        <v>159986.5</v>
      </c>
    </row>
    <row r="30" spans="1:14" x14ac:dyDescent="0.2">
      <c r="A30" s="47" t="s">
        <v>39</v>
      </c>
      <c r="B30" s="202">
        <f t="shared" ref="B30:K30" si="20">SUM(B28:B29)</f>
        <v>21393</v>
      </c>
      <c r="C30" s="202">
        <f t="shared" si="20"/>
        <v>4089338</v>
      </c>
      <c r="D30" s="202">
        <f t="shared" si="20"/>
        <v>132895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458206</v>
      </c>
      <c r="H30" s="202">
        <f t="shared" ref="H30" si="22">SUM(H28:H29)</f>
        <v>0</v>
      </c>
      <c r="I30" s="202">
        <f t="shared" si="21"/>
        <v>240994</v>
      </c>
      <c r="J30" s="202">
        <f t="shared" ref="J30" si="23">SUM(J28:J29)</f>
        <v>252582</v>
      </c>
      <c r="K30" s="202">
        <f t="shared" si="20"/>
        <v>231320.5</v>
      </c>
      <c r="L30" s="16">
        <f>SUM(B30:K30)</f>
        <v>5426728.5</v>
      </c>
    </row>
    <row r="31" spans="1:14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[3]American!$JN$52</f>
        <v>7718</v>
      </c>
      <c r="C33" s="11">
        <f>[3]Delta!$JN$52</f>
        <v>2464512</v>
      </c>
      <c r="D33" s="11">
        <f>[3]United!$JN$52</f>
        <v>45516</v>
      </c>
      <c r="E33" s="11">
        <f>[3]Spirit!$JN$52</f>
        <v>0</v>
      </c>
      <c r="F33" s="11">
        <f>[3]Condor!$JN$52</f>
        <v>0</v>
      </c>
      <c r="G33" s="11">
        <f>'[3]Air France'!$JN$52</f>
        <v>10055</v>
      </c>
      <c r="H33" s="11">
        <f>'[3]Jet Blue'!$JN$52</f>
        <v>0</v>
      </c>
      <c r="I33" s="11">
        <f>[3]KLM!$JN$52</f>
        <v>2650</v>
      </c>
      <c r="J33" s="11">
        <f>[3]Lufthansa!$JN$52</f>
        <v>64314</v>
      </c>
      <c r="K33" s="11">
        <f>'Other Major Airline Stats'!L33</f>
        <v>60466</v>
      </c>
      <c r="L33" s="16">
        <f t="shared" si="24"/>
        <v>2655231</v>
      </c>
    </row>
    <row r="34" spans="1:12" x14ac:dyDescent="0.2">
      <c r="A34" s="43" t="s">
        <v>38</v>
      </c>
      <c r="B34" s="7">
        <f>[3]American!$JN$53</f>
        <v>22631</v>
      </c>
      <c r="C34" s="7">
        <f>[3]Delta!$JN$53</f>
        <v>293433</v>
      </c>
      <c r="D34" s="7">
        <f>[3]United!$JN$53</f>
        <v>109884</v>
      </c>
      <c r="E34" s="7">
        <f>[3]Spirit!$JN$53</f>
        <v>0</v>
      </c>
      <c r="F34" s="7">
        <f>[3]Condor!$JN$53</f>
        <v>0</v>
      </c>
      <c r="G34" s="7">
        <f>'[3]Air France'!$JN$53</f>
        <v>0</v>
      </c>
      <c r="H34" s="7">
        <f>'[3]Jet Blue'!$JN$53</f>
        <v>0</v>
      </c>
      <c r="I34" s="7">
        <f>[3]KLM!$JN$53</f>
        <v>0</v>
      </c>
      <c r="J34" s="7">
        <f>[3]Lufthansa!$JN$53</f>
        <v>0</v>
      </c>
      <c r="K34" s="7">
        <f>'Other Major Airline Stats'!L34</f>
        <v>12269</v>
      </c>
      <c r="L34" s="22">
        <f t="shared" si="24"/>
        <v>438217</v>
      </c>
    </row>
    <row r="35" spans="1:12" x14ac:dyDescent="0.2">
      <c r="A35" s="47" t="s">
        <v>41</v>
      </c>
      <c r="B35" s="202">
        <f t="shared" ref="B35:K35" si="25">SUM(B33:B34)</f>
        <v>30349</v>
      </c>
      <c r="C35" s="202">
        <f t="shared" si="25"/>
        <v>2757945</v>
      </c>
      <c r="D35" s="202">
        <f t="shared" si="25"/>
        <v>155400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10055</v>
      </c>
      <c r="H35" s="202">
        <f t="shared" ref="H35" si="27">SUM(H33:H34)</f>
        <v>0</v>
      </c>
      <c r="I35" s="202">
        <f t="shared" si="26"/>
        <v>2650</v>
      </c>
      <c r="J35" s="202">
        <f t="shared" ref="J35" si="28">SUM(J33:J34)</f>
        <v>64314</v>
      </c>
      <c r="K35" s="202">
        <f t="shared" si="25"/>
        <v>72735</v>
      </c>
      <c r="L35" s="16">
        <f t="shared" si="24"/>
        <v>3093448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[3]American!$JN$57</f>
        <v>0</v>
      </c>
      <c r="C38" s="11">
        <f>[3]Delta!$JN$57</f>
        <v>0</v>
      </c>
      <c r="D38" s="11">
        <f>[3]United!$JN$57</f>
        <v>0</v>
      </c>
      <c r="E38" s="11">
        <f>[3]Spirit!$JN$57</f>
        <v>0</v>
      </c>
      <c r="F38" s="11">
        <f>[3]Condor!$JN$57</f>
        <v>0</v>
      </c>
      <c r="G38" s="11">
        <f>'[3]Air France'!$JN$57</f>
        <v>0</v>
      </c>
      <c r="H38" s="11">
        <f>'[3]Jet Blue'!$JN$57</f>
        <v>0</v>
      </c>
      <c r="I38" s="11">
        <f>[3]KLM!$JN$57</f>
        <v>0</v>
      </c>
      <c r="J38" s="11">
        <f>[3]Lufthansa!$JN$57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[3]American!$JN$58</f>
        <v>0</v>
      </c>
      <c r="C39" s="7">
        <f>[3]Delta!$JN$58</f>
        <v>0</v>
      </c>
      <c r="D39" s="7">
        <f>[3]United!$JN$58</f>
        <v>0</v>
      </c>
      <c r="E39" s="7">
        <f>[3]Spirit!$JN$58</f>
        <v>0</v>
      </c>
      <c r="F39" s="7">
        <f>[3]Condor!$JN$58</f>
        <v>0</v>
      </c>
      <c r="G39" s="7">
        <f>'[3]Air France'!$JN$58</f>
        <v>0</v>
      </c>
      <c r="H39" s="7">
        <f>'[3]Jet Blue'!$JN$58</f>
        <v>0</v>
      </c>
      <c r="I39" s="7">
        <f>[3]KLM!$JN$58</f>
        <v>0</v>
      </c>
      <c r="J39" s="7">
        <f>[3]Lufthansa!$JN$58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24715</v>
      </c>
      <c r="C43" s="11">
        <f t="shared" si="33"/>
        <v>6470279</v>
      </c>
      <c r="D43" s="11">
        <f t="shared" si="33"/>
        <v>106926</v>
      </c>
      <c r="E43" s="11">
        <f>E28+E33+E38</f>
        <v>0</v>
      </c>
      <c r="F43" s="11">
        <f t="shared" ref="F43:I43" si="34">F28+F33+F38</f>
        <v>0</v>
      </c>
      <c r="G43" s="11">
        <f t="shared" si="34"/>
        <v>468261</v>
      </c>
      <c r="H43" s="11">
        <f t="shared" ref="H43" si="35">H28+H33+H38</f>
        <v>0</v>
      </c>
      <c r="I43" s="11">
        <f t="shared" si="34"/>
        <v>243644</v>
      </c>
      <c r="J43" s="11">
        <f t="shared" ref="J43" si="36">J28+J33+J38</f>
        <v>316896</v>
      </c>
      <c r="K43" s="11">
        <f t="shared" si="33"/>
        <v>291252</v>
      </c>
      <c r="L43" s="16">
        <f>SUM(B43:K43)</f>
        <v>7921973</v>
      </c>
    </row>
    <row r="44" spans="1:12" x14ac:dyDescent="0.2">
      <c r="A44" s="43" t="s">
        <v>38</v>
      </c>
      <c r="B44" s="7">
        <f t="shared" si="33"/>
        <v>27027</v>
      </c>
      <c r="C44" s="7">
        <f t="shared" si="33"/>
        <v>377004</v>
      </c>
      <c r="D44" s="7">
        <f t="shared" si="33"/>
        <v>181369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12803.5</v>
      </c>
      <c r="L44" s="16">
        <f>SUM(B44:K44)</f>
        <v>598203.5</v>
      </c>
    </row>
    <row r="45" spans="1:12" ht="15.75" thickBot="1" x14ac:dyDescent="0.3">
      <c r="A45" s="44" t="s">
        <v>46</v>
      </c>
      <c r="B45" s="203">
        <f t="shared" ref="B45:K45" si="40">SUM(B43:B44)</f>
        <v>51742</v>
      </c>
      <c r="C45" s="203">
        <f t="shared" si="40"/>
        <v>6847283</v>
      </c>
      <c r="D45" s="203">
        <f t="shared" si="40"/>
        <v>288295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468261</v>
      </c>
      <c r="H45" s="203">
        <f t="shared" ref="H45" si="42">SUM(H43:H44)</f>
        <v>0</v>
      </c>
      <c r="I45" s="203">
        <f t="shared" si="41"/>
        <v>243644</v>
      </c>
      <c r="J45" s="203">
        <f t="shared" ref="J45" si="43">SUM(J43:J44)</f>
        <v>316896</v>
      </c>
      <c r="K45" s="203">
        <f t="shared" si="40"/>
        <v>304055.5</v>
      </c>
      <c r="L45" s="204">
        <f>SUM(B45:K45)</f>
        <v>8520176.5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[3]Delta!$JN$70+[3]Delta!$JN$73</f>
        <v>575052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575052</v>
      </c>
    </row>
    <row r="48" spans="1:12" hidden="1" x14ac:dyDescent="0.2">
      <c r="A48" s="265" t="s">
        <v>121</v>
      </c>
      <c r="C48" s="228">
        <f>[3]Delta!$JN$71+[3]Delta!$JN$74</f>
        <v>454608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454608</v>
      </c>
    </row>
    <row r="49" spans="1:12" hidden="1" x14ac:dyDescent="0.2">
      <c r="A49" s="266" t="s">
        <v>122</v>
      </c>
      <c r="C49" s="229">
        <f>SUM(C47:C48)</f>
        <v>1029660</v>
      </c>
      <c r="L49" s="218">
        <f>SUM(B49:K49)</f>
        <v>1029660</v>
      </c>
    </row>
    <row r="50" spans="1:12" x14ac:dyDescent="0.2">
      <c r="A50" s="264" t="s">
        <v>120</v>
      </c>
      <c r="B50" s="275"/>
      <c r="C50" s="231">
        <f>[3]Delta!$JN$70+[3]Delta!$JN$73</f>
        <v>575052</v>
      </c>
      <c r="D50" s="275"/>
      <c r="E50" s="231">
        <f>[3]Spirit!$JN$70+[3]Spirit!$JN$73</f>
        <v>0</v>
      </c>
      <c r="F50" s="275"/>
      <c r="G50" s="275"/>
      <c r="H50" s="275"/>
      <c r="I50" s="275"/>
      <c r="J50" s="275"/>
      <c r="K50" s="230">
        <f>'Other Major Airline Stats'!L48</f>
        <v>294424</v>
      </c>
      <c r="L50" s="220">
        <f>SUM(B50:K50)</f>
        <v>869476</v>
      </c>
    </row>
    <row r="51" spans="1:12" x14ac:dyDescent="0.2">
      <c r="A51" s="277" t="s">
        <v>121</v>
      </c>
      <c r="B51" s="275"/>
      <c r="C51" s="231">
        <f>[3]Delta!$JN$71+[3]Delta!$JN$74</f>
        <v>454608</v>
      </c>
      <c r="D51" s="275"/>
      <c r="E51" s="231">
        <f>[3]Spirit!$JN$71+[3]Spirit!$JN$74</f>
        <v>0</v>
      </c>
      <c r="F51" s="275"/>
      <c r="G51" s="275"/>
      <c r="H51" s="275"/>
      <c r="I51" s="275"/>
      <c r="J51" s="275"/>
      <c r="K51" s="230">
        <f>+'Other Major Airline Stats'!L49</f>
        <v>196</v>
      </c>
      <c r="L51" s="220">
        <f>SUM(B51:K51)</f>
        <v>454804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N11" sqref="N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45839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[3]Frontier!$JN$22+[3]Frontier!$JN$32</f>
        <v>12804</v>
      </c>
      <c r="C5" s="87">
        <f>[3]AirCanada!$JN$22+[3]AirCanada!$JN$32</f>
        <v>0</v>
      </c>
      <c r="D5" s="87">
        <f>'[3]Allegiant '!$JN$22</f>
        <v>2795</v>
      </c>
      <c r="E5" s="87">
        <f>'[3]Aer Lingus'!$JN$22+'[3]Aer Lingus'!$JN$32</f>
        <v>4815</v>
      </c>
      <c r="F5" s="87">
        <f>'[3]Denver Air'!$JN$22+'[3]Denver Air'!$JN$32</f>
        <v>969</v>
      </c>
      <c r="G5" s="87">
        <f>[3]WestJet!$JN$22+[3]WestJet!$JN$32</f>
        <v>11412</v>
      </c>
      <c r="H5" s="87">
        <f>[3]Icelandair!$JN$32</f>
        <v>5166</v>
      </c>
      <c r="I5" s="87">
        <f>[3]Southwest!$JN$22</f>
        <v>78713</v>
      </c>
      <c r="J5" s="87">
        <f>'[3]Sun Country'!$JN$22+'[3]Sun Country'!$JN$32</f>
        <v>210904</v>
      </c>
      <c r="K5" s="87">
        <f>[3]Alaska!$JN$22</f>
        <v>23788</v>
      </c>
      <c r="L5" s="110">
        <f>SUM(B5:K5)</f>
        <v>351366</v>
      </c>
      <c r="O5" s="87"/>
    </row>
    <row r="6" spans="1:15" x14ac:dyDescent="0.2">
      <c r="A6" s="43" t="s">
        <v>31</v>
      </c>
      <c r="B6" s="87">
        <f>[3]Frontier!$JN$23+[3]Frontier!$JN$33</f>
        <v>13475</v>
      </c>
      <c r="C6" s="87">
        <f>[3]AirCanada!$JN$23+[3]AirCanada!$JN$33</f>
        <v>0</v>
      </c>
      <c r="D6" s="87">
        <f>'[3]Allegiant '!$JN$23</f>
        <v>2623</v>
      </c>
      <c r="E6" s="87">
        <f>'[3]Aer Lingus'!$JN$23+'[3]Aer Lingus'!$JN$33</f>
        <v>3152</v>
      </c>
      <c r="F6" s="87">
        <f>'[3]Denver Air'!$JN$23+'[3]Denver Air'!$JN$33</f>
        <v>672</v>
      </c>
      <c r="G6" s="87">
        <f>[3]WestJet!$JN$23+[3]WestJet!$JN$33</f>
        <v>10238</v>
      </c>
      <c r="H6" s="87">
        <f>[3]Icelandair!$JN$33</f>
        <v>4666</v>
      </c>
      <c r="I6" s="87">
        <f>[3]Southwest!$JN$23</f>
        <v>76916</v>
      </c>
      <c r="J6" s="87">
        <f>'[3]Sun Country'!$JN$23+'[3]Sun Country'!$JN$33</f>
        <v>217704</v>
      </c>
      <c r="K6" s="87">
        <f>[3]Alaska!$JN$23</f>
        <v>24832</v>
      </c>
      <c r="L6" s="110">
        <f>SUM(B6:K6)</f>
        <v>354278</v>
      </c>
    </row>
    <row r="7" spans="1:15" ht="15" x14ac:dyDescent="0.25">
      <c r="A7" s="41" t="s">
        <v>7</v>
      </c>
      <c r="B7" s="118">
        <f>SUM(B5:B6)</f>
        <v>26279</v>
      </c>
      <c r="C7" s="118">
        <f>SUM(C5:C6)</f>
        <v>0</v>
      </c>
      <c r="D7" s="118">
        <f t="shared" ref="D7:G7" si="0">SUM(D5:D6)</f>
        <v>5418</v>
      </c>
      <c r="E7" s="118">
        <f>SUM(E5:E6)</f>
        <v>7967</v>
      </c>
      <c r="F7" s="118">
        <f>SUM(F5:F6)</f>
        <v>1641</v>
      </c>
      <c r="G7" s="118">
        <f t="shared" si="0"/>
        <v>21650</v>
      </c>
      <c r="H7" s="118">
        <f t="shared" ref="H7:K7" si="1">SUM(H5:H6)</f>
        <v>9832</v>
      </c>
      <c r="I7" s="118">
        <f t="shared" si="1"/>
        <v>155629</v>
      </c>
      <c r="J7" s="118">
        <f>SUM(J5:J6)</f>
        <v>428608</v>
      </c>
      <c r="K7" s="118">
        <f t="shared" si="1"/>
        <v>48620</v>
      </c>
      <c r="L7" s="119">
        <f>SUM(B7:K7)</f>
        <v>705644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[3]Frontier!$JN$27+[3]Frontier!$JN$37</f>
        <v>68</v>
      </c>
      <c r="C10" s="117">
        <f>[3]AirCanada!$JN$27+[3]AirCanada!$JN$37</f>
        <v>0</v>
      </c>
      <c r="D10" s="117">
        <f>'[3]Allegiant '!$JN$27</f>
        <v>0</v>
      </c>
      <c r="E10" s="347">
        <f>'[3]Aer Lingus'!$JN$27+'[3]Aer Lingus'!$JN$37</f>
        <v>25</v>
      </c>
      <c r="F10" s="117">
        <f>'[3]Denver Air'!$JN$27+'[3]Denver Air'!$JN$37</f>
        <v>57</v>
      </c>
      <c r="G10" s="117">
        <f>[3]WestJet!$JN$27+[3]WestJet!$JN$37</f>
        <v>8</v>
      </c>
      <c r="H10" s="117">
        <f>[3]Icelandair!$JN$37</f>
        <v>10</v>
      </c>
      <c r="I10" s="117">
        <f>[3]Southwest!$JN$27</f>
        <v>1957</v>
      </c>
      <c r="J10" s="117">
        <f>'[3]Sun Country'!$JN$27+'[3]Sun Country'!$JN$37</f>
        <v>3637</v>
      </c>
      <c r="K10" s="117">
        <f>[3]Alaska!$JN$27</f>
        <v>863</v>
      </c>
      <c r="L10" s="110">
        <f>SUM(B10:K10)</f>
        <v>6625</v>
      </c>
    </row>
    <row r="11" spans="1:15" x14ac:dyDescent="0.2">
      <c r="A11" s="43" t="s">
        <v>33</v>
      </c>
      <c r="B11" s="120">
        <f>[3]Frontier!$JN$28+[3]Frontier!$JN$38</f>
        <v>87</v>
      </c>
      <c r="C11" s="120">
        <f>[3]AirCanada!$JN$28+[3]AirCanada!$JN$38</f>
        <v>0</v>
      </c>
      <c r="D11" s="120">
        <f>'[3]Allegiant '!$JN$28</f>
        <v>0</v>
      </c>
      <c r="E11" s="120">
        <f>'[3]Aer Lingus'!$JN$28+'[3]Aer Lingus'!$JN$38</f>
        <v>14</v>
      </c>
      <c r="F11" s="120">
        <f>'[3]Denver Air'!$JN$28+'[3]Denver Air'!$JN$38</f>
        <v>64</v>
      </c>
      <c r="G11" s="120">
        <f>[3]WestJet!$JN$28+[3]WestJet!$JN$38</f>
        <v>6</v>
      </c>
      <c r="H11" s="120">
        <f>[3]Icelandair!$JN$38</f>
        <v>30</v>
      </c>
      <c r="I11" s="120">
        <f>[3]Southwest!$JN$28</f>
        <v>2198</v>
      </c>
      <c r="J11" s="120">
        <f>'[3]Sun Country'!$JN$28+'[3]Sun Country'!$JN$38</f>
        <v>4019</v>
      </c>
      <c r="K11" s="120">
        <f>[3]Alaska!$JN$28</f>
        <v>764</v>
      </c>
      <c r="L11" s="110">
        <f>SUM(B11:K11)</f>
        <v>7182</v>
      </c>
    </row>
    <row r="12" spans="1:15" ht="15.75" thickBot="1" x14ac:dyDescent="0.3">
      <c r="A12" s="44" t="s">
        <v>34</v>
      </c>
      <c r="B12" s="113">
        <f>SUM(B10:B11)</f>
        <v>155</v>
      </c>
      <c r="C12" s="113">
        <f>SUM(C10:C11)</f>
        <v>0</v>
      </c>
      <c r="D12" s="113">
        <f t="shared" ref="D12:G12" si="2">SUM(D10:D11)</f>
        <v>0</v>
      </c>
      <c r="E12" s="113">
        <f>SUM(E10:E11)</f>
        <v>39</v>
      </c>
      <c r="F12" s="113">
        <f>SUM(F10:F11)</f>
        <v>121</v>
      </c>
      <c r="G12" s="113">
        <f t="shared" si="2"/>
        <v>14</v>
      </c>
      <c r="H12" s="113">
        <f t="shared" ref="H12:K12" si="3">SUM(H10:H11)</f>
        <v>40</v>
      </c>
      <c r="I12" s="113">
        <f t="shared" si="3"/>
        <v>4155</v>
      </c>
      <c r="J12" s="113">
        <f>SUM(J10:J11)</f>
        <v>7656</v>
      </c>
      <c r="K12" s="113">
        <f t="shared" si="3"/>
        <v>1627</v>
      </c>
      <c r="L12" s="121">
        <f>SUM(B12:K12)</f>
        <v>13807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[3]Frontier!$JN$4+[3]Frontier!$JN$15</f>
        <v>79</v>
      </c>
      <c r="C16" s="87">
        <f>[3]AirCanada!$JN$4+[3]AirCanada!$JN$15</f>
        <v>0</v>
      </c>
      <c r="D16" s="77">
        <f>'[3]Allegiant '!$JN$4</f>
        <v>17</v>
      </c>
      <c r="E16" s="87">
        <f>'[3]Aer Lingus'!$JN$4+'[3]Aer Lingus'!$JN$15</f>
        <v>31</v>
      </c>
      <c r="F16" s="87">
        <f>'[3]Denver Air'!$JN$4+'[3]Denver Air'!$JN$15</f>
        <v>81</v>
      </c>
      <c r="G16" s="77">
        <f>[3]WestJet!$JN$4+[3]WestJet!$JN$15</f>
        <v>102</v>
      </c>
      <c r="H16" s="87">
        <f>[3]Icelandair!$JN$15</f>
        <v>32</v>
      </c>
      <c r="I16" s="77">
        <f>[3]Southwest!$JN$4</f>
        <v>592</v>
      </c>
      <c r="J16" s="87">
        <f>'[3]Sun Country'!$JN$4+'[3]Sun Country'!$JN$15</f>
        <v>1401</v>
      </c>
      <c r="K16" s="87">
        <f>[3]Alaska!$JN$4</f>
        <v>184</v>
      </c>
      <c r="L16" s="110">
        <f>SUM(B16:K16)</f>
        <v>2519</v>
      </c>
    </row>
    <row r="17" spans="1:259" x14ac:dyDescent="0.2">
      <c r="A17" s="43" t="s">
        <v>23</v>
      </c>
      <c r="B17" s="87">
        <f>[3]Frontier!$JN$5+[3]Frontier!$JN$16</f>
        <v>78</v>
      </c>
      <c r="C17" s="87">
        <f>[3]AirCanada!$JN$5+[3]AirCanada!$JN$16</f>
        <v>0</v>
      </c>
      <c r="D17" s="77">
        <f>'[3]Allegiant '!$JN$5</f>
        <v>17</v>
      </c>
      <c r="E17" s="87">
        <f>'[3]Aer Lingus'!$JN$5+'[3]Aer Lingus'!$JN$16</f>
        <v>31</v>
      </c>
      <c r="F17" s="87">
        <f>'[3]Denver Air'!$JN$5+'[3]Denver Air'!$JN$16</f>
        <v>81</v>
      </c>
      <c r="G17" s="77">
        <f>[3]WestJet!$JN$5+[3]WestJet!$JN$16</f>
        <v>102</v>
      </c>
      <c r="H17" s="87">
        <f>[3]Icelandair!$JN$16</f>
        <v>32</v>
      </c>
      <c r="I17" s="77">
        <f>[3]Southwest!$JN$5</f>
        <v>590</v>
      </c>
      <c r="J17" s="87">
        <f>'[3]Sun Country'!$JN$5+'[3]Sun Country'!$JN$16</f>
        <v>1405</v>
      </c>
      <c r="K17" s="87">
        <f>[3]Alaska!$JN$5</f>
        <v>184</v>
      </c>
      <c r="L17" s="110">
        <f>SUM(B17:K17)</f>
        <v>2520</v>
      </c>
    </row>
    <row r="18" spans="1:259" x14ac:dyDescent="0.2">
      <c r="A18" s="47" t="s">
        <v>24</v>
      </c>
      <c r="B18" s="111">
        <f t="shared" ref="B18:C18" si="4">SUM(B16:B17)</f>
        <v>157</v>
      </c>
      <c r="C18" s="111">
        <f t="shared" si="4"/>
        <v>0</v>
      </c>
      <c r="D18" s="111">
        <f t="shared" ref="D18:G18" si="5">SUM(D16:D17)</f>
        <v>34</v>
      </c>
      <c r="E18" s="111">
        <f t="shared" si="5"/>
        <v>62</v>
      </c>
      <c r="F18" s="111">
        <f t="shared" si="5"/>
        <v>162</v>
      </c>
      <c r="G18" s="111">
        <f t="shared" si="5"/>
        <v>204</v>
      </c>
      <c r="H18" s="111">
        <f t="shared" ref="H18:K18" si="6">SUM(H16:H17)</f>
        <v>64</v>
      </c>
      <c r="I18" s="111">
        <f t="shared" si="6"/>
        <v>1182</v>
      </c>
      <c r="J18" s="111">
        <f t="shared" si="6"/>
        <v>2806</v>
      </c>
      <c r="K18" s="111">
        <f t="shared" si="6"/>
        <v>368</v>
      </c>
      <c r="L18" s="112">
        <f>SUM(B18:K18)</f>
        <v>5039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[3]Frontier!$JN$8</f>
        <v>0</v>
      </c>
      <c r="C20" s="87">
        <f>[3]AirCanada!$JN$8</f>
        <v>0</v>
      </c>
      <c r="D20" s="87">
        <f>'[3]Allegiant '!$JN$8</f>
        <v>0</v>
      </c>
      <c r="E20" s="87">
        <f>'[3]Aer Lingus'!$JN$8</f>
        <v>0</v>
      </c>
      <c r="F20" s="87">
        <f>'[3]Denver Air'!$JN$8</f>
        <v>0</v>
      </c>
      <c r="G20" s="87">
        <f>[3]WestJet!$JN$8</f>
        <v>0</v>
      </c>
      <c r="H20" s="87">
        <f>[3]Icelandair!$JN$8</f>
        <v>0</v>
      </c>
      <c r="I20" s="87">
        <f>[3]Southwest!$JN$8</f>
        <v>0</v>
      </c>
      <c r="J20" s="87">
        <f>'[3]Sun Country'!$JN$8</f>
        <v>28</v>
      </c>
      <c r="K20" s="87">
        <f>[3]Alaska!$JN$8</f>
        <v>5</v>
      </c>
      <c r="L20" s="110">
        <f>SUM(B20:K20)</f>
        <v>33</v>
      </c>
    </row>
    <row r="21" spans="1:259" x14ac:dyDescent="0.2">
      <c r="A21" s="43" t="s">
        <v>26</v>
      </c>
      <c r="B21" s="87">
        <f>[3]Frontier!$JN$9</f>
        <v>0</v>
      </c>
      <c r="C21" s="87">
        <f>[3]AirCanada!$JN$9</f>
        <v>0</v>
      </c>
      <c r="D21" s="87">
        <f>'[3]Allegiant '!$JN$9</f>
        <v>0</v>
      </c>
      <c r="E21" s="87">
        <f>'[3]Aer Lingus'!$JN$9</f>
        <v>0</v>
      </c>
      <c r="F21" s="87">
        <f>'[3]Denver Air'!$JN$9</f>
        <v>0</v>
      </c>
      <c r="G21" s="87">
        <f>[3]WestJet!$JN$9</f>
        <v>0</v>
      </c>
      <c r="H21" s="87">
        <f>[3]Icelandair!$JN$9</f>
        <v>0</v>
      </c>
      <c r="I21" s="87">
        <f>[3]Southwest!$JN$9</f>
        <v>0</v>
      </c>
      <c r="J21" s="87">
        <f>'[3]Sun Country'!$JN$9</f>
        <v>29</v>
      </c>
      <c r="K21" s="87">
        <f>[3]Alaska!$JN$9</f>
        <v>5</v>
      </c>
      <c r="L21" s="110">
        <f>SUM(B21:K21)</f>
        <v>34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57</v>
      </c>
      <c r="K22" s="111">
        <f t="shared" si="9"/>
        <v>10</v>
      </c>
      <c r="L22" s="112">
        <f>SUM(B22:K22)</f>
        <v>67</v>
      </c>
    </row>
    <row r="23" spans="1:259" ht="15.75" thickBot="1" x14ac:dyDescent="0.3">
      <c r="A23" s="44" t="s">
        <v>28</v>
      </c>
      <c r="B23" s="113">
        <f t="shared" ref="B23" si="10">B22+B18</f>
        <v>157</v>
      </c>
      <c r="C23" s="113">
        <f>C22+C18</f>
        <v>0</v>
      </c>
      <c r="D23" s="113">
        <f t="shared" ref="D23:G23" si="11">D22+D18</f>
        <v>34</v>
      </c>
      <c r="E23" s="113">
        <f t="shared" si="11"/>
        <v>62</v>
      </c>
      <c r="F23" s="113">
        <f t="shared" si="11"/>
        <v>162</v>
      </c>
      <c r="G23" s="113">
        <f t="shared" si="11"/>
        <v>204</v>
      </c>
      <c r="H23" s="113">
        <f t="shared" ref="H23:K23" si="12">H22+H18</f>
        <v>64</v>
      </c>
      <c r="I23" s="113">
        <f t="shared" si="12"/>
        <v>1182</v>
      </c>
      <c r="J23" s="113">
        <f>J22+J18</f>
        <v>2863</v>
      </c>
      <c r="K23" s="113">
        <f t="shared" si="12"/>
        <v>378</v>
      </c>
      <c r="L23" s="114">
        <f>SUM(B23:K23)</f>
        <v>5106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[3]Frontier!$JN$47</f>
        <v>0</v>
      </c>
      <c r="C28" s="87">
        <f>[3]AirCanada!$JN$47</f>
        <v>0</v>
      </c>
      <c r="D28" s="87">
        <f>'[3]Allegiant '!$JN$47</f>
        <v>0</v>
      </c>
      <c r="E28" s="87">
        <f>'[3]Aer Lingus'!$JN$47</f>
        <v>0</v>
      </c>
      <c r="F28" s="87">
        <f>'[3]Denver Air'!$JN$47</f>
        <v>0</v>
      </c>
      <c r="G28" s="87">
        <f>[3]WestJet!$JN$47</f>
        <v>0</v>
      </c>
      <c r="H28" s="87">
        <f>[3]Icelandair!$JN$47</f>
        <v>0</v>
      </c>
      <c r="I28" s="87">
        <f>[3]Southwest!$JN$47</f>
        <v>189689</v>
      </c>
      <c r="J28" s="87">
        <f>'[3]Sun Country'!$JN$47</f>
        <v>0</v>
      </c>
      <c r="K28" s="87">
        <f>[3]Alaska!$JN$47</f>
        <v>41097</v>
      </c>
      <c r="L28" s="110">
        <f>SUM(B28:K28)</f>
        <v>230786</v>
      </c>
    </row>
    <row r="29" spans="1:259" x14ac:dyDescent="0.2">
      <c r="A29" s="43" t="s">
        <v>38</v>
      </c>
      <c r="B29" s="87">
        <f>[3]Frontier!$JN$48</f>
        <v>0</v>
      </c>
      <c r="C29" s="87">
        <f>[3]AirCanada!$JN$48</f>
        <v>0</v>
      </c>
      <c r="D29" s="87">
        <f>'[3]Allegiant '!$JN$48</f>
        <v>0</v>
      </c>
      <c r="E29" s="87">
        <f>'[3]Aer Lingus'!$JN$48</f>
        <v>350.5</v>
      </c>
      <c r="F29" s="87">
        <f>'[3]Denver Air'!$JN$48</f>
        <v>0</v>
      </c>
      <c r="G29" s="87">
        <f>[3]WestJet!$JN$48</f>
        <v>0</v>
      </c>
      <c r="H29" s="87">
        <f>[3]Icelandair!$JN$48</f>
        <v>0</v>
      </c>
      <c r="I29" s="87">
        <f>[3]Southwest!$JN$48</f>
        <v>0</v>
      </c>
      <c r="J29" s="87">
        <f>'[3]Sun Country'!$JN$48</f>
        <v>0</v>
      </c>
      <c r="K29" s="87">
        <f>[3]Alaska!$JN$48</f>
        <v>184</v>
      </c>
      <c r="L29" s="110">
        <f>SUM(B29:K29)</f>
        <v>534.5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350.5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0</v>
      </c>
      <c r="I30" s="125">
        <f t="shared" si="15"/>
        <v>189689</v>
      </c>
      <c r="J30" s="125">
        <f t="shared" si="15"/>
        <v>0</v>
      </c>
      <c r="K30" s="125">
        <f t="shared" si="15"/>
        <v>41281</v>
      </c>
      <c r="L30" s="127">
        <f>SUM(B30:K30)</f>
        <v>231320.5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[3]Frontier!$JN$52</f>
        <v>0</v>
      </c>
      <c r="C33" s="87">
        <f>[3]AirCanada!$JN$52</f>
        <v>0</v>
      </c>
      <c r="D33" s="87">
        <f>'[3]Allegiant '!$JN$52</f>
        <v>0</v>
      </c>
      <c r="E33" s="87">
        <f>'[3]Aer Lingus'!$JN$52</f>
        <v>0</v>
      </c>
      <c r="F33" s="87">
        <f>'[3]Denver Air'!$JN$52</f>
        <v>0</v>
      </c>
      <c r="G33" s="87">
        <f>[3]WestJet!$JN$52</f>
        <v>0</v>
      </c>
      <c r="H33" s="87">
        <f>[3]Icelandair!$JN$52</f>
        <v>0</v>
      </c>
      <c r="I33" s="87">
        <f>[3]Southwest!$JN$52</f>
        <v>42079</v>
      </c>
      <c r="J33" s="87">
        <f>'[3]Sun Country'!$JN$52</f>
        <v>0</v>
      </c>
      <c r="K33" s="87">
        <f>[3]Alaska!$JN$52</f>
        <v>18387</v>
      </c>
      <c r="L33" s="110">
        <f>SUM(B33:K33)</f>
        <v>60466</v>
      </c>
    </row>
    <row r="34" spans="1:12" x14ac:dyDescent="0.2">
      <c r="A34" s="43" t="s">
        <v>38</v>
      </c>
      <c r="B34" s="87">
        <f>[3]Frontier!$JN$53</f>
        <v>0</v>
      </c>
      <c r="C34" s="87">
        <f>[3]AirCanada!$JN$53</f>
        <v>0</v>
      </c>
      <c r="D34" s="87">
        <f>'[3]Allegiant '!$JN$53</f>
        <v>0</v>
      </c>
      <c r="E34" s="87">
        <f>'[3]Aer Lingus'!$JN$53</f>
        <v>0</v>
      </c>
      <c r="F34" s="87">
        <f>'[3]Denver Air'!$JN$53</f>
        <v>0</v>
      </c>
      <c r="G34" s="87">
        <f>[3]WestJet!$JN$53</f>
        <v>0</v>
      </c>
      <c r="H34" s="87">
        <f>[3]Icelandair!$JN$53</f>
        <v>0</v>
      </c>
      <c r="I34" s="87">
        <f>[3]Southwest!$JN$53</f>
        <v>0</v>
      </c>
      <c r="J34" s="87">
        <f>'[3]Sun Country'!$JN$53</f>
        <v>0</v>
      </c>
      <c r="K34" s="87">
        <f>[3]Alaska!$JN$53</f>
        <v>12269</v>
      </c>
      <c r="L34" s="126">
        <f>SUM(B34:K34)</f>
        <v>12269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0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42079</v>
      </c>
      <c r="J35" s="111">
        <f t="shared" si="18"/>
        <v>0</v>
      </c>
      <c r="K35" s="111">
        <f t="shared" si="18"/>
        <v>30656</v>
      </c>
      <c r="L35" s="127">
        <f>SUM(B35:K35)</f>
        <v>72735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[3]Frontier!$JN$57</f>
        <v>0</v>
      </c>
      <c r="C38" s="117">
        <f>[3]AirCanada!$JN$57</f>
        <v>0</v>
      </c>
      <c r="D38" s="117">
        <f>'[3]Allegiant '!$JN$57</f>
        <v>0</v>
      </c>
      <c r="E38" s="347">
        <f>'[3]Aer Lingus'!$JN$57</f>
        <v>0</v>
      </c>
      <c r="F38" s="117">
        <f>'[3]Denver Air'!$JN$57</f>
        <v>0</v>
      </c>
      <c r="G38" s="117">
        <f>[3]WestJet!$JN$57</f>
        <v>0</v>
      </c>
      <c r="H38" s="117">
        <f>[3]Icelandair!$JN$57</f>
        <v>0</v>
      </c>
      <c r="I38" s="117">
        <f>[3]Southwest!$JN$57</f>
        <v>0</v>
      </c>
      <c r="J38" s="117">
        <f>'[3]Sun Country'!$JN$57</f>
        <v>0</v>
      </c>
      <c r="K38" s="117">
        <f>[3]Alaska!$JN$57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[3]Frontier!$JN$58</f>
        <v>0</v>
      </c>
      <c r="C39" s="120">
        <f>[3]AirCanada!$JN$58</f>
        <v>0</v>
      </c>
      <c r="D39" s="120">
        <f>'[3]Allegiant '!$JN$58</f>
        <v>0</v>
      </c>
      <c r="E39" s="120">
        <f>'[3]Aer Lingus'!$JN$58</f>
        <v>0</v>
      </c>
      <c r="F39" s="120">
        <f>'[3]Denver Air'!$JN$58</f>
        <v>0</v>
      </c>
      <c r="G39" s="120">
        <f>[3]WestJet!$JN$58</f>
        <v>0</v>
      </c>
      <c r="H39" s="120">
        <f>[3]Icelandair!$JN$58</f>
        <v>0</v>
      </c>
      <c r="I39" s="120">
        <f>[3]Southwest!$JN$58</f>
        <v>0</v>
      </c>
      <c r="J39" s="120">
        <f>'[3]Sun Country'!$JN$58</f>
        <v>0</v>
      </c>
      <c r="K39" s="120">
        <f>[3]Alaska!$JN$58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0</v>
      </c>
      <c r="D43" s="117">
        <f t="shared" ref="D43:G43" si="23">D28+D33+D38</f>
        <v>0</v>
      </c>
      <c r="E43" s="347">
        <f t="shared" si="23"/>
        <v>0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0</v>
      </c>
      <c r="I43" s="117">
        <f t="shared" si="24"/>
        <v>231768</v>
      </c>
      <c r="J43" s="117">
        <f t="shared" si="24"/>
        <v>0</v>
      </c>
      <c r="K43" s="117">
        <f t="shared" si="24"/>
        <v>59484</v>
      </c>
      <c r="L43" s="110">
        <f>SUM(B43:K43)</f>
        <v>291252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350.5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12453</v>
      </c>
      <c r="L44" s="110">
        <f>SUM(B44:K44)</f>
        <v>12803.5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0</v>
      </c>
      <c r="D45" s="129">
        <f t="shared" ref="D45:G45" si="29">D43+D44</f>
        <v>0</v>
      </c>
      <c r="E45" s="129">
        <f t="shared" si="29"/>
        <v>350.5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0</v>
      </c>
      <c r="I45" s="129">
        <f t="shared" si="30"/>
        <v>231768</v>
      </c>
      <c r="J45" s="129">
        <f t="shared" si="30"/>
        <v>0</v>
      </c>
      <c r="K45" s="129">
        <f t="shared" si="30"/>
        <v>71937</v>
      </c>
      <c r="L45" s="130">
        <f>SUM(B45:K45)</f>
        <v>304055.5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[3]Southwest!$JN$70+[3]Southwest!$JN$73</f>
        <v>76720</v>
      </c>
      <c r="J48" s="231">
        <f>'[3]Sun Country'!$JN$70+'[3]Sun Country'!$JN$73</f>
        <v>217704</v>
      </c>
      <c r="K48" s="275"/>
      <c r="L48" s="220">
        <f>SUM(B48:K48)</f>
        <v>294424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[3]Southwest!$JN$71+[3]Southwest!$JN$74</f>
        <v>196</v>
      </c>
      <c r="J49" s="231">
        <f>'[3]Sun Country'!$JN$71+'[3]Sun Country'!$JN$74</f>
        <v>0</v>
      </c>
      <c r="K49" s="275"/>
      <c r="L49" s="220">
        <f>SUM(B49:K49)</f>
        <v>196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July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Q17" sqref="Q1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45839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[3]Pinnacle!$JN$22+[3]Pinnacle!$JN$32</f>
        <v>88740</v>
      </c>
      <c r="C5" s="79">
        <f>[3]MESA_UA!$JN$22</f>
        <v>6295</v>
      </c>
      <c r="D5" s="87">
        <f>'[3]Sky West'!$JN$22+'[3]Sky West'!$JN$32</f>
        <v>132302</v>
      </c>
      <c r="E5" s="87">
        <f>'[3]Sky West_UA'!$JN$22</f>
        <v>3398</v>
      </c>
      <c r="F5" s="87">
        <f>'[3]Sky West_AA'!$JN$22</f>
        <v>0</v>
      </c>
      <c r="G5" s="87">
        <f>[3]Republic!$JN$22</f>
        <v>7028</v>
      </c>
      <c r="H5" s="87">
        <f>[3]Republic_UA!$JN$22</f>
        <v>62</v>
      </c>
      <c r="I5" s="87">
        <f>'[3]American Eagle'!$JN$22</f>
        <v>5961</v>
      </c>
      <c r="J5" s="87">
        <f>'Other Regional'!I5</f>
        <v>8539</v>
      </c>
      <c r="K5" s="80">
        <f>SUM(B5:J5)</f>
        <v>252325</v>
      </c>
    </row>
    <row r="6" spans="1:14" s="6" customFormat="1" x14ac:dyDescent="0.2">
      <c r="A6" s="43" t="s">
        <v>31</v>
      </c>
      <c r="B6" s="79">
        <f>[3]Pinnacle!$JN$23+[3]Pinnacle!$JN$33</f>
        <v>88234</v>
      </c>
      <c r="C6" s="79">
        <f>[3]MESA_UA!$JN$23</f>
        <v>6437</v>
      </c>
      <c r="D6" s="87">
        <f>'[3]Sky West'!$JN$23+'[3]Sky West'!$JN$33</f>
        <v>132477</v>
      </c>
      <c r="E6" s="87">
        <f>'[3]Sky West_UA'!$JN$23</f>
        <v>3389</v>
      </c>
      <c r="F6" s="87">
        <f>'[3]Sky West_AA'!$JN$23</f>
        <v>0</v>
      </c>
      <c r="G6" s="87">
        <f>[3]Republic!$JN$23</f>
        <v>7313</v>
      </c>
      <c r="H6" s="87">
        <f>[3]Republic_UA!$JN$23</f>
        <v>71</v>
      </c>
      <c r="I6" s="87">
        <f>'[3]American Eagle'!$JN$23</f>
        <v>5546</v>
      </c>
      <c r="J6" s="87">
        <f>'Other Regional'!I6</f>
        <v>7238</v>
      </c>
      <c r="K6" s="84">
        <f>SUM(B6:J6)</f>
        <v>250705</v>
      </c>
    </row>
    <row r="7" spans="1:14" ht="15" thickBot="1" x14ac:dyDescent="0.25">
      <c r="A7" s="52" t="s">
        <v>7</v>
      </c>
      <c r="B7" s="97">
        <f>SUM(B5:B6)</f>
        <v>176974</v>
      </c>
      <c r="C7" s="97">
        <f t="shared" ref="C7:J7" si="0">SUM(C5:C6)</f>
        <v>12732</v>
      </c>
      <c r="D7" s="97">
        <f t="shared" si="0"/>
        <v>264779</v>
      </c>
      <c r="E7" s="97">
        <f t="shared" si="0"/>
        <v>6787</v>
      </c>
      <c r="F7" s="97">
        <f t="shared" ref="F7" si="1">SUM(F5:F6)</f>
        <v>0</v>
      </c>
      <c r="G7" s="97">
        <f t="shared" si="0"/>
        <v>14341</v>
      </c>
      <c r="H7" s="97">
        <f t="shared" si="0"/>
        <v>133</v>
      </c>
      <c r="I7" s="97">
        <f t="shared" si="0"/>
        <v>11507</v>
      </c>
      <c r="J7" s="97">
        <f t="shared" si="0"/>
        <v>15777</v>
      </c>
      <c r="K7" s="98">
        <f>SUM(B7:J7)</f>
        <v>503030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[3]Pinnacle!$JN$27+[3]Pinnacle!$JN$37</f>
        <v>2154</v>
      </c>
      <c r="C10" s="79">
        <f>[3]MESA_UA!$JN$27</f>
        <v>184</v>
      </c>
      <c r="D10" s="87">
        <f>'[3]Sky West'!$JN$27+'[3]Sky West'!$JN$37</f>
        <v>3951</v>
      </c>
      <c r="E10" s="87">
        <f>'[3]Sky West_UA'!$JN$27</f>
        <v>125</v>
      </c>
      <c r="F10" s="87">
        <f>'[3]Sky West_AA'!$JN$27</f>
        <v>0</v>
      </c>
      <c r="G10" s="87">
        <f>[3]Republic!$JN$27</f>
        <v>223</v>
      </c>
      <c r="H10" s="87">
        <f>[3]Republic_UA!$JN$27</f>
        <v>4</v>
      </c>
      <c r="I10" s="87">
        <f>'[3]American Eagle'!$JN$27</f>
        <v>253</v>
      </c>
      <c r="J10" s="87">
        <f>'Other Regional'!I10</f>
        <v>155</v>
      </c>
      <c r="K10" s="80">
        <f>SUM(B10:J10)</f>
        <v>7049</v>
      </c>
    </row>
    <row r="11" spans="1:14" x14ac:dyDescent="0.2">
      <c r="A11" s="43" t="s">
        <v>33</v>
      </c>
      <c r="B11" s="79">
        <f>[3]Pinnacle!$JN$28+[3]Pinnacle!$JN$38</f>
        <v>2083</v>
      </c>
      <c r="C11" s="79">
        <f>[3]MESA_UA!$JN$28</f>
        <v>141</v>
      </c>
      <c r="D11" s="87">
        <f>'[3]Sky West'!$JN$28+'[3]Sky West'!$JN$38</f>
        <v>3771</v>
      </c>
      <c r="E11" s="87">
        <f>'[3]Sky West_UA'!$JN$28</f>
        <v>110</v>
      </c>
      <c r="F11" s="87">
        <f>'[3]Sky West_AA'!$JN$28</f>
        <v>0</v>
      </c>
      <c r="G11" s="87">
        <f>[3]Republic!$JN$28</f>
        <v>237</v>
      </c>
      <c r="H11" s="87">
        <f>[3]Republic_UA!$JN$28</f>
        <v>5</v>
      </c>
      <c r="I11" s="87">
        <f>'[3]American Eagle'!$JN$28</f>
        <v>258</v>
      </c>
      <c r="J11" s="87">
        <f>'Other Regional'!I11</f>
        <v>170</v>
      </c>
      <c r="K11" s="84">
        <f>SUM(B11:J11)</f>
        <v>6775</v>
      </c>
    </row>
    <row r="12" spans="1:14" ht="15" thickBot="1" x14ac:dyDescent="0.25">
      <c r="A12" s="53" t="s">
        <v>34</v>
      </c>
      <c r="B12" s="100">
        <f t="shared" ref="B12:J12" si="2">SUM(B10:B11)</f>
        <v>4237</v>
      </c>
      <c r="C12" s="100">
        <f t="shared" si="2"/>
        <v>325</v>
      </c>
      <c r="D12" s="100">
        <f t="shared" si="2"/>
        <v>7722</v>
      </c>
      <c r="E12" s="100">
        <f t="shared" si="2"/>
        <v>235</v>
      </c>
      <c r="F12" s="100">
        <f t="shared" ref="F12" si="3">SUM(F10:F11)</f>
        <v>0</v>
      </c>
      <c r="G12" s="100">
        <f t="shared" si="2"/>
        <v>460</v>
      </c>
      <c r="H12" s="100">
        <f t="shared" si="2"/>
        <v>9</v>
      </c>
      <c r="I12" s="100">
        <f t="shared" si="2"/>
        <v>511</v>
      </c>
      <c r="J12" s="100">
        <f t="shared" si="2"/>
        <v>325</v>
      </c>
      <c r="K12" s="101">
        <f>SUM(B12:J12)</f>
        <v>13824</v>
      </c>
    </row>
    <row r="13" spans="1:14" ht="13.5" thickBot="1" x14ac:dyDescent="0.25">
      <c r="B13" s="87"/>
      <c r="D13" s="87"/>
    </row>
    <row r="14" spans="1:14" ht="15.75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[3]Pinnacle!$JN$4+[3]Pinnacle!$JN$15</f>
        <v>1340</v>
      </c>
      <c r="C15" s="78">
        <f>[3]MESA_UA!$JN$4</f>
        <v>90</v>
      </c>
      <c r="D15" s="77">
        <f>'[3]Sky West'!$JN$4+'[3]Sky West'!$JN$15</f>
        <v>2089</v>
      </c>
      <c r="E15" s="77">
        <f>'[3]Sky West_UA'!$JN$4</f>
        <v>57</v>
      </c>
      <c r="F15" s="77">
        <f>'[3]Sky West_AA'!$JN$4</f>
        <v>0</v>
      </c>
      <c r="G15" s="79">
        <f>[3]Republic!$JN$4</f>
        <v>111</v>
      </c>
      <c r="H15" s="321">
        <f>[3]Republic_UA!$JN$4</f>
        <v>1</v>
      </c>
      <c r="I15" s="79">
        <f>'[3]American Eagle'!$JN$4</f>
        <v>91</v>
      </c>
      <c r="J15" s="78">
        <f>'Other Regional'!I15</f>
        <v>130</v>
      </c>
      <c r="K15" s="80">
        <f t="shared" si="4"/>
        <v>3909</v>
      </c>
    </row>
    <row r="16" spans="1:14" x14ac:dyDescent="0.2">
      <c r="A16" s="43" t="s">
        <v>54</v>
      </c>
      <c r="B16" s="7">
        <f>[3]Pinnacle!$JN$5+[3]Pinnacle!$JN$16</f>
        <v>1335</v>
      </c>
      <c r="C16" s="82">
        <f>[3]MESA_UA!$JN$5</f>
        <v>90</v>
      </c>
      <c r="D16" s="81">
        <f>'[3]Sky West'!$JN$5+'[3]Sky West'!$JN$16</f>
        <v>2088</v>
      </c>
      <c r="E16" s="81">
        <f>'[3]Sky West_UA'!$JN$5</f>
        <v>57</v>
      </c>
      <c r="F16" s="81">
        <f>'[3]Sky West_AA'!$JN$5</f>
        <v>0</v>
      </c>
      <c r="G16" s="83">
        <f>[3]Republic!$JN$5</f>
        <v>112</v>
      </c>
      <c r="H16" s="208">
        <f>[3]Republic_UA!$JN$5</f>
        <v>1</v>
      </c>
      <c r="I16" s="83">
        <f>'[3]American Eagle'!$JN$5</f>
        <v>90</v>
      </c>
      <c r="J16" s="82">
        <f>'Other Regional'!I16</f>
        <v>131</v>
      </c>
      <c r="K16" s="84">
        <f t="shared" si="4"/>
        <v>3904</v>
      </c>
      <c r="M16" s="87"/>
      <c r="N16" s="87"/>
    </row>
    <row r="17" spans="1:11" x14ac:dyDescent="0.2">
      <c r="A17" s="47" t="s">
        <v>55</v>
      </c>
      <c r="B17" s="85">
        <f t="shared" ref="B17:D17" si="5">SUM(B15:B16)</f>
        <v>2675</v>
      </c>
      <c r="C17" s="85">
        <f t="shared" si="5"/>
        <v>180</v>
      </c>
      <c r="D17" s="85">
        <f t="shared" si="5"/>
        <v>4177</v>
      </c>
      <c r="E17" s="85">
        <f>SUM(E15:E16)</f>
        <v>114</v>
      </c>
      <c r="F17" s="85">
        <f>SUM(F15:F16)</f>
        <v>0</v>
      </c>
      <c r="G17" s="85">
        <f>SUM(G15:G16)</f>
        <v>223</v>
      </c>
      <c r="H17" s="85">
        <f t="shared" ref="H17" si="6">SUM(H15:H16)</f>
        <v>2</v>
      </c>
      <c r="I17" s="85">
        <f>SUM(I15:I16)</f>
        <v>181</v>
      </c>
      <c r="J17" s="85">
        <f>SUM(J15:J16)</f>
        <v>261</v>
      </c>
      <c r="K17" s="86">
        <f t="shared" si="4"/>
        <v>7813</v>
      </c>
    </row>
    <row r="18" spans="1:11" x14ac:dyDescent="0.2">
      <c r="A18" s="43" t="s">
        <v>56</v>
      </c>
      <c r="B18" s="87">
        <f>[3]Pinnacle!$JN$8</f>
        <v>0</v>
      </c>
      <c r="C18" s="79">
        <f>[3]MESA_UA!$JN$8</f>
        <v>0</v>
      </c>
      <c r="D18" s="87">
        <f>'[3]Sky West'!$JN$8</f>
        <v>0</v>
      </c>
      <c r="E18" s="87">
        <f>'[3]Sky West_UA'!$JN$8</f>
        <v>0</v>
      </c>
      <c r="F18" s="87">
        <f>'[3]Sky West_AA'!$JN$8</f>
        <v>0</v>
      </c>
      <c r="G18" s="87">
        <f>[3]Republic!$JN$8</f>
        <v>0</v>
      </c>
      <c r="H18" s="87">
        <f>[3]Republic_UA!$JN$8</f>
        <v>0</v>
      </c>
      <c r="I18" s="87">
        <f>'[3]American Eagle'!$JN$8</f>
        <v>0</v>
      </c>
      <c r="J18" s="87">
        <f>'Other Regional'!I18</f>
        <v>0</v>
      </c>
      <c r="K18" s="80">
        <f t="shared" si="4"/>
        <v>0</v>
      </c>
    </row>
    <row r="19" spans="1:11" x14ac:dyDescent="0.2">
      <c r="A19" s="43" t="s">
        <v>57</v>
      </c>
      <c r="B19" s="88">
        <f>[3]Pinnacle!$JN$9</f>
        <v>3</v>
      </c>
      <c r="C19" s="83">
        <f>[3]MESA_UA!$JN$9</f>
        <v>0</v>
      </c>
      <c r="D19" s="88">
        <f>'[3]Sky West'!$JN$9</f>
        <v>3</v>
      </c>
      <c r="E19" s="88">
        <f>'[3]Sky West_UA'!$JN$9</f>
        <v>0</v>
      </c>
      <c r="F19" s="88">
        <f>'[3]Sky West_AA'!$JN$9</f>
        <v>0</v>
      </c>
      <c r="G19" s="88">
        <f>[3]Republic!$JN$9</f>
        <v>0</v>
      </c>
      <c r="H19" s="88">
        <f>[3]Republic_UA!$JN$9</f>
        <v>0</v>
      </c>
      <c r="I19" s="88">
        <f>'[3]American Eagle'!$JN$9</f>
        <v>0</v>
      </c>
      <c r="J19" s="88">
        <f>'Other Regional'!I19</f>
        <v>0</v>
      </c>
      <c r="K19" s="84">
        <f t="shared" si="4"/>
        <v>6</v>
      </c>
    </row>
    <row r="20" spans="1:11" x14ac:dyDescent="0.2">
      <c r="A20" s="47" t="s">
        <v>58</v>
      </c>
      <c r="B20" s="85">
        <f t="shared" ref="B20:J20" si="7">SUM(B18:B19)</f>
        <v>3</v>
      </c>
      <c r="C20" s="85">
        <f t="shared" si="7"/>
        <v>0</v>
      </c>
      <c r="D20" s="85">
        <f t="shared" si="7"/>
        <v>3</v>
      </c>
      <c r="E20" s="85">
        <f t="shared" si="7"/>
        <v>0</v>
      </c>
      <c r="F20" s="85">
        <f t="shared" ref="F20" si="8">SUM(F18:F19)</f>
        <v>0</v>
      </c>
      <c r="G20" s="85">
        <f t="shared" si="7"/>
        <v>0</v>
      </c>
      <c r="H20" s="85">
        <f t="shared" si="7"/>
        <v>0</v>
      </c>
      <c r="I20" s="85">
        <f t="shared" si="7"/>
        <v>0</v>
      </c>
      <c r="J20" s="85">
        <f t="shared" si="7"/>
        <v>0</v>
      </c>
      <c r="K20" s="86">
        <f t="shared" si="4"/>
        <v>6</v>
      </c>
    </row>
    <row r="21" spans="1:11" ht="15.75" thickBot="1" x14ac:dyDescent="0.3">
      <c r="A21" s="51" t="s">
        <v>28</v>
      </c>
      <c r="B21" s="89">
        <f>SUM(B20,B17)</f>
        <v>2678</v>
      </c>
      <c r="C21" s="89">
        <f t="shared" ref="C21:I21" si="9">SUM(C20,C17)</f>
        <v>180</v>
      </c>
      <c r="D21" s="89">
        <f t="shared" si="9"/>
        <v>4180</v>
      </c>
      <c r="E21" s="89">
        <f t="shared" si="9"/>
        <v>114</v>
      </c>
      <c r="F21" s="89">
        <f t="shared" ref="F21" si="10">SUM(F20,F17)</f>
        <v>0</v>
      </c>
      <c r="G21" s="89">
        <f t="shared" si="9"/>
        <v>223</v>
      </c>
      <c r="H21" s="89">
        <f t="shared" si="9"/>
        <v>2</v>
      </c>
      <c r="I21" s="89">
        <f t="shared" si="9"/>
        <v>181</v>
      </c>
      <c r="J21" s="89">
        <f>SUM(J20,J17)</f>
        <v>261</v>
      </c>
      <c r="K21" s="90">
        <f t="shared" si="4"/>
        <v>7819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[3]Pinnacle!$JN$47</f>
        <v>0</v>
      </c>
      <c r="C25" s="79">
        <f>[3]MESA_UA!$JN$47</f>
        <v>0</v>
      </c>
      <c r="D25" s="87">
        <f>'[3]Sky West'!$JN$47</f>
        <v>0</v>
      </c>
      <c r="E25" s="87">
        <f>'[3]Sky West_UA'!$JN$47</f>
        <v>0</v>
      </c>
      <c r="F25" s="87">
        <f>'[3]Sky West_AA'!$JN$47</f>
        <v>0</v>
      </c>
      <c r="G25" s="87">
        <f>[3]Republic!$JN$47</f>
        <v>1464</v>
      </c>
      <c r="H25" s="87">
        <f>[3]Republic_UA!$JN$47</f>
        <v>0</v>
      </c>
      <c r="I25" s="87">
        <f>'[3]American Eagle'!$JN$47</f>
        <v>1549</v>
      </c>
      <c r="J25" s="87">
        <f>'Other Regional'!I25</f>
        <v>1186.0999999999999</v>
      </c>
      <c r="K25" s="80">
        <f>SUM(B25:J25)</f>
        <v>4199.1000000000004</v>
      </c>
    </row>
    <row r="26" spans="1:11" x14ac:dyDescent="0.2">
      <c r="A26" s="43" t="s">
        <v>38</v>
      </c>
      <c r="B26" s="87">
        <f>[3]Pinnacle!$JN$48</f>
        <v>0</v>
      </c>
      <c r="C26" s="79">
        <f>[3]MESA_UA!$JN$48</f>
        <v>0</v>
      </c>
      <c r="D26" s="87">
        <f>'[3]Sky West'!$JN$48</f>
        <v>0</v>
      </c>
      <c r="E26" s="87">
        <f>'[3]Sky West_UA'!$JN$48</f>
        <v>0</v>
      </c>
      <c r="F26" s="87">
        <f>'[3]Sky West_AA'!$JN$48</f>
        <v>0</v>
      </c>
      <c r="G26" s="87">
        <f>[3]Republic!$JN$48</f>
        <v>0</v>
      </c>
      <c r="H26" s="87">
        <f>[3]Republic_UA!$JN$48</f>
        <v>0</v>
      </c>
      <c r="I26" s="87">
        <f>'[3]American Eagle'!$JN$48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0</v>
      </c>
      <c r="G27" s="97">
        <f t="shared" si="11"/>
        <v>1464</v>
      </c>
      <c r="H27" s="97">
        <f t="shared" si="11"/>
        <v>0</v>
      </c>
      <c r="I27" s="97">
        <f t="shared" si="11"/>
        <v>1549</v>
      </c>
      <c r="J27" s="97">
        <f t="shared" si="11"/>
        <v>1186.0999999999999</v>
      </c>
      <c r="K27" s="98">
        <f>SUM(B27:J27)</f>
        <v>4199.1000000000004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[3]Pinnacle!$JN$52</f>
        <v>0</v>
      </c>
      <c r="C30" s="79">
        <f>[3]MESA_UA!$JN$52</f>
        <v>0</v>
      </c>
      <c r="D30" s="87">
        <f>'[3]Sky West'!$JN$52</f>
        <v>0</v>
      </c>
      <c r="E30" s="87">
        <f>'[3]Sky West_UA'!$JN$52</f>
        <v>0</v>
      </c>
      <c r="F30" s="87">
        <f>'[3]Sky West_AA'!$JN$52</f>
        <v>0</v>
      </c>
      <c r="G30" s="87">
        <f>[3]Republic!$JN$52</f>
        <v>300</v>
      </c>
      <c r="H30" s="87">
        <f>[3]Republic_UA!$JN$52</f>
        <v>0</v>
      </c>
      <c r="I30" s="87">
        <f>'[3]American Eagle'!$JN$52</f>
        <v>0</v>
      </c>
      <c r="J30" s="87">
        <f>'Other Regional'!I30</f>
        <v>592.1</v>
      </c>
      <c r="K30" s="80">
        <f t="shared" ref="K30:K37" si="13">SUM(B30:J30)</f>
        <v>892.1</v>
      </c>
    </row>
    <row r="31" spans="1:11" x14ac:dyDescent="0.2">
      <c r="A31" s="43" t="s">
        <v>60</v>
      </c>
      <c r="B31" s="87">
        <f>[3]Pinnacle!$JN$53</f>
        <v>0</v>
      </c>
      <c r="C31" s="79">
        <f>[3]MESA_UA!$JN$53</f>
        <v>0</v>
      </c>
      <c r="D31" s="87">
        <f>'[3]Sky West'!$JN$53</f>
        <v>0</v>
      </c>
      <c r="E31" s="87">
        <f>'[3]Sky West_UA'!$JN$53</f>
        <v>0</v>
      </c>
      <c r="F31" s="87">
        <f>'[3]Sky West_AA'!$JN$53</f>
        <v>0</v>
      </c>
      <c r="G31" s="87">
        <f>[3]Republic!$JN$53</f>
        <v>0</v>
      </c>
      <c r="H31" s="87">
        <f>[3]Republic_UA!$JN$53</f>
        <v>0</v>
      </c>
      <c r="I31" s="87">
        <f>'[3]American Eagle'!$JN$53</f>
        <v>0</v>
      </c>
      <c r="J31" s="87">
        <f>'Other Regional'!I31</f>
        <v>0</v>
      </c>
      <c r="K31" s="80">
        <f t="shared" si="13"/>
        <v>0</v>
      </c>
    </row>
    <row r="32" spans="1:11" ht="15" thickBot="1" x14ac:dyDescent="0.25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300</v>
      </c>
      <c r="H32" s="97">
        <f t="shared" si="14"/>
        <v>0</v>
      </c>
      <c r="I32" s="97">
        <f t="shared" si="14"/>
        <v>0</v>
      </c>
      <c r="J32" s="97">
        <f>SUM(J30:J31)</f>
        <v>592.1</v>
      </c>
      <c r="K32" s="98">
        <f t="shared" si="13"/>
        <v>892.1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 x14ac:dyDescent="0.2">
      <c r="A35" s="43" t="s">
        <v>37</v>
      </c>
      <c r="B35" s="87">
        <f>[3]Pinnacle!$JN$57</f>
        <v>0</v>
      </c>
      <c r="C35" s="79">
        <f>[3]MESA_UA!$JN$57</f>
        <v>0</v>
      </c>
      <c r="D35" s="87">
        <f>'[3]Sky West'!$JN$57</f>
        <v>0</v>
      </c>
      <c r="E35" s="87">
        <f>'[3]Sky West_UA'!$JN$57</f>
        <v>0</v>
      </c>
      <c r="F35" s="87">
        <f>'[3]Sky West_AA'!$JN$57</f>
        <v>0</v>
      </c>
      <c r="G35" s="87">
        <f>[3]Republic!$JN$57</f>
        <v>0</v>
      </c>
      <c r="H35" s="87">
        <f>[3]Republic!$JN$57</f>
        <v>0</v>
      </c>
      <c r="I35" s="87">
        <f>'[3]American Eagle'!$JN$57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 x14ac:dyDescent="0.2">
      <c r="A36" s="43" t="s">
        <v>38</v>
      </c>
      <c r="B36" s="87">
        <f>[3]Pinnacle!$JN$58</f>
        <v>0</v>
      </c>
      <c r="C36" s="79">
        <f>[3]MESA_UA!$JN$58</f>
        <v>0</v>
      </c>
      <c r="D36" s="87">
        <f>'[3]Sky West'!$JN$58</f>
        <v>0</v>
      </c>
      <c r="E36" s="87">
        <f>'[3]Sky West_UA'!$JN$58</f>
        <v>0</v>
      </c>
      <c r="F36" s="87">
        <f>'[3]Sky West_AA'!$JN$58</f>
        <v>0</v>
      </c>
      <c r="G36" s="87">
        <f>[3]Republic!$JN$58</f>
        <v>0</v>
      </c>
      <c r="H36" s="87">
        <f>[3]Republic!$JN$58</f>
        <v>0</v>
      </c>
      <c r="I36" s="87">
        <f>'[3]American Eagle'!$JN$58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 x14ac:dyDescent="0.2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0</v>
      </c>
      <c r="G40" s="87">
        <f t="shared" si="18"/>
        <v>1764</v>
      </c>
      <c r="H40" s="87">
        <f t="shared" si="18"/>
        <v>0</v>
      </c>
      <c r="I40" s="87">
        <f>SUM(I35,I30,I25)</f>
        <v>1549</v>
      </c>
      <c r="J40" s="87">
        <f>J35+J30+J25</f>
        <v>1778.1999999999998</v>
      </c>
      <c r="K40" s="80">
        <f>SUM(B40:J40)</f>
        <v>5091.2</v>
      </c>
    </row>
    <row r="41" spans="1:11" x14ac:dyDescent="0.2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0</v>
      </c>
      <c r="G42" s="100">
        <f t="shared" si="18"/>
        <v>1764</v>
      </c>
      <c r="H42" s="100">
        <f t="shared" si="18"/>
        <v>0</v>
      </c>
      <c r="I42" s="100">
        <f>SUM(I37,I32,I27)</f>
        <v>1549</v>
      </c>
      <c r="J42" s="100">
        <f>SUM(J37,J32,J27)</f>
        <v>1778.1999999999998</v>
      </c>
      <c r="K42" s="101">
        <f>SUM(B42:J42)</f>
        <v>5091.2</v>
      </c>
    </row>
    <row r="44" spans="1:11" x14ac:dyDescent="0.2">
      <c r="A44" s="264" t="s">
        <v>120</v>
      </c>
      <c r="B44" s="230">
        <f>[3]Pinnacle!$JN$70+[3]Pinnacle!$JN$73</f>
        <v>25038</v>
      </c>
      <c r="D44" s="231">
        <f>'[3]Sky West'!$JN$70+'[3]Sky West'!$JN$73</f>
        <v>42096</v>
      </c>
      <c r="E44" s="2"/>
      <c r="F44" s="2"/>
      <c r="J44" s="231">
        <f>+'Other Regional'!I46</f>
        <v>0</v>
      </c>
      <c r="K44" s="220">
        <f>SUM(B44:J44)</f>
        <v>67134</v>
      </c>
    </row>
    <row r="45" spans="1:11" x14ac:dyDescent="0.2">
      <c r="A45" s="277" t="s">
        <v>121</v>
      </c>
      <c r="B45" s="230">
        <f>[3]Pinnacle!$JN$71+[3]Pinnacle!$JN$74</f>
        <v>63196</v>
      </c>
      <c r="D45" s="231">
        <f>'[3]Sky West'!$JN$71+'[3]Sky West'!$JN$74</f>
        <v>90381</v>
      </c>
      <c r="E45" s="2"/>
      <c r="F45" s="2"/>
      <c r="J45" s="231">
        <f>+'Other Regional'!I47</f>
        <v>0</v>
      </c>
      <c r="K45" s="220">
        <f>SUM(B45:J45)</f>
        <v>153577</v>
      </c>
    </row>
    <row r="46" spans="1:11" x14ac:dyDescent="0.2">
      <c r="A46" s="221" t="s">
        <v>122</v>
      </c>
      <c r="B46" s="222">
        <f>SUM(B44:B45)</f>
        <v>88234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July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/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45839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America'!$JN$22</f>
        <v>0</v>
      </c>
      <c r="C5" s="79">
        <f>'[3]Shuttle America_Delta'!$JN$22</f>
        <v>0</v>
      </c>
      <c r="D5" s="321">
        <f>'[3]Air Wisconsin'!$JN$22</f>
        <v>0</v>
      </c>
      <c r="E5" s="321">
        <f>[3]Jazz_AC!$JN$22+[3]Jazz_AC!$JN$32</f>
        <v>6253</v>
      </c>
      <c r="F5" s="321">
        <f>[3]PSA!$JN$22</f>
        <v>2286</v>
      </c>
      <c r="G5" s="79">
        <f>'[3]Continental Express'!$JN$22</f>
        <v>0</v>
      </c>
      <c r="H5" s="11">
        <f>'[3]Go Jet'!$JN$22+'[3]Go Jet'!$JN$32</f>
        <v>0</v>
      </c>
      <c r="I5" s="80">
        <f>SUM(B5:H5)</f>
        <v>8539</v>
      </c>
    </row>
    <row r="6" spans="1:9" s="6" customFormat="1" x14ac:dyDescent="0.2">
      <c r="A6" s="43" t="s">
        <v>31</v>
      </c>
      <c r="B6" s="79">
        <f>'[3]Shuttle America'!$JN$23</f>
        <v>0</v>
      </c>
      <c r="C6" s="79">
        <f>'[3]Shuttle America_Delta'!$JN$23</f>
        <v>0</v>
      </c>
      <c r="D6" s="321">
        <f>'[3]Air Wisconsin'!$JN$23</f>
        <v>0</v>
      </c>
      <c r="E6" s="321">
        <f>[3]Jazz_AC!$JN$23+[3]Jazz_AC!$JN$33</f>
        <v>5222</v>
      </c>
      <c r="F6" s="321">
        <f>[3]PSA!$JN$23</f>
        <v>2016</v>
      </c>
      <c r="G6" s="79">
        <f>'[3]Continental Express'!$JN$23</f>
        <v>0</v>
      </c>
      <c r="H6" s="7">
        <f>'[3]Go Jet'!$JN$23+'[3]Go Jet'!$JN$33</f>
        <v>0</v>
      </c>
      <c r="I6" s="84">
        <f>SUM(B6:H6)</f>
        <v>7238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11475</v>
      </c>
      <c r="F7" s="97">
        <f t="shared" si="0"/>
        <v>4302</v>
      </c>
      <c r="G7" s="97">
        <f t="shared" si="0"/>
        <v>0</v>
      </c>
      <c r="H7" s="97">
        <f>SUM(H5:H6)</f>
        <v>0</v>
      </c>
      <c r="I7" s="98">
        <f>SUM(B7:H7)</f>
        <v>15777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America'!$JN$27</f>
        <v>0</v>
      </c>
      <c r="C10" s="79">
        <f>'[3]Shuttle America_Delta'!$JN$27</f>
        <v>0</v>
      </c>
      <c r="D10" s="321">
        <f>'[3]Air Wisconsin'!$JN$27</f>
        <v>0</v>
      </c>
      <c r="E10" s="321">
        <f>[3]Jazz_AC!$JN$27+[3]Jazz_AC!$JN$37</f>
        <v>108</v>
      </c>
      <c r="F10" s="321">
        <f>[3]PSA!$JN$27</f>
        <v>47</v>
      </c>
      <c r="G10" s="79">
        <f>'[3]Continental Express'!$JN$27</f>
        <v>0</v>
      </c>
      <c r="H10" s="11">
        <f>'[3]Go Jet'!$JN$27+'[3]Go Jet'!$JN$37</f>
        <v>0</v>
      </c>
      <c r="I10" s="80">
        <f>SUM(B10:H10)</f>
        <v>155</v>
      </c>
    </row>
    <row r="11" spans="1:9" x14ac:dyDescent="0.2">
      <c r="A11" s="43" t="s">
        <v>33</v>
      </c>
      <c r="B11" s="79">
        <f>'[3]Shuttle America'!$JN$28</f>
        <v>0</v>
      </c>
      <c r="C11" s="79">
        <f>'[3]Shuttle America_Delta'!$JN$28</f>
        <v>0</v>
      </c>
      <c r="D11" s="321">
        <f>'[3]Air Wisconsin'!$JN$28</f>
        <v>0</v>
      </c>
      <c r="E11" s="321">
        <f>[3]Jazz_AC!$JN$28+[3]Jazz_AC!$JN$38</f>
        <v>131</v>
      </c>
      <c r="F11" s="321">
        <f>[3]PSA!$JN$28</f>
        <v>39</v>
      </c>
      <c r="G11" s="79">
        <f>'[3]Continental Express'!$JN$28</f>
        <v>0</v>
      </c>
      <c r="H11" s="7">
        <f>'[3]Go Jet'!$JN$28+'[3]Go Jet'!$JN$38</f>
        <v>0</v>
      </c>
      <c r="I11" s="84">
        <f>SUM(B11:H11)</f>
        <v>170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239</v>
      </c>
      <c r="F12" s="100">
        <f t="shared" ref="F12" si="3">SUM(F10:F11)</f>
        <v>86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325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America'!$JN$4</f>
        <v>0</v>
      </c>
      <c r="C15" s="77">
        <f>'[3]Shuttle America_Delta'!$JN$4</f>
        <v>0</v>
      </c>
      <c r="D15" s="322">
        <f>'[3]Air Wisconsin'!$JN$4</f>
        <v>0</v>
      </c>
      <c r="E15" s="322">
        <f>[3]Jazz_AC!$JN$4+[3]Jazz_AC!$JN$15</f>
        <v>93</v>
      </c>
      <c r="F15" s="322">
        <f>[3]PSA!$JN$4</f>
        <v>37</v>
      </c>
      <c r="G15" s="78">
        <f>'[3]Continental Express'!$JN$4</f>
        <v>0</v>
      </c>
      <c r="H15" s="11">
        <f>'[3]Go Jet'!$JN$4+'[3]Go Jet'!$JN$15</f>
        <v>0</v>
      </c>
      <c r="I15" s="80">
        <f t="shared" ref="I15:I21" si="6">SUM(B15:H15)</f>
        <v>130</v>
      </c>
    </row>
    <row r="16" spans="1:9" x14ac:dyDescent="0.2">
      <c r="A16" s="43" t="s">
        <v>54</v>
      </c>
      <c r="B16" s="81">
        <f>'[3]Shuttle America'!$JN$5</f>
        <v>0</v>
      </c>
      <c r="C16" s="81">
        <f>'[3]Shuttle America_Delta'!$JN$5</f>
        <v>0</v>
      </c>
      <c r="D16" s="323">
        <f>'[3]Air Wisconsin'!$JN$5</f>
        <v>0</v>
      </c>
      <c r="E16" s="323">
        <f>[3]Jazz_AC!$JN$5+[3]Jazz_AC!$JN$16</f>
        <v>94</v>
      </c>
      <c r="F16" s="323">
        <f>[3]PSA!$JN$5</f>
        <v>37</v>
      </c>
      <c r="G16" s="82">
        <f>'[3]Continental Express'!$JN$5</f>
        <v>0</v>
      </c>
      <c r="H16" s="7">
        <f>'[3]Go Jet'!$JN$5+'[3]Go Jet'!$JN$16</f>
        <v>0</v>
      </c>
      <c r="I16" s="84">
        <f t="shared" si="6"/>
        <v>131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187</v>
      </c>
      <c r="F17" s="85">
        <f t="shared" ref="F17" si="8">SUM(F15:F16)</f>
        <v>74</v>
      </c>
      <c r="G17" s="85">
        <f t="shared" ref="G17" si="9">SUM(G15:G16)</f>
        <v>0</v>
      </c>
      <c r="H17" s="200">
        <f>SUM(H15:H16)</f>
        <v>0</v>
      </c>
      <c r="I17" s="86">
        <f t="shared" si="6"/>
        <v>261</v>
      </c>
    </row>
    <row r="18" spans="1:12" x14ac:dyDescent="0.2">
      <c r="A18" s="43" t="s">
        <v>56</v>
      </c>
      <c r="B18" s="87">
        <f>'[3]Shuttle America'!$JN$8</f>
        <v>0</v>
      </c>
      <c r="C18" s="87">
        <f>'[3]Shuttle America_Delta'!$JN$8</f>
        <v>0</v>
      </c>
      <c r="D18" s="87">
        <f>'[3]Air Wisconsin'!$JN$8</f>
        <v>0</v>
      </c>
      <c r="E18" s="87">
        <f>[3]Jazz_AC!$JN$8</f>
        <v>0</v>
      </c>
      <c r="F18" s="87">
        <f>[3]PSA!$JN$8</f>
        <v>0</v>
      </c>
      <c r="G18" s="79">
        <f>'[3]Continental Express'!$JN$8</f>
        <v>0</v>
      </c>
      <c r="H18" s="11">
        <f>'[3]Go Jet'!$JN$8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America'!$JN$9</f>
        <v>0</v>
      </c>
      <c r="C19" s="88">
        <f>'[3]Shuttle America_Delta'!$JN$9</f>
        <v>0</v>
      </c>
      <c r="D19" s="88">
        <f>'[3]Air Wisconsin'!$JN$9</f>
        <v>0</v>
      </c>
      <c r="E19" s="88">
        <f>[3]Jazz_AC!$JN$9</f>
        <v>0</v>
      </c>
      <c r="F19" s="88">
        <f>[3]PSA!$JN$9</f>
        <v>0</v>
      </c>
      <c r="G19" s="83">
        <f>'[3]Continental Express'!$JN$9</f>
        <v>0</v>
      </c>
      <c r="H19" s="7">
        <f>'[3]Go Jet'!$JN$9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187</v>
      </c>
      <c r="F21" s="89">
        <f t="shared" ref="F21" si="14">SUM(F20,F17)</f>
        <v>74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261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America'!$JN$47</f>
        <v>0</v>
      </c>
      <c r="C25" s="87">
        <f>'[3]Shuttle America_Delta'!$JN$47</f>
        <v>0</v>
      </c>
      <c r="D25" s="87">
        <f>'[3]Air Wisconsin'!$JN$47</f>
        <v>0</v>
      </c>
      <c r="E25" s="87">
        <f>[3]Jazz_AC!$JN$47</f>
        <v>1186.0999999999999</v>
      </c>
      <c r="F25" s="87">
        <f>[3]PSA!$JN$47</f>
        <v>0</v>
      </c>
      <c r="G25" s="79">
        <f>'[3]Continental Express'!$JN$47</f>
        <v>0</v>
      </c>
      <c r="H25" s="87">
        <f>'[3]Go Jet'!$JN$47</f>
        <v>0</v>
      </c>
      <c r="I25" s="80">
        <f>SUM(B25:H25)</f>
        <v>1186.0999999999999</v>
      </c>
    </row>
    <row r="26" spans="1:12" x14ac:dyDescent="0.2">
      <c r="A26" s="43" t="s">
        <v>38</v>
      </c>
      <c r="B26" s="87">
        <f>'[3]Shuttle America'!$JN$48</f>
        <v>0</v>
      </c>
      <c r="C26" s="87">
        <f>'[3]Shuttle America_Delta'!$JN$48</f>
        <v>0</v>
      </c>
      <c r="D26" s="87">
        <f>'[3]Air Wisconsin'!$JN$48</f>
        <v>0</v>
      </c>
      <c r="E26" s="87">
        <f>[3]Jazz_AC!$JN$48</f>
        <v>0</v>
      </c>
      <c r="F26" s="87">
        <f>[3]PSA!$JN$48</f>
        <v>0</v>
      </c>
      <c r="G26" s="79">
        <f>'[3]Continental Express'!$JN$48</f>
        <v>0</v>
      </c>
      <c r="H26" s="87">
        <f>'[3]Go Jet'!$JN$48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1186.0999999999999</v>
      </c>
      <c r="F27" s="97">
        <f t="shared" ref="F27" si="18">SUM(F25:F26)</f>
        <v>0</v>
      </c>
      <c r="G27" s="97">
        <f t="shared" ref="G27" si="19">SUM(G25:G26)</f>
        <v>0</v>
      </c>
      <c r="H27" s="97">
        <f>SUM(H25:H26)</f>
        <v>0</v>
      </c>
      <c r="I27" s="98">
        <f>SUM(B27:H27)</f>
        <v>1186.0999999999999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America'!$JN$52</f>
        <v>0</v>
      </c>
      <c r="C30" s="87">
        <f>'[3]Shuttle America_Delta'!$JN$52</f>
        <v>0</v>
      </c>
      <c r="D30" s="87">
        <f>'[3]Air Wisconsin'!$JN$52</f>
        <v>0</v>
      </c>
      <c r="E30" s="87">
        <f>[3]Jazz_AC!$JN$52</f>
        <v>367.1</v>
      </c>
      <c r="F30" s="87">
        <f>[3]PSA!$JN$52</f>
        <v>225</v>
      </c>
      <c r="G30" s="79">
        <f>'[3]Continental Express'!$JN$52</f>
        <v>0</v>
      </c>
      <c r="H30" s="87">
        <f>'[3]Go Jet'!$JN$52</f>
        <v>0</v>
      </c>
      <c r="I30" s="80">
        <f>SUM(B30:H30)</f>
        <v>592.1</v>
      </c>
    </row>
    <row r="31" spans="1:12" x14ac:dyDescent="0.2">
      <c r="A31" s="43" t="s">
        <v>60</v>
      </c>
      <c r="B31" s="87">
        <f>'[3]Shuttle America'!$JN$53</f>
        <v>0</v>
      </c>
      <c r="C31" s="87">
        <f>'[3]Shuttle America_Delta'!$JN$53</f>
        <v>0</v>
      </c>
      <c r="D31" s="87">
        <f>'[3]Air Wisconsin'!$JN$53</f>
        <v>0</v>
      </c>
      <c r="E31" s="87">
        <f>[3]Jazz_AC!$JN$53</f>
        <v>0</v>
      </c>
      <c r="F31" s="87">
        <f>[3]PSA!$JN$53</f>
        <v>0</v>
      </c>
      <c r="G31" s="79">
        <f>'[3]Continental Express'!$JN$53</f>
        <v>0</v>
      </c>
      <c r="H31" s="87">
        <f>'[3]Go Jet'!$JN$53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367.1</v>
      </c>
      <c r="F32" s="97">
        <f t="shared" si="20"/>
        <v>225</v>
      </c>
      <c r="G32" s="97">
        <f t="shared" si="20"/>
        <v>0</v>
      </c>
      <c r="H32" s="97">
        <f t="shared" ref="H32" si="22">SUM(H30:H31)</f>
        <v>0</v>
      </c>
      <c r="I32" s="98">
        <f>SUM(B32:H32)</f>
        <v>592.1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America'!$JN$57</f>
        <v>0</v>
      </c>
      <c r="C35" s="87">
        <f>'[3]Shuttle America_Delta'!$JN$57</f>
        <v>0</v>
      </c>
      <c r="D35" s="87">
        <f>'[3]Air Wisconsin'!$JN$57</f>
        <v>0</v>
      </c>
      <c r="E35" s="87">
        <f>[3]Jazz_AC!$JN$57</f>
        <v>0</v>
      </c>
      <c r="F35" s="87">
        <f>[3]PSA!$JN$57</f>
        <v>0</v>
      </c>
      <c r="G35" s="79">
        <f>'[3]Continental Express'!$JN$57</f>
        <v>0</v>
      </c>
      <c r="H35" s="87">
        <f>'[3]Go Jet'!$JN$57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1553.1999999999998</v>
      </c>
      <c r="F40" s="87">
        <f t="shared" ref="F40:F41" si="28">SUM(F35,F30,F25)</f>
        <v>225</v>
      </c>
      <c r="G40" s="87">
        <f t="shared" si="26"/>
        <v>0</v>
      </c>
      <c r="H40" s="87">
        <f t="shared" ref="H40" si="29">SUM(H35,H30,H25)</f>
        <v>0</v>
      </c>
      <c r="I40" s="80">
        <f>SUM(B40:H40)</f>
        <v>1778.1999999999998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1553.1999999999998</v>
      </c>
      <c r="F42" s="100">
        <f t="shared" ref="F42" si="34">SUM(F40:F41)</f>
        <v>225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1778.1999999999998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America_Delta'!$JN$70+'[3]Shuttle America_Delta'!$JN$73</f>
        <v>0</v>
      </c>
      <c r="D46" s="2"/>
      <c r="H46" s="231">
        <f>'[3]Go Jet'!$JN$70+'[3]Go Jet'!$JN$73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America_Delta'!$JN$71+'[3]Shuttle America_Delta'!$JN$74</f>
        <v>0</v>
      </c>
      <c r="D47" s="2"/>
      <c r="H47" s="231">
        <f>'[3]Go Jet'!$JN$71+'[3]Go Jet'!$JN$74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July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K10" sqref="K10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45839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Misc'!$JN$22</f>
        <v>0</v>
      </c>
      <c r="C5" s="143">
        <f>[3]Ryan!$JN$22</f>
        <v>0</v>
      </c>
      <c r="D5" s="143">
        <f>'[3]Charter Misc'!$JN$32</f>
        <v>0</v>
      </c>
      <c r="E5" s="143">
        <f>[3]Omni!$JN$32+[3]Omni!$JN$22</f>
        <v>0</v>
      </c>
      <c r="F5" s="143">
        <f>'[3]Red Way'!$JN$32+'[3]Red Way'!$JN$22</f>
        <v>0</v>
      </c>
      <c r="G5" s="143">
        <f>[3]Xtra!$JN$32+[3]Xtra!$JN$22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Misc'!$JN$23+'[3]Charter Misc'!$JN$28+'[3]Charter Misc'!$JN$38</f>
        <v>0</v>
      </c>
      <c r="C6" s="146">
        <f>[3]Ryan!$JN$23</f>
        <v>0</v>
      </c>
      <c r="D6" s="146">
        <f>'[3]Charter Misc'!$JN$33</f>
        <v>0</v>
      </c>
      <c r="E6" s="146">
        <f>[3]Omni!$JN$23+[3]Omni!$JN$33+[3]Omni!$JN$28+[3]Omni!$JN$38</f>
        <v>0</v>
      </c>
      <c r="F6" s="146">
        <f>'[3]Red Way'!$JN$33+'[3]Red Way'!$JN$23</f>
        <v>0</v>
      </c>
      <c r="G6" s="146">
        <f>[3]Xtra!$JN$33+[3]Xtra!$JN$23</f>
        <v>0</v>
      </c>
      <c r="H6" s="237">
        <f>SUM(B6:G6)</f>
        <v>0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Misc'!$JN$4+'[3]Charter Misc'!$JN$8</f>
        <v>0</v>
      </c>
      <c r="C10" s="143">
        <f>[3]Ryan!$JN$4</f>
        <v>0</v>
      </c>
      <c r="D10" s="143">
        <f>'[3]Charter Misc'!$JN$15</f>
        <v>0</v>
      </c>
      <c r="E10" s="143">
        <f>[3]Omni!$JN$15+[3]Omni!$JN$4</f>
        <v>0</v>
      </c>
      <c r="F10" s="143">
        <f>'[3]Red Way'!$JN$15+'[3]Red Way'!$JN$4</f>
        <v>0</v>
      </c>
      <c r="G10" s="143">
        <f>[3]Xtra!$JN$15+[3]Xtra!$JN$4</f>
        <v>0</v>
      </c>
      <c r="H10" s="236">
        <f>SUM(B10:G10)</f>
        <v>0</v>
      </c>
    </row>
    <row r="11" spans="1:18" x14ac:dyDescent="0.2">
      <c r="A11" s="141" t="s">
        <v>80</v>
      </c>
      <c r="B11" s="301">
        <f>'[3]Charter Misc'!$JN$5+'[3]Charter Misc'!$JN$9</f>
        <v>0</v>
      </c>
      <c r="C11" s="143">
        <f>[3]Ryan!$JN$5</f>
        <v>0</v>
      </c>
      <c r="D11" s="143">
        <f>'[3]Charter Misc'!$JN$16</f>
        <v>0</v>
      </c>
      <c r="E11" s="143">
        <f>[3]Omni!$JN$16+[3]Omni!$JN$5</f>
        <v>0</v>
      </c>
      <c r="F11" s="143">
        <f>'[3]Red Way'!$JN$16+'[3]Red Way'!$JN$5</f>
        <v>0</v>
      </c>
      <c r="G11" s="143">
        <f>[3]Xtra!$JN$16+[3]Xtra!$JN$5</f>
        <v>0</v>
      </c>
      <c r="H11" s="236">
        <f>SUM(B11:G11)</f>
        <v>0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5" thickBot="1" x14ac:dyDescent="0.25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1105517</v>
      </c>
      <c r="H21" s="408">
        <f t="shared" ref="H21" si="5">M21-C21</f>
        <v>1139139</v>
      </c>
      <c r="I21" s="408">
        <f t="shared" ref="I21" si="6">SUM(G21:H21)</f>
        <v>2244656</v>
      </c>
      <c r="J21" s="417">
        <f>[5]Charter!I21</f>
        <v>2234831</v>
      </c>
      <c r="K21" s="414">
        <f t="shared" ref="K21:K32" si="7">(I21-J21)/J21</f>
        <v>4.3963055819433326E-3</v>
      </c>
      <c r="L21" s="408">
        <f>+[4]Charter!L21</f>
        <v>1280094</v>
      </c>
      <c r="M21" s="408">
        <f>+[4]Charter!M21</f>
        <v>1276352</v>
      </c>
      <c r="N21" s="417">
        <f t="shared" ref="N21" si="8">SUM(L21:M21)</f>
        <v>2556446</v>
      </c>
      <c r="O21" s="417">
        <f>[5]Charter!N21</f>
        <v>2543728</v>
      </c>
      <c r="P21" s="413">
        <f>(N21-O21)/O21</f>
        <v>4.9997484007724092E-3</v>
      </c>
      <c r="S21" s="379"/>
    </row>
    <row r="22" spans="1:19" ht="14.1" customHeight="1" x14ac:dyDescent="0.2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1069871</v>
      </c>
      <c r="H22" s="408">
        <f t="shared" ref="H22" si="11">M22-C22</f>
        <v>1087124</v>
      </c>
      <c r="I22" s="408">
        <f t="shared" ref="I22" si="12">SUM(G22:H22)</f>
        <v>2156995</v>
      </c>
      <c r="J22" s="408">
        <f>[7]Charter!I22</f>
        <v>2253669</v>
      </c>
      <c r="K22" s="415">
        <f t="shared" si="7"/>
        <v>-4.2896272700205754E-2</v>
      </c>
      <c r="L22" s="408">
        <f>+[6]Charter!L22</f>
        <v>1233128</v>
      </c>
      <c r="M22" s="408">
        <f>+[6]Charter!M22</f>
        <v>1254715</v>
      </c>
      <c r="N22" s="417">
        <f t="shared" ref="N22" si="13">SUM(L22:M22)</f>
        <v>2487843</v>
      </c>
      <c r="O22" s="408">
        <f>[7]Charter!N22</f>
        <v>2583811</v>
      </c>
      <c r="P22" s="443">
        <f t="shared" ref="P22:P32" si="14">(N22-O22)/O22</f>
        <v>-3.7142035543621416E-2</v>
      </c>
      <c r="S22" s="379"/>
    </row>
    <row r="23" spans="1:19" ht="14.1" customHeight="1" x14ac:dyDescent="0.2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1371093</v>
      </c>
      <c r="H23" s="408">
        <f t="shared" ref="H23" si="17">M23-C23</f>
        <v>1411715</v>
      </c>
      <c r="I23" s="408">
        <f t="shared" ref="I23" si="18">SUM(G23:H23)</f>
        <v>2782808</v>
      </c>
      <c r="J23" s="408">
        <f>[9]Charter!I23</f>
        <v>2834638</v>
      </c>
      <c r="K23" s="415">
        <f t="shared" si="7"/>
        <v>-1.8284521692011467E-2</v>
      </c>
      <c r="L23" s="408">
        <f>+[8]Charter!L23</f>
        <v>1587909</v>
      </c>
      <c r="M23" s="408">
        <f>+[8]Charter!M23</f>
        <v>1640241</v>
      </c>
      <c r="N23" s="417">
        <f t="shared" ref="N23" si="19">SUM(L23:M23)</f>
        <v>3228150</v>
      </c>
      <c r="O23" s="408">
        <f>[9]Charter!N23</f>
        <v>3248062</v>
      </c>
      <c r="P23" s="443">
        <f t="shared" si="14"/>
        <v>-6.1304248502645582E-3</v>
      </c>
      <c r="S23" s="379"/>
    </row>
    <row r="24" spans="1:19" ht="14.1" customHeight="1" x14ac:dyDescent="0.2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 x14ac:dyDescent="0.2">
      <c r="A26" s="173" t="s">
        <v>106</v>
      </c>
      <c r="B26" s="408">
        <f>+[2]Charter!B26</f>
        <v>149995</v>
      </c>
      <c r="C26" s="408">
        <f>+[2]Charter!C26</f>
        <v>160666</v>
      </c>
      <c r="D26" s="408">
        <f t="shared" ref="D26" si="30">SUM(B26:C26)</f>
        <v>310661</v>
      </c>
      <c r="E26" s="408">
        <f>[14]Charter!D26</f>
        <v>312797</v>
      </c>
      <c r="F26" s="410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[14]Charter!I26</f>
        <v>3224478</v>
      </c>
      <c r="K26" s="415">
        <f t="shared" si="7"/>
        <v>-2.8301945307116376E-2</v>
      </c>
      <c r="L26" s="408">
        <f>+[2]Charter!L26</f>
        <v>1728356</v>
      </c>
      <c r="M26" s="408">
        <f>+[2]Charter!M26</f>
        <v>1715524</v>
      </c>
      <c r="N26" s="417">
        <f t="shared" ref="N26" si="34">SUM(L26:M26)</f>
        <v>3443880</v>
      </c>
      <c r="O26" s="408">
        <f>[14]Charter!N26</f>
        <v>3537275</v>
      </c>
      <c r="P26" s="405">
        <f t="shared" si="14"/>
        <v>-2.6403092776218981E-2</v>
      </c>
    </row>
    <row r="27" spans="1:19" ht="14.1" customHeight="1" x14ac:dyDescent="0.2">
      <c r="A27" s="166" t="s">
        <v>107</v>
      </c>
      <c r="B27" s="408">
        <f>+'Intl Detail'!$R$4+'Intl Detail'!$R$9</f>
        <v>170456</v>
      </c>
      <c r="C27" s="408">
        <f>+'Intl Detail'!$R$5+'Intl Detail'!$R$10</f>
        <v>160884</v>
      </c>
      <c r="D27" s="408">
        <f t="shared" ref="D27" si="35">SUM(B27:C27)</f>
        <v>331340</v>
      </c>
      <c r="E27" s="408">
        <f>[1]Charter!D27</f>
        <v>324356</v>
      </c>
      <c r="F27" s="411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[1]Charter!I27</f>
        <v>3285779</v>
      </c>
      <c r="K27" s="416">
        <f t="shared" si="7"/>
        <v>9.5262036795536152E-3</v>
      </c>
      <c r="L27" s="408">
        <f>+'Monthly Summary'!$B$11</f>
        <v>1821596</v>
      </c>
      <c r="M27" s="408">
        <f>+'Monthly Summary'!$C$11</f>
        <v>1826824</v>
      </c>
      <c r="N27" s="417">
        <f t="shared" ref="N27" si="39">SUM(L27:M27)</f>
        <v>3648420</v>
      </c>
      <c r="O27" s="408">
        <f>[1]Charter!N27</f>
        <v>3610135</v>
      </c>
      <c r="P27" s="406">
        <f t="shared" si="14"/>
        <v>1.0604866577011663E-2</v>
      </c>
    </row>
    <row r="28" spans="1:19" ht="14.1" customHeight="1" x14ac:dyDescent="0.2">
      <c r="A28" s="173" t="s">
        <v>108</v>
      </c>
      <c r="B28" s="408"/>
      <c r="C28" s="408"/>
      <c r="D28" s="408">
        <f t="shared" ref="D28" si="40">SUM(B28:C28)</f>
        <v>0</v>
      </c>
      <c r="E28" s="408">
        <f>[15]Charter!D28</f>
        <v>330774</v>
      </c>
      <c r="F28" s="410">
        <f t="shared" si="3"/>
        <v>-1</v>
      </c>
      <c r="G28" s="408"/>
      <c r="H28" s="408"/>
      <c r="I28" s="408">
        <f t="shared" ref="I28" si="41">SUM(G28:H28)</f>
        <v>0</v>
      </c>
      <c r="J28" s="408">
        <f>[15]Charter!I28</f>
        <v>3289710</v>
      </c>
      <c r="K28" s="415">
        <f t="shared" si="7"/>
        <v>-1</v>
      </c>
      <c r="L28" s="408"/>
      <c r="M28" s="408"/>
      <c r="N28" s="417">
        <f t="shared" ref="N28" si="42">SUM(L28:M28)</f>
        <v>0</v>
      </c>
      <c r="O28" s="408">
        <f>[15]Charter!N28</f>
        <v>3620484</v>
      </c>
      <c r="P28" s="405">
        <f t="shared" si="14"/>
        <v>-1</v>
      </c>
    </row>
    <row r="29" spans="1:19" ht="14.1" customHeight="1" x14ac:dyDescent="0.2">
      <c r="A29" s="166" t="s">
        <v>109</v>
      </c>
      <c r="B29" s="408"/>
      <c r="C29" s="408"/>
      <c r="D29" s="408">
        <f t="shared" ref="D29" si="43">SUM(B29:C29)</f>
        <v>0</v>
      </c>
      <c r="E29" s="408">
        <f>[16]Charter!D29</f>
        <v>268454</v>
      </c>
      <c r="F29" s="411">
        <f t="shared" si="3"/>
        <v>-1</v>
      </c>
      <c r="G29" s="408"/>
      <c r="H29" s="408"/>
      <c r="I29" s="408">
        <f t="shared" ref="I29" si="44">SUM(G29:H29)</f>
        <v>0</v>
      </c>
      <c r="J29" s="408">
        <f>[16]Charter!I29</f>
        <v>2679340</v>
      </c>
      <c r="K29" s="416">
        <f t="shared" si="7"/>
        <v>-1</v>
      </c>
      <c r="L29" s="408"/>
      <c r="M29" s="408"/>
      <c r="N29" s="417">
        <f t="shared" ref="N29" si="45">SUM(L29:M29)</f>
        <v>0</v>
      </c>
      <c r="O29" s="408">
        <f>[16]Charter!N29</f>
        <v>2947794</v>
      </c>
      <c r="P29" s="406">
        <f t="shared" si="14"/>
        <v>-1</v>
      </c>
    </row>
    <row r="30" spans="1:19" ht="14.1" customHeight="1" x14ac:dyDescent="0.2">
      <c r="A30" s="173" t="s">
        <v>110</v>
      </c>
      <c r="B30" s="408"/>
      <c r="C30" s="408"/>
      <c r="D30" s="408">
        <f t="shared" ref="D30" si="46">SUM(B30:C30)</f>
        <v>0</v>
      </c>
      <c r="E30" s="408">
        <f>[17]Charter!D30</f>
        <v>253799</v>
      </c>
      <c r="F30" s="410">
        <f t="shared" si="3"/>
        <v>-1</v>
      </c>
      <c r="G30" s="408"/>
      <c r="H30" s="408"/>
      <c r="I30" s="408">
        <f t="shared" ref="I30" si="47">SUM(G30:H30)</f>
        <v>0</v>
      </c>
      <c r="J30" s="408">
        <f>[17]Charter!I30</f>
        <v>2857152</v>
      </c>
      <c r="K30" s="415">
        <f t="shared" si="7"/>
        <v>-1</v>
      </c>
      <c r="L30" s="408"/>
      <c r="M30" s="408"/>
      <c r="N30" s="417">
        <f t="shared" ref="N30" si="48">SUM(L30:M30)</f>
        <v>0</v>
      </c>
      <c r="O30" s="408">
        <f>[17]Charter!N30</f>
        <v>3110951</v>
      </c>
      <c r="P30" s="405">
        <f t="shared" si="14"/>
        <v>-1</v>
      </c>
    </row>
    <row r="31" spans="1:19" ht="14.1" customHeight="1" x14ac:dyDescent="0.2">
      <c r="A31" s="166" t="s">
        <v>111</v>
      </c>
      <c r="B31" s="408"/>
      <c r="C31" s="408"/>
      <c r="D31" s="408">
        <f t="shared" ref="D31" si="49">SUM(B31:C31)</f>
        <v>0</v>
      </c>
      <c r="E31" s="408">
        <f>[18]Charter!D31</f>
        <v>204393</v>
      </c>
      <c r="F31" s="411">
        <f t="shared" si="3"/>
        <v>-1</v>
      </c>
      <c r="G31" s="408"/>
      <c r="H31" s="408"/>
      <c r="I31" s="408">
        <f t="shared" ref="I31" si="50">SUM(G31:H31)</f>
        <v>0</v>
      </c>
      <c r="J31" s="408">
        <f>[18]Charter!I31</f>
        <v>2514974</v>
      </c>
      <c r="K31" s="416">
        <f t="shared" si="7"/>
        <v>-1</v>
      </c>
      <c r="L31" s="408"/>
      <c r="M31" s="408"/>
      <c r="N31" s="417">
        <f t="shared" ref="N31" si="51">SUM(L31:M31)</f>
        <v>0</v>
      </c>
      <c r="O31" s="408">
        <f>[18]Charter!N31</f>
        <v>2719367</v>
      </c>
      <c r="P31" s="406">
        <f t="shared" si="14"/>
        <v>-1</v>
      </c>
    </row>
    <row r="32" spans="1:19" ht="14.1" customHeight="1" x14ac:dyDescent="0.2">
      <c r="A32" s="174" t="s">
        <v>112</v>
      </c>
      <c r="B32" s="408"/>
      <c r="C32" s="408"/>
      <c r="D32" s="408">
        <f t="shared" ref="D32" si="52">SUM(B32:C32)</f>
        <v>0</v>
      </c>
      <c r="E32" s="408">
        <f>[19]Charter!D32</f>
        <v>288997</v>
      </c>
      <c r="F32" s="412">
        <f t="shared" si="3"/>
        <v>-1</v>
      </c>
      <c r="G32" s="408"/>
      <c r="H32" s="408"/>
      <c r="I32" s="408">
        <f t="shared" ref="I32" si="53">SUM(G32:H32)</f>
        <v>0</v>
      </c>
      <c r="J32" s="408">
        <f>[19]Charter!I32</f>
        <v>2752325</v>
      </c>
      <c r="K32" s="412">
        <f t="shared" si="7"/>
        <v>-1</v>
      </c>
      <c r="L32" s="408"/>
      <c r="M32" s="408"/>
      <c r="N32" s="417">
        <f t="shared" ref="N32" si="54">SUM(L32:M32)</f>
        <v>0</v>
      </c>
      <c r="O32" s="408">
        <f>[19]Charter!N32</f>
        <v>3041322</v>
      </c>
      <c r="P32" s="407">
        <f t="shared" si="14"/>
        <v>-1</v>
      </c>
    </row>
    <row r="33" spans="1:16" ht="13.5" thickBot="1" x14ac:dyDescent="0.25">
      <c r="A33" s="171" t="s">
        <v>76</v>
      </c>
      <c r="B33" s="177">
        <f>SUM(B21:B32)</f>
        <v>1159795</v>
      </c>
      <c r="C33" s="178">
        <f>SUM(C21:C32)</f>
        <v>1130994</v>
      </c>
      <c r="D33" s="178">
        <f>SUM(D21:D32)</f>
        <v>2290789</v>
      </c>
      <c r="E33" s="179">
        <f>SUM(E21:E32)</f>
        <v>3569721</v>
      </c>
      <c r="F33" s="169">
        <f>(D33-E33)/E33</f>
        <v>-0.35827225713157973</v>
      </c>
      <c r="G33" s="180">
        <f>SUM(G21:G32)</f>
        <v>9551321</v>
      </c>
      <c r="H33" s="178">
        <f>SUM(H21:H32)</f>
        <v>9475532</v>
      </c>
      <c r="I33" s="178">
        <f>SUM(I21:I32)</f>
        <v>19026853</v>
      </c>
      <c r="J33" s="181">
        <f>SUM(J21:J32)</f>
        <v>33598536</v>
      </c>
      <c r="K33" s="170">
        <f>(I33-J33)/J33</f>
        <v>-0.43369993859256251</v>
      </c>
      <c r="L33" s="180">
        <f>SUM(L21:L32)</f>
        <v>10711116</v>
      </c>
      <c r="M33" s="178">
        <f>SUM(M21:M32)</f>
        <v>10606526</v>
      </c>
      <c r="N33" s="178">
        <f>SUM(N21:N32)</f>
        <v>21317642</v>
      </c>
      <c r="O33" s="179">
        <f>SUM(O21:O32)</f>
        <v>37168257</v>
      </c>
      <c r="P33" s="168">
        <f>(N33-O33)/O33</f>
        <v>-0.42645569847410386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July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 x14ac:dyDescent="0.25">
      <c r="A2" s="384">
        <v>45839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Air'!$JN$4</f>
        <v>0</v>
      </c>
      <c r="C4" s="124">
        <f>[3]DHL!$JN$8+[3]DHL!$JN$4</f>
        <v>0</v>
      </c>
      <c r="D4" s="124">
        <f>[3]Airborne!$JN$4+[3]Airborne!$JN$15</f>
        <v>7</v>
      </c>
      <c r="E4" s="87">
        <f>[3]DHL_Bemidji!$JN$4</f>
        <v>41</v>
      </c>
      <c r="F4" s="87">
        <f>[3]Bemidji!$JN$4</f>
        <v>154</v>
      </c>
      <c r="G4" s="124">
        <f>[3]DHL_Encore!$JN$4+[3]DHL_Encore!$JN$15</f>
        <v>0</v>
      </c>
      <c r="H4" s="124">
        <f>[3]DHL_Mesa!$JN$4+[3]DHL_Mesa!$JN$15</f>
        <v>0</v>
      </c>
      <c r="I4" s="124">
        <f>[3]Encore!$JN$4+[3]Encore!$JN$15</f>
        <v>0</v>
      </c>
      <c r="J4" s="124">
        <f>[3]FedEx!$JN$4+[3]FedEx!$JN$15</f>
        <v>73</v>
      </c>
      <c r="K4" s="124">
        <f>[3]IFL!$JN$4+[3]IFL!$JN$15</f>
        <v>18</v>
      </c>
      <c r="L4" s="124">
        <f>[3]DHL_Kalitta!$JN$4+[3]DHL_Kalitta!$JN$15</f>
        <v>15</v>
      </c>
      <c r="M4" s="87">
        <f>'[3]Mountain Cargo'!$JN$4</f>
        <v>23</v>
      </c>
      <c r="N4" s="124">
        <f>[3]DHL_Amerijet!$JN$4+[3]DHL_Amerijet!$JN$15</f>
        <v>0</v>
      </c>
      <c r="O4" s="124">
        <f>[3]DHL_Swift!$JN$4+[3]DHL_Swift!$JN$15</f>
        <v>0</v>
      </c>
      <c r="P4" s="124">
        <f>+'[3]Sun Country Cargo'!$JN$4+'[3]Sun Country Cargo'!$JN$8+'[3]Sun Country Cargo'!$JN$15</f>
        <v>118</v>
      </c>
      <c r="Q4" s="124">
        <f>[3]UPS!$JN$4+[3]UPS!$JN$15</f>
        <v>113</v>
      </c>
      <c r="R4" s="87">
        <f>'[3]Misc Cargo'!$JN$4</f>
        <v>0</v>
      </c>
      <c r="S4" s="356">
        <f>SUM(B4:R4)</f>
        <v>562</v>
      </c>
      <c r="U4" s="328"/>
      <c r="V4" s="328"/>
      <c r="W4" s="207"/>
    </row>
    <row r="5" spans="1:23" x14ac:dyDescent="0.2">
      <c r="A5" s="36" t="s">
        <v>54</v>
      </c>
      <c r="B5" s="357">
        <f>'[3]Atlas Air'!$JN$5</f>
        <v>0</v>
      </c>
      <c r="C5" s="148">
        <f>[3]DHL!$JN$9+[3]DHL!$JN$5</f>
        <v>0</v>
      </c>
      <c r="D5" s="148">
        <f>[3]Airborne!$JN$5</f>
        <v>7</v>
      </c>
      <c r="E5" s="88">
        <f>[3]DHL_Bemidji!$JN$5</f>
        <v>41</v>
      </c>
      <c r="F5" s="88">
        <f>[3]Bemidji!$JN$5</f>
        <v>154</v>
      </c>
      <c r="G5" s="148">
        <f>[3]DHL_Encore!$JN$5</f>
        <v>0</v>
      </c>
      <c r="H5" s="148">
        <f>[3]DHL_Mesa!$JN$5</f>
        <v>0</v>
      </c>
      <c r="I5" s="148">
        <f>[3]Encore!$JN$5</f>
        <v>0</v>
      </c>
      <c r="J5" s="148">
        <f>[3]FedEx!$JN$5</f>
        <v>73</v>
      </c>
      <c r="K5" s="148">
        <f>[3]IFL!$JN$5</f>
        <v>18</v>
      </c>
      <c r="L5" s="148">
        <f>[3]DHL_Kalitta!$JN$5+[3]DHL_Kalitta!$JN$16</f>
        <v>15</v>
      </c>
      <c r="M5" s="88">
        <f>'[3]Mountain Cargo'!$JN$5</f>
        <v>23</v>
      </c>
      <c r="N5" s="148">
        <f>[3]DHL_Amerijet!$JN$5</f>
        <v>0</v>
      </c>
      <c r="O5" s="148">
        <f>[3]DHL_Swift!$JN$5</f>
        <v>0</v>
      </c>
      <c r="P5" s="148">
        <f>+'[3]Sun Country Cargo'!$JN$5+'[3]Sun Country Cargo'!$JN$9+'[3]Sun Country Cargo'!$JN$16</f>
        <v>118</v>
      </c>
      <c r="Q5" s="148">
        <f>[3]UPS!$JN$5+[3]UPS!$JN$16</f>
        <v>114</v>
      </c>
      <c r="R5" s="88">
        <f>'[3]Misc Cargo'!$JN$5</f>
        <v>0</v>
      </c>
      <c r="S5" s="356">
        <f>SUM(B5:R5)</f>
        <v>563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0</v>
      </c>
      <c r="C6" s="359">
        <f t="shared" si="0"/>
        <v>0</v>
      </c>
      <c r="D6" s="359">
        <f t="shared" ref="D6:E6" si="1">SUM(D4:D5)</f>
        <v>14</v>
      </c>
      <c r="E6" s="85">
        <f t="shared" si="1"/>
        <v>82</v>
      </c>
      <c r="F6" s="85">
        <f t="shared" si="0"/>
        <v>308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146</v>
      </c>
      <c r="K6" s="359">
        <f t="shared" si="0"/>
        <v>36</v>
      </c>
      <c r="L6" s="359">
        <f t="shared" si="0"/>
        <v>30</v>
      </c>
      <c r="M6" s="85">
        <f t="shared" si="0"/>
        <v>46</v>
      </c>
      <c r="N6" s="359">
        <f t="shared" si="0"/>
        <v>0</v>
      </c>
      <c r="O6" s="359">
        <f t="shared" si="0"/>
        <v>0</v>
      </c>
      <c r="P6" s="359">
        <f t="shared" si="0"/>
        <v>236</v>
      </c>
      <c r="Q6" s="359">
        <f t="shared" si="0"/>
        <v>227</v>
      </c>
      <c r="R6" s="85">
        <f t="shared" si="0"/>
        <v>0</v>
      </c>
      <c r="S6" s="356">
        <f t="shared" ref="S6:S10" si="3">SUM(B6:R6)</f>
        <v>1125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Cargo'!$JN$8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Cargo'!$JN$9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0</v>
      </c>
      <c r="C12" s="153">
        <f t="shared" si="7"/>
        <v>0</v>
      </c>
      <c r="D12" s="153">
        <f t="shared" ref="D12:E12" si="8">D6+D10</f>
        <v>14</v>
      </c>
      <c r="E12" s="154">
        <f t="shared" si="8"/>
        <v>82</v>
      </c>
      <c r="F12" s="154">
        <f t="shared" si="7"/>
        <v>308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146</v>
      </c>
      <c r="K12" s="153">
        <f t="shared" si="7"/>
        <v>36</v>
      </c>
      <c r="L12" s="153">
        <f t="shared" si="7"/>
        <v>30</v>
      </c>
      <c r="M12" s="154">
        <f t="shared" si="7"/>
        <v>46</v>
      </c>
      <c r="N12" s="153">
        <f t="shared" si="7"/>
        <v>0</v>
      </c>
      <c r="O12" s="153">
        <f t="shared" si="7"/>
        <v>0</v>
      </c>
      <c r="P12" s="153">
        <f t="shared" si="7"/>
        <v>236</v>
      </c>
      <c r="Q12" s="153">
        <f t="shared" si="7"/>
        <v>227</v>
      </c>
      <c r="R12" s="154">
        <f t="shared" si="7"/>
        <v>0</v>
      </c>
      <c r="S12" s="362">
        <f>SUM(B12:R12)</f>
        <v>1125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Air'!$JN$47</f>
        <v>0</v>
      </c>
      <c r="C16" s="124">
        <f>[3]DHL!$JN$47</f>
        <v>0</v>
      </c>
      <c r="D16" s="124">
        <f>[3]Airborne!$JN$47</f>
        <v>359355</v>
      </c>
      <c r="E16" s="124">
        <f>[3]DHL_Bemidji!$JN$47</f>
        <v>56038</v>
      </c>
      <c r="F16" s="473" t="s">
        <v>86</v>
      </c>
      <c r="G16" s="124">
        <f>[3]DHL_Encore!$JN$47</f>
        <v>0</v>
      </c>
      <c r="H16" s="124">
        <f>[3]DHL_Mesa!$JN$47</f>
        <v>0</v>
      </c>
      <c r="I16" s="124">
        <f>[3]Encore!$JN$47</f>
        <v>0</v>
      </c>
      <c r="J16" s="124">
        <f>[3]FedEx!$JN$47</f>
        <v>5712561</v>
      </c>
      <c r="K16" s="124">
        <f>[3]IFL!$JN$47</f>
        <v>69707</v>
      </c>
      <c r="L16" s="124">
        <f>[3]DHL_Kalitta!$JN$47</f>
        <v>370964</v>
      </c>
      <c r="M16" s="87">
        <f>'[3]Mountain Cargo'!$JN$47</f>
        <v>0</v>
      </c>
      <c r="N16" s="124">
        <f>[3]DHL_Amerijet!$JN$47</f>
        <v>0</v>
      </c>
      <c r="O16" s="124">
        <f>[3]DHL_Swift!$JN$47</f>
        <v>0</v>
      </c>
      <c r="P16" s="124">
        <f>+'[3]Sun Country Cargo'!$JN$47</f>
        <v>3000394</v>
      </c>
      <c r="Q16" s="124">
        <f>[3]UPS!$JN$47</f>
        <v>5170481</v>
      </c>
      <c r="R16" s="87">
        <f>'[3]Misc Cargo'!$JN$47</f>
        <v>0</v>
      </c>
      <c r="S16" s="356">
        <f>SUM(B16:E16)+SUM(G16:R16)</f>
        <v>14739500</v>
      </c>
      <c r="U16" s="328"/>
      <c r="V16" s="328"/>
      <c r="W16" s="207"/>
    </row>
    <row r="17" spans="1:23" x14ac:dyDescent="0.2">
      <c r="A17" s="36" t="s">
        <v>38</v>
      </c>
      <c r="B17" s="175">
        <f>'[3]Atlas Air'!$JN$48</f>
        <v>0</v>
      </c>
      <c r="C17" s="124">
        <f>[3]DHL!$JN$48</f>
        <v>0</v>
      </c>
      <c r="D17" s="124">
        <f>[3]Airborne!$JN$48</f>
        <v>0</v>
      </c>
      <c r="E17" s="124">
        <f>[3]DHL_Bemidji!$JN$48</f>
        <v>0</v>
      </c>
      <c r="F17" s="474"/>
      <c r="G17" s="124">
        <f>[3]DHL_Encore!$JN$48</f>
        <v>0</v>
      </c>
      <c r="H17" s="124">
        <f>[3]DHL_Mesa!$JN$48</f>
        <v>0</v>
      </c>
      <c r="I17" s="124">
        <f>[3]Encore!$JN$48</f>
        <v>0</v>
      </c>
      <c r="J17" s="124">
        <f>[3]FedEx!$JN$48</f>
        <v>0</v>
      </c>
      <c r="K17" s="124">
        <f>[3]IFL!$JN$48</f>
        <v>0</v>
      </c>
      <c r="L17" s="124">
        <f>[3]DHL_Kalitta!$JN$48</f>
        <v>0</v>
      </c>
      <c r="M17" s="87">
        <f>'[3]Mountain Cargo'!$JN$48</f>
        <v>48631</v>
      </c>
      <c r="N17" s="124">
        <f>[3]DHL_Amerijet!$JN$48</f>
        <v>0</v>
      </c>
      <c r="O17" s="124">
        <f>[3]DHL_Swift!$JN$48</f>
        <v>0</v>
      </c>
      <c r="P17" s="124">
        <f>+'[3]Sun Country Cargo'!$JN$48</f>
        <v>0</v>
      </c>
      <c r="Q17" s="124">
        <f>[3]UPS!$JN$48</f>
        <v>3241881</v>
      </c>
      <c r="R17" s="87">
        <f>'[3]Misc Cargo'!$JN$48</f>
        <v>0</v>
      </c>
      <c r="S17" s="356">
        <f>SUM(B17:E17)+SUM(G17:R17)</f>
        <v>3290512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0</v>
      </c>
      <c r="C18" s="213">
        <f>SUM(C16:C17)</f>
        <v>0</v>
      </c>
      <c r="D18" s="213">
        <f>SUM(D16:D17)</f>
        <v>359355</v>
      </c>
      <c r="E18" s="213">
        <f>SUM(E16:E17)</f>
        <v>56038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5712561</v>
      </c>
      <c r="K18" s="213">
        <f>SUM(K16:K17)</f>
        <v>69707</v>
      </c>
      <c r="L18" s="213">
        <f t="shared" ref="L18:R18" si="10">SUM(L16:L17)</f>
        <v>370964</v>
      </c>
      <c r="M18" s="214">
        <f t="shared" si="10"/>
        <v>48631</v>
      </c>
      <c r="N18" s="213">
        <f t="shared" si="10"/>
        <v>0</v>
      </c>
      <c r="O18" s="213">
        <f t="shared" si="10"/>
        <v>0</v>
      </c>
      <c r="P18" s="213">
        <f t="shared" si="10"/>
        <v>3000394</v>
      </c>
      <c r="Q18" s="213">
        <f t="shared" si="10"/>
        <v>8412362</v>
      </c>
      <c r="R18" s="214">
        <f t="shared" si="10"/>
        <v>0</v>
      </c>
      <c r="S18" s="368">
        <f>SUM(B18:D18)+SUM(G18:R18)</f>
        <v>17973974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Air'!$JN$52</f>
        <v>0</v>
      </c>
      <c r="C21" s="124">
        <f>[3]DHL!$JN$52</f>
        <v>0</v>
      </c>
      <c r="D21" s="124">
        <f>[3]Airborne!$JN$52</f>
        <v>227174</v>
      </c>
      <c r="E21" s="124">
        <f>[3]DHL_Bemidji!$JN$52</f>
        <v>46974</v>
      </c>
      <c r="F21" s="474"/>
      <c r="G21" s="124">
        <f>[3]DHL_Encore!$JN$52</f>
        <v>0</v>
      </c>
      <c r="H21" s="124">
        <f>[3]DHL_Mesa!$JN$52</f>
        <v>0</v>
      </c>
      <c r="I21" s="124">
        <f>[3]Encore!$JN$52</f>
        <v>0</v>
      </c>
      <c r="J21" s="124">
        <f>[3]FedEx!$JN$52</f>
        <v>5161315</v>
      </c>
      <c r="K21" s="124">
        <f>[3]IFL!$JN$52</f>
        <v>3500</v>
      </c>
      <c r="L21" s="124">
        <f>[3]DHL_Kalitta!$JN$52</f>
        <v>392220</v>
      </c>
      <c r="M21" s="87">
        <f>'[3]Mountain Cargo'!$JN$52</f>
        <v>0</v>
      </c>
      <c r="N21" s="124">
        <f>[3]DHL_Amerijet!$JN$52</f>
        <v>0</v>
      </c>
      <c r="O21" s="124">
        <f>[3]DHL_Swift!$JN$52</f>
        <v>0</v>
      </c>
      <c r="P21" s="124">
        <f>+'[3]Sun Country Cargo'!$JN$52</f>
        <v>2547134</v>
      </c>
      <c r="Q21" s="124">
        <f>[3]UPS!$JN$52</f>
        <v>3856403</v>
      </c>
      <c r="R21" s="87">
        <f>'[3]Misc Cargo'!$JN$52</f>
        <v>0</v>
      </c>
      <c r="S21" s="356">
        <f>SUM(B21:E21)+SUM(G21:R21)</f>
        <v>12234720</v>
      </c>
      <c r="U21" s="328"/>
      <c r="V21" s="328"/>
      <c r="W21" s="207"/>
    </row>
    <row r="22" spans="1:23" x14ac:dyDescent="0.2">
      <c r="A22" s="36" t="s">
        <v>60</v>
      </c>
      <c r="B22" s="175">
        <f>'[3]Atlas Air'!$JN$53</f>
        <v>0</v>
      </c>
      <c r="C22" s="124">
        <f>[3]DHL!$JN$53</f>
        <v>0</v>
      </c>
      <c r="D22" s="124">
        <f>[3]Airborne!$JN$53</f>
        <v>0</v>
      </c>
      <c r="E22" s="124">
        <f>[3]DHL_Bemidji!$JN$53</f>
        <v>0</v>
      </c>
      <c r="F22" s="474"/>
      <c r="G22" s="124">
        <f>[3]DHL_Encore!$JN$53</f>
        <v>0</v>
      </c>
      <c r="H22" s="124">
        <f>[3]DHL_Mesa!$JN$53</f>
        <v>0</v>
      </c>
      <c r="I22" s="124">
        <f>[3]Encore!$JN$53</f>
        <v>0</v>
      </c>
      <c r="J22" s="124">
        <f>[3]FedEx!$JN$53</f>
        <v>0</v>
      </c>
      <c r="K22" s="124">
        <f>[3]IFL!$JN$53</f>
        <v>0</v>
      </c>
      <c r="L22" s="124">
        <f>[3]DHL_Kalitta!$JN$53</f>
        <v>0</v>
      </c>
      <c r="M22" s="87">
        <f>'[3]Mountain Cargo'!$JN$53</f>
        <v>110462</v>
      </c>
      <c r="N22" s="124">
        <f>[3]DHL_Amerijet!$JN$53</f>
        <v>0</v>
      </c>
      <c r="O22" s="124">
        <f>[3]DHL_Swift!$JN$53</f>
        <v>0</v>
      </c>
      <c r="P22" s="124">
        <f>+'[3]Sun Country Cargo'!$JN$53</f>
        <v>0</v>
      </c>
      <c r="Q22" s="124">
        <f>[3]UPS!$JN$53</f>
        <v>2277719</v>
      </c>
      <c r="R22" s="87">
        <f>'[3]Misc Cargo'!$JN$53</f>
        <v>0</v>
      </c>
      <c r="S22" s="356">
        <f>SUM(B22:E22)+SUM(G22:R22)</f>
        <v>2388181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0</v>
      </c>
      <c r="D23" s="213">
        <f t="shared" ref="D23:E23" si="11">SUM(D21:D22)</f>
        <v>227174</v>
      </c>
      <c r="E23" s="213">
        <f t="shared" si="11"/>
        <v>46974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5161315</v>
      </c>
      <c r="K23" s="213">
        <f t="shared" si="12"/>
        <v>3500</v>
      </c>
      <c r="L23" s="213">
        <f t="shared" si="12"/>
        <v>392220</v>
      </c>
      <c r="M23" s="214">
        <f t="shared" si="12"/>
        <v>110462</v>
      </c>
      <c r="N23" s="213">
        <f t="shared" si="12"/>
        <v>0</v>
      </c>
      <c r="O23" s="213">
        <f t="shared" si="12"/>
        <v>0</v>
      </c>
      <c r="P23" s="213">
        <f t="shared" si="12"/>
        <v>2547134</v>
      </c>
      <c r="Q23" s="213">
        <f t="shared" si="12"/>
        <v>6134122</v>
      </c>
      <c r="R23" s="214">
        <f t="shared" si="12"/>
        <v>0</v>
      </c>
      <c r="S23" s="368">
        <f>SUM(B23:D23)+SUM(G23:R23)</f>
        <v>14575927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Air'!$JN$57</f>
        <v>0</v>
      </c>
      <c r="C26" s="124">
        <f>[3]DHL!$JN$57</f>
        <v>0</v>
      </c>
      <c r="D26" s="124">
        <f>[3]Airborne!$JN$57</f>
        <v>0</v>
      </c>
      <c r="E26" s="124">
        <f>[3]DHL_Bemidji!$JN$57</f>
        <v>0</v>
      </c>
      <c r="F26" s="474"/>
      <c r="G26" s="124">
        <f>[3]DHL_Encore!$JN$57</f>
        <v>0</v>
      </c>
      <c r="H26" s="124">
        <f>[3]DHL_Mesa!$JN$57</f>
        <v>0</v>
      </c>
      <c r="I26" s="124">
        <f>[3]Encore!$JN$57</f>
        <v>0</v>
      </c>
      <c r="J26" s="124">
        <f>[3]FedEx!$JN$57</f>
        <v>0</v>
      </c>
      <c r="K26" s="124">
        <f>[3]IFL!$JN$57</f>
        <v>0</v>
      </c>
      <c r="L26" s="124">
        <f>[3]DHL_Kalitta!$JN$57</f>
        <v>0</v>
      </c>
      <c r="M26" s="87">
        <f>'[3]Mountain Cargo'!$JN$57</f>
        <v>0</v>
      </c>
      <c r="N26" s="124">
        <f>[3]DHL_Amerijet!$JN$57</f>
        <v>0</v>
      </c>
      <c r="O26" s="124">
        <f>[3]DHL_Swift!$JN$57</f>
        <v>0</v>
      </c>
      <c r="P26" s="124">
        <f>+'[3]Sun Country Cargo'!$JN$57</f>
        <v>0</v>
      </c>
      <c r="Q26" s="124">
        <f>[3]UPS!$JN$57</f>
        <v>0</v>
      </c>
      <c r="R26" s="87">
        <f>'[3]Misc Cargo'!$JN$57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Air'!$JN$58</f>
        <v>0</v>
      </c>
      <c r="C27" s="124">
        <f>[3]DHL!$JN$58</f>
        <v>0</v>
      </c>
      <c r="D27" s="124">
        <f>[3]Airborne!$JN$58</f>
        <v>0</v>
      </c>
      <c r="E27" s="124">
        <f>[3]DHL_Bemidji!$JN$58</f>
        <v>0</v>
      </c>
      <c r="F27" s="474"/>
      <c r="G27" s="124">
        <f>[3]DHL_Encore!$JN$58</f>
        <v>0</v>
      </c>
      <c r="H27" s="124">
        <f>[3]DHL_Mesa!$JN$58</f>
        <v>0</v>
      </c>
      <c r="I27" s="124">
        <f>[3]Encore!$JN$58</f>
        <v>0</v>
      </c>
      <c r="J27" s="124">
        <f>[3]FedEx!$JN$58</f>
        <v>0</v>
      </c>
      <c r="K27" s="124">
        <f>[3]IFL!$JN$58</f>
        <v>0</v>
      </c>
      <c r="L27" s="124">
        <f>[3]DHL_Kalitta!$JN$58</f>
        <v>0</v>
      </c>
      <c r="M27" s="87">
        <f>'[3]Mountain Cargo'!$JN$58</f>
        <v>0</v>
      </c>
      <c r="N27" s="124">
        <f>[3]DHL_Amerijet!$JN$58</f>
        <v>0</v>
      </c>
      <c r="O27" s="124">
        <f>[3]DHL_Swift!$JN$58</f>
        <v>0</v>
      </c>
      <c r="P27" s="124">
        <f>+'[3]Sun Country Cargo'!$JN$58</f>
        <v>0</v>
      </c>
      <c r="Q27" s="124">
        <f>[3]UPS!$JN$58</f>
        <v>0</v>
      </c>
      <c r="R27" s="87">
        <f>'[3]Misc Cargo'!$JN$58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0</v>
      </c>
      <c r="C31" s="124">
        <f t="shared" ref="C31:R33" si="17">C26+C21+C16</f>
        <v>0</v>
      </c>
      <c r="D31" s="124">
        <f t="shared" si="17"/>
        <v>586529</v>
      </c>
      <c r="E31" s="124">
        <f t="shared" si="17"/>
        <v>103012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10873876</v>
      </c>
      <c r="K31" s="124">
        <f t="shared" si="18"/>
        <v>73207</v>
      </c>
      <c r="L31" s="124">
        <f t="shared" si="18"/>
        <v>763184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5547528</v>
      </c>
      <c r="Q31" s="124">
        <f t="shared" si="17"/>
        <v>9026884</v>
      </c>
      <c r="R31" s="87">
        <f>R26+R21+R16</f>
        <v>0</v>
      </c>
      <c r="S31" s="356">
        <f>SUM(B31:E31)+SUM(G31:R31)</f>
        <v>26974220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159093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5519600</v>
      </c>
      <c r="R32" s="87">
        <f>R27+R22+R17</f>
        <v>0</v>
      </c>
      <c r="S32" s="356">
        <f>SUM(B32:E32)+SUM(G32:R32)</f>
        <v>5678693</v>
      </c>
    </row>
    <row r="33" spans="1:19" ht="18" customHeight="1" thickBot="1" x14ac:dyDescent="0.25">
      <c r="A33" s="152" t="s">
        <v>46</v>
      </c>
      <c r="B33" s="361">
        <f>B28+B23+B18</f>
        <v>0</v>
      </c>
      <c r="C33" s="153">
        <f t="shared" ref="C33:I33" si="21">C28+C23+C18</f>
        <v>0</v>
      </c>
      <c r="D33" s="153">
        <f t="shared" si="21"/>
        <v>586529</v>
      </c>
      <c r="E33" s="153">
        <f t="shared" si="21"/>
        <v>103012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10873876</v>
      </c>
      <c r="K33" s="153">
        <f t="shared" si="18"/>
        <v>73207</v>
      </c>
      <c r="L33" s="153">
        <f t="shared" si="18"/>
        <v>763184</v>
      </c>
      <c r="M33" s="154">
        <f>M28+M23+M18</f>
        <v>159093</v>
      </c>
      <c r="N33" s="153">
        <f t="shared" si="18"/>
        <v>0</v>
      </c>
      <c r="O33" s="153">
        <f t="shared" si="18"/>
        <v>0</v>
      </c>
      <c r="P33" s="153">
        <f t="shared" si="17"/>
        <v>5547528</v>
      </c>
      <c r="Q33" s="153">
        <f t="shared" si="17"/>
        <v>14546484</v>
      </c>
      <c r="R33" s="154">
        <f t="shared" si="17"/>
        <v>0</v>
      </c>
      <c r="S33" s="362">
        <f>SUM(B33:E33)+SUM(G33:R33)</f>
        <v>32652913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July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24" sqref="E2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45839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5266742</v>
      </c>
      <c r="C5" s="87">
        <f>'Regional Major'!K25</f>
        <v>4199.1000000000004</v>
      </c>
      <c r="D5" s="87">
        <f>Cargo!S16</f>
        <v>14739500</v>
      </c>
      <c r="E5" s="87">
        <f>SUM(B5:D5)</f>
        <v>20010441.100000001</v>
      </c>
      <c r="F5" s="87">
        <f>E5*0.00045359237</f>
        <v>9076.5834032944076</v>
      </c>
      <c r="G5" s="87">
        <f>'[1]Cargo Summary'!F5</f>
        <v>8959.8602972853587</v>
      </c>
      <c r="H5" s="71">
        <f>(F5-G5)/G5</f>
        <v>1.3027335486962166E-2</v>
      </c>
      <c r="I5" s="87">
        <f>+F5+'[2]Cargo Summary'!I5</f>
        <v>57535.428169393403</v>
      </c>
      <c r="J5" s="87">
        <f>+'[1]Cargo Summary'!I5</f>
        <v>61037.762003528231</v>
      </c>
      <c r="K5" s="63">
        <f>(I5-J5)/J5</f>
        <v>-5.7379787842358622E-2</v>
      </c>
      <c r="M5" s="12"/>
      <c r="O5" s="388"/>
    </row>
    <row r="6" spans="1:18" x14ac:dyDescent="0.2">
      <c r="A6" s="43" t="s">
        <v>16</v>
      </c>
      <c r="B6" s="131">
        <f>'Major Airline Stats'!L29</f>
        <v>159986.5</v>
      </c>
      <c r="C6" s="87">
        <f>'Regional Major'!K26</f>
        <v>0</v>
      </c>
      <c r="D6" s="87">
        <f>Cargo!S17</f>
        <v>3290512</v>
      </c>
      <c r="E6" s="87">
        <f>SUM(B6:D6)</f>
        <v>3450498.5</v>
      </c>
      <c r="F6" s="87">
        <f>E6*0.00045359237</f>
        <v>1565.119792296445</v>
      </c>
      <c r="G6" s="87">
        <f>'[1]Cargo Summary'!F6</f>
        <v>369.56574423461001</v>
      </c>
      <c r="H6" s="3">
        <f>(F6-G6)/G6</f>
        <v>3.2350239888653367</v>
      </c>
      <c r="I6" s="87">
        <f>+F6+'[2]Cargo Summary'!I6</f>
        <v>8306.9525453033348</v>
      </c>
      <c r="J6" s="87">
        <f>+'[1]Cargo Summary'!I6</f>
        <v>1484.9575467272698</v>
      </c>
      <c r="K6" s="63">
        <f>(I6-J6)/J6</f>
        <v>4.594067361461752</v>
      </c>
      <c r="M6" s="12"/>
    </row>
    <row r="7" spans="1:18" ht="18" customHeight="1" thickBot="1" x14ac:dyDescent="0.25">
      <c r="A7" s="52" t="s">
        <v>71</v>
      </c>
      <c r="B7" s="133">
        <f>SUM(B5:B6)</f>
        <v>5426728.5</v>
      </c>
      <c r="C7" s="97">
        <f t="shared" ref="C7:J7" si="0">SUM(C5:C6)</f>
        <v>4199.1000000000004</v>
      </c>
      <c r="D7" s="97">
        <f t="shared" si="0"/>
        <v>18030012</v>
      </c>
      <c r="E7" s="97">
        <f t="shared" si="0"/>
        <v>23460939.600000001</v>
      </c>
      <c r="F7" s="97">
        <f t="shared" si="0"/>
        <v>10641.703195590853</v>
      </c>
      <c r="G7" s="97">
        <f t="shared" si="0"/>
        <v>9329.4260415199678</v>
      </c>
      <c r="H7" s="27">
        <f>(F7-G7)/G7</f>
        <v>0.14066000933290926</v>
      </c>
      <c r="I7" s="97">
        <f t="shared" si="0"/>
        <v>65842.380714696745</v>
      </c>
      <c r="J7" s="97">
        <f t="shared" si="0"/>
        <v>62522.719550255497</v>
      </c>
      <c r="K7" s="227">
        <f>(I7-J7)/J7</f>
        <v>5.3095277817736611E-2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2655231</v>
      </c>
      <c r="C10" s="87">
        <f>'Regional Major'!K30</f>
        <v>892.1</v>
      </c>
      <c r="D10" s="87">
        <f>Cargo!S21</f>
        <v>12234720</v>
      </c>
      <c r="E10" s="87">
        <f>SUM(B10:D10)</f>
        <v>14890843.1</v>
      </c>
      <c r="F10" s="87">
        <f>E10*0.00045359237</f>
        <v>6754.3728130271465</v>
      </c>
      <c r="G10" s="87">
        <f>'[1]Cargo Summary'!F10</f>
        <v>6532.8531365255694</v>
      </c>
      <c r="H10" s="3">
        <f>(F10-G10)/G10</f>
        <v>3.3908565196888854E-2</v>
      </c>
      <c r="I10" s="87">
        <f>+F10+'[2]Cargo Summary'!I10</f>
        <v>44431.593792617416</v>
      </c>
      <c r="J10" s="87">
        <f>+'[1]Cargo Summary'!I10</f>
        <v>47001.0329582419</v>
      </c>
      <c r="K10" s="63">
        <f>(I10-J10)/J10</f>
        <v>-5.4667716939483101E-2</v>
      </c>
      <c r="M10" s="12"/>
      <c r="O10" s="388"/>
    </row>
    <row r="11" spans="1:18" x14ac:dyDescent="0.2">
      <c r="A11" s="43" t="s">
        <v>16</v>
      </c>
      <c r="B11" s="131">
        <f>'Major Airline Stats'!L34</f>
        <v>438217</v>
      </c>
      <c r="C11" s="87">
        <f>'Regional Major'!K31</f>
        <v>0</v>
      </c>
      <c r="D11" s="87">
        <f>Cargo!S22</f>
        <v>2388181</v>
      </c>
      <c r="E11" s="87">
        <f>SUM(B11:D11)</f>
        <v>2826398</v>
      </c>
      <c r="F11" s="87">
        <f>E11*0.00045359237</f>
        <v>1282.0325673832599</v>
      </c>
      <c r="G11" s="87">
        <f>'[1]Cargo Summary'!F11</f>
        <v>206.96013706752998</v>
      </c>
      <c r="H11" s="24">
        <f>(F11-G11)/G11</f>
        <v>5.194586965145561</v>
      </c>
      <c r="I11" s="87">
        <f>+F11+'[2]Cargo Summary'!I11</f>
        <v>7338.1030565827587</v>
      </c>
      <c r="J11" s="87">
        <f>+'[1]Cargo Summary'!I11</f>
        <v>1127.1153508876798</v>
      </c>
      <c r="K11" s="63">
        <f>(I11-J11)/J11</f>
        <v>5.5105164709215471</v>
      </c>
      <c r="M11" s="12"/>
    </row>
    <row r="12" spans="1:18" ht="18" customHeight="1" thickBot="1" x14ac:dyDescent="0.25">
      <c r="A12" s="52" t="s">
        <v>72</v>
      </c>
      <c r="B12" s="133">
        <f>SUM(B10:B11)</f>
        <v>3093448</v>
      </c>
      <c r="C12" s="97">
        <f t="shared" ref="C12:J12" si="1">SUM(C10:C11)</f>
        <v>892.1</v>
      </c>
      <c r="D12" s="97">
        <f t="shared" si="1"/>
        <v>14622901</v>
      </c>
      <c r="E12" s="97">
        <f t="shared" si="1"/>
        <v>17717241.100000001</v>
      </c>
      <c r="F12" s="97">
        <f t="shared" si="1"/>
        <v>8036.405380410406</v>
      </c>
      <c r="G12" s="97">
        <f t="shared" si="1"/>
        <v>6739.8132735930994</v>
      </c>
      <c r="H12" s="27">
        <f>(F12-G12)/G12</f>
        <v>0.19237804582768109</v>
      </c>
      <c r="I12" s="97">
        <f>SUM(I10:I11)</f>
        <v>51769.696849200176</v>
      </c>
      <c r="J12" s="97">
        <f t="shared" si="1"/>
        <v>48128.148309129581</v>
      </c>
      <c r="K12" s="227">
        <f>(I12-J12)/J12</f>
        <v>7.5663591224842897E-2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7921973</v>
      </c>
      <c r="C20" s="87">
        <f>C15+C10+C5</f>
        <v>5091.2000000000007</v>
      </c>
      <c r="D20" s="87">
        <f t="shared" si="3"/>
        <v>26974220</v>
      </c>
      <c r="E20" s="87">
        <f>SUM(B20:D20)</f>
        <v>34901284.200000003</v>
      </c>
      <c r="F20" s="87">
        <f>E20*0.00045359237</f>
        <v>15830.956216321554</v>
      </c>
      <c r="G20" s="87">
        <f>'[1]Cargo Summary'!F20</f>
        <v>15492.713433810928</v>
      </c>
      <c r="H20" s="3">
        <f>(F20-G20)/G20</f>
        <v>2.1832378424585915E-2</v>
      </c>
      <c r="I20" s="87">
        <f>+F20+'[2]Cargo Summary'!I20</f>
        <v>101967.02196201083</v>
      </c>
      <c r="J20" s="87">
        <f>+'[1]Cargo Summary'!I20</f>
        <v>108038.79496177015</v>
      </c>
      <c r="K20" s="63">
        <f>(I20-J20)/J20</f>
        <v>-5.6199932643712307E-2</v>
      </c>
      <c r="M20" s="12"/>
    </row>
    <row r="21" spans="1:13" x14ac:dyDescent="0.2">
      <c r="A21" s="43" t="s">
        <v>16</v>
      </c>
      <c r="B21" s="131">
        <f t="shared" si="3"/>
        <v>598203.5</v>
      </c>
      <c r="C21" s="88">
        <f t="shared" si="3"/>
        <v>0</v>
      </c>
      <c r="D21" s="88">
        <f t="shared" si="3"/>
        <v>5678693</v>
      </c>
      <c r="E21" s="87">
        <f>SUM(B21:D21)</f>
        <v>6276896.5</v>
      </c>
      <c r="F21" s="87">
        <f>E21*0.00045359237</f>
        <v>2847.1523596797051</v>
      </c>
      <c r="G21" s="87">
        <f>'[1]Cargo Summary'!F21</f>
        <v>576.52588130213996</v>
      </c>
      <c r="H21" s="3">
        <f>(F21-G21)/G21</f>
        <v>3.9384640863808813</v>
      </c>
      <c r="I21" s="87">
        <f>+F21+'[2]Cargo Summary'!I21</f>
        <v>15645.055601886095</v>
      </c>
      <c r="J21" s="87">
        <f>+'[1]Cargo Summary'!I21</f>
        <v>2612.0728976149499</v>
      </c>
      <c r="K21" s="63">
        <f>(I21-J21)/J21</f>
        <v>4.9895172206607992</v>
      </c>
      <c r="M21" s="12"/>
    </row>
    <row r="22" spans="1:13" ht="18" customHeight="1" thickBot="1" x14ac:dyDescent="0.25">
      <c r="A22" s="65" t="s">
        <v>62</v>
      </c>
      <c r="B22" s="134">
        <f>SUM(B20:B21)</f>
        <v>8520176.5</v>
      </c>
      <c r="C22" s="135">
        <f t="shared" ref="C22:J22" si="4">SUM(C20:C21)</f>
        <v>5091.2000000000007</v>
      </c>
      <c r="D22" s="135">
        <f t="shared" si="4"/>
        <v>32652913</v>
      </c>
      <c r="E22" s="135">
        <f t="shared" si="4"/>
        <v>41178180.700000003</v>
      </c>
      <c r="F22" s="135">
        <f t="shared" si="4"/>
        <v>18678.108576001257</v>
      </c>
      <c r="G22" s="135">
        <f t="shared" si="4"/>
        <v>16069.239315113067</v>
      </c>
      <c r="H22" s="233">
        <f>(F22-G22)/G22</f>
        <v>0.16235175852005373</v>
      </c>
      <c r="I22" s="135">
        <f>SUM(I20:I21)</f>
        <v>117612.07756389692</v>
      </c>
      <c r="J22" s="135">
        <f t="shared" si="4"/>
        <v>110650.86785938511</v>
      </c>
      <c r="K22" s="234">
        <f>(I22-J22)/J22</f>
        <v>6.2911478591908598E-2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July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N35" sqref="N3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7">
        <v>45839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45839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236</v>
      </c>
      <c r="D5" s="370">
        <f>SUM(D6:D7)</f>
        <v>188</v>
      </c>
      <c r="E5" s="371">
        <f>(C5-D5)/D5</f>
        <v>0.25531914893617019</v>
      </c>
      <c r="F5" s="370">
        <f>SUM(F6:F7)</f>
        <v>1408</v>
      </c>
      <c r="G5" s="370">
        <f>SUM(G6:G7)</f>
        <v>1458</v>
      </c>
      <c r="H5" s="372">
        <f>(F5-G5)/G5</f>
        <v>-3.4293552812071332E-2</v>
      </c>
      <c r="I5" s="371">
        <f>+F5/$F$34</f>
        <v>0.19135634683337863</v>
      </c>
      <c r="J5" s="246" t="s">
        <v>192</v>
      </c>
      <c r="K5" s="37"/>
      <c r="L5" s="370">
        <f>SUM(L6:L7)</f>
        <v>5547528</v>
      </c>
      <c r="M5" s="370">
        <f>SUM(M6:M7)</f>
        <v>4372683</v>
      </c>
      <c r="N5" s="371">
        <f>(L5-M5)/M5</f>
        <v>0.26867829202345561</v>
      </c>
      <c r="O5" s="370">
        <f>SUM(O6:O7)</f>
        <v>34958699</v>
      </c>
      <c r="P5" s="370">
        <f>SUM(P6:P7)</f>
        <v>33213801</v>
      </c>
      <c r="Q5" s="372">
        <f>(O5-P5)/P5</f>
        <v>5.2535330117742321E-2</v>
      </c>
      <c r="R5" s="371">
        <f>O5/$O$34</f>
        <v>0.16938732818665797</v>
      </c>
      <c r="T5" s="379"/>
    </row>
    <row r="6" spans="1:20" ht="14.1" customHeight="1" x14ac:dyDescent="0.2">
      <c r="A6" s="36"/>
      <c r="B6" s="306" t="s">
        <v>193</v>
      </c>
      <c r="C6" s="310">
        <f>+'[3]Atlas Air'!$JN$19</f>
        <v>0</v>
      </c>
      <c r="D6" s="207">
        <f>+'[3]Atlas Air'!$IZ$19</f>
        <v>2</v>
      </c>
      <c r="E6" s="312">
        <f>IFERROR((C6-D6)/D6,0)</f>
        <v>-1</v>
      </c>
      <c r="F6" s="310">
        <f>+SUM('[3]Atlas Air'!$JH$19:$JN$19)</f>
        <v>8</v>
      </c>
      <c r="G6" s="207">
        <f>+SUM('[3]Atlas Air'!$IT$19:$IZ$19)</f>
        <v>22</v>
      </c>
      <c r="H6" s="311">
        <f>IFERROR((F6-G6)/G6,0)</f>
        <v>-0.63636363636363635</v>
      </c>
      <c r="I6" s="312">
        <f>+F6/$F$34</f>
        <v>1.0872519706441968E-3</v>
      </c>
      <c r="J6" s="36"/>
      <c r="K6" s="306" t="s">
        <v>193</v>
      </c>
      <c r="L6" s="310">
        <f>+'[3]Atlas Air'!$JN$64</f>
        <v>0</v>
      </c>
      <c r="M6" s="207">
        <f>+'[3]Atlas Air'!$IZ$64</f>
        <v>136766</v>
      </c>
      <c r="N6" s="312">
        <f>IFERROR((L6-M6)/M6,0)</f>
        <v>-1</v>
      </c>
      <c r="O6" s="207">
        <f>+SUM('[3]Atlas Air'!$JH$64:$JN$64)</f>
        <v>108656</v>
      </c>
      <c r="P6" s="207">
        <f>+SUM('[3]Atlas Air'!$IT$64:$IZ$64)</f>
        <v>773232</v>
      </c>
      <c r="Q6" s="311">
        <f>IFERROR((O6-P6)/P6,0)</f>
        <v>-0.85947813851470189</v>
      </c>
      <c r="R6" s="312">
        <f>O6/$O$34</f>
        <v>5.264769587520837E-4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Cargo'!$JN$19</f>
        <v>236</v>
      </c>
      <c r="D7" s="207">
        <f>+'[3]Sun Country Cargo'!$IZ$19</f>
        <v>186</v>
      </c>
      <c r="E7" s="312">
        <f>(C7-D7)/D7</f>
        <v>0.26881720430107525</v>
      </c>
      <c r="F7" s="310">
        <f>+SUM('[3]Sun Country Cargo'!$JH$19:$JN$19)</f>
        <v>1400</v>
      </c>
      <c r="G7" s="207">
        <f>+SUM('[3]Sun Country Cargo'!$IT$19:$IZ$19)</f>
        <v>1436</v>
      </c>
      <c r="H7" s="311">
        <f>(F7-G7)/G7</f>
        <v>-2.5069637883008356E-2</v>
      </c>
      <c r="I7" s="312">
        <f>+F7/$F$34</f>
        <v>0.19026909486273444</v>
      </c>
      <c r="J7" s="36"/>
      <c r="K7" s="306" t="s">
        <v>49</v>
      </c>
      <c r="L7" s="310">
        <f>+'[3]Sun Country Cargo'!$JN$64</f>
        <v>5547528</v>
      </c>
      <c r="M7" s="207">
        <f>+'[3]Sun Country Cargo'!$IZ$64</f>
        <v>4235917</v>
      </c>
      <c r="N7" s="312">
        <f>(L7-M7)/M7</f>
        <v>0.30964039191513903</v>
      </c>
      <c r="O7" s="207">
        <f>+SUM('[3]Sun Country Cargo'!$JH$64:$JN$64)</f>
        <v>34850043</v>
      </c>
      <c r="P7" s="207">
        <f>+SUM('[3]Sun Country Cargo'!$IT$64:$IZ$64)</f>
        <v>32440569</v>
      </c>
      <c r="Q7" s="311">
        <f>(O7-P7)/P7</f>
        <v>7.4273481454656357E-2</v>
      </c>
      <c r="R7" s="312">
        <f>O7/$O$34</f>
        <v>0.16886085122790589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126</v>
      </c>
      <c r="D9" s="370">
        <f>SUM(D10:D18)</f>
        <v>126</v>
      </c>
      <c r="E9" s="371">
        <f>(C9-D9)/D9</f>
        <v>0</v>
      </c>
      <c r="F9" s="370">
        <f>SUM(F10:F18)</f>
        <v>856</v>
      </c>
      <c r="G9" s="370">
        <f>SUM(G10:G18)</f>
        <v>852</v>
      </c>
      <c r="H9" s="372">
        <f>(F9-G9)/G9</f>
        <v>4.6948356807511738E-3</v>
      </c>
      <c r="I9" s="371">
        <f t="shared" ref="I9:I18" si="0">+F9/$F$34</f>
        <v>0.11633596085892906</v>
      </c>
      <c r="J9" s="246" t="s">
        <v>194</v>
      </c>
      <c r="K9" s="37"/>
      <c r="L9" s="370">
        <f>SUM(L10:L18)</f>
        <v>1452725</v>
      </c>
      <c r="M9" s="370">
        <f>SUM(M10:M18)</f>
        <v>1611394</v>
      </c>
      <c r="N9" s="371">
        <f t="shared" ref="N9:N10" si="1">(L9-M9)/M9</f>
        <v>-9.8466917464009429E-2</v>
      </c>
      <c r="O9" s="370">
        <f>SUM(O10:O18)</f>
        <v>8649197</v>
      </c>
      <c r="P9" s="370">
        <f>SUM(P10:P18)</f>
        <v>9949224</v>
      </c>
      <c r="Q9" s="372">
        <f t="shared" ref="Q9:Q18" si="2">(O9-P9)/P9</f>
        <v>-0.13066617054757235</v>
      </c>
      <c r="R9" s="371">
        <f t="shared" ref="R9:R18" si="3">O9/$O$34</f>
        <v>4.1908435173461621E-2</v>
      </c>
      <c r="T9" s="379"/>
    </row>
    <row r="10" spans="1:20" ht="14.1" customHeight="1" x14ac:dyDescent="0.2">
      <c r="A10" s="246"/>
      <c r="B10" s="306" t="s">
        <v>195</v>
      </c>
      <c r="C10" s="310">
        <f>+[3]Airborne!$JN$19</f>
        <v>14</v>
      </c>
      <c r="D10" s="207">
        <f>+[3]Airborne!$IZ$19</f>
        <v>4</v>
      </c>
      <c r="E10" s="312">
        <f>(C10-D10)/D10</f>
        <v>2.5</v>
      </c>
      <c r="F10" s="310">
        <f>+SUM([3]Airborne!$JH$19:$JN$19)</f>
        <v>52</v>
      </c>
      <c r="G10" s="207">
        <f>+SUM([3]Airborne!$IT$19:$IZ$19)</f>
        <v>52</v>
      </c>
      <c r="H10" s="311">
        <f>(F10-G10)/G10</f>
        <v>0</v>
      </c>
      <c r="I10" s="312">
        <f t="shared" si="0"/>
        <v>7.0671378091872791E-3</v>
      </c>
      <c r="J10" s="246"/>
      <c r="K10" s="306" t="s">
        <v>195</v>
      </c>
      <c r="L10" s="310">
        <f>+[3]Airborne!$JN$64</f>
        <v>586529</v>
      </c>
      <c r="M10" s="207">
        <f>+[3]Airborne!$IZ$64</f>
        <v>167238</v>
      </c>
      <c r="N10" s="312">
        <f t="shared" si="1"/>
        <v>2.5071514847104126</v>
      </c>
      <c r="O10" s="310">
        <f>+SUM([3]Airborne!$JH$64:$JN$64)</f>
        <v>1924840</v>
      </c>
      <c r="P10" s="207">
        <f>+SUM([3]Airborne!$IT$64:$IZ$64)</f>
        <v>2131215</v>
      </c>
      <c r="Q10" s="311">
        <f t="shared" si="2"/>
        <v>-9.6834434817697893E-2</v>
      </c>
      <c r="R10" s="312">
        <f t="shared" si="3"/>
        <v>9.3265342851233321E-3</v>
      </c>
      <c r="T10" s="379"/>
    </row>
    <row r="11" spans="1:20" ht="14.1" customHeight="1" x14ac:dyDescent="0.2">
      <c r="A11" s="246"/>
      <c r="B11" s="37" t="s">
        <v>193</v>
      </c>
      <c r="C11" s="310">
        <f>+[3]DHL_Atlas!$JN$19</f>
        <v>0</v>
      </c>
      <c r="D11" s="207">
        <f>+[3]DHL_Atlas!$IZ$19</f>
        <v>0</v>
      </c>
      <c r="E11" s="312">
        <f>IFERROR((C11-D11)/D11,0)</f>
        <v>0</v>
      </c>
      <c r="F11" s="310">
        <f>+SUM([3]DHL_Atlas!$JH$19:$JN$19)</f>
        <v>0</v>
      </c>
      <c r="G11" s="207">
        <f>+SUM([3]DHL_Atlas!$IT$19:$IZ$19)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+[3]DHL_Atlas!$JN$64</f>
        <v>0</v>
      </c>
      <c r="M11" s="207">
        <f>+[3]DHL_Atlas!$IZ$64</f>
        <v>0</v>
      </c>
      <c r="N11" s="312">
        <f>IFERROR((L11-M11)/M11,0)</f>
        <v>0</v>
      </c>
      <c r="O11" s="310">
        <f>+SUM([3]DHL_Atlas!$JH$64:$JN$64)</f>
        <v>0</v>
      </c>
      <c r="P11" s="207">
        <f>+SUM([3]DHL_Atlas!$IT$64:$IZ$64)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+[3]DHL!$JN$19</f>
        <v>0</v>
      </c>
      <c r="D12" s="207">
        <f>+[3]DHL!$IZ$19</f>
        <v>42</v>
      </c>
      <c r="E12" s="312">
        <f>IFERROR((C12-D12)/D12,0)</f>
        <v>-1</v>
      </c>
      <c r="F12" s="310">
        <f>+SUM([3]DHL!$JH$19:$JN$19)</f>
        <v>12</v>
      </c>
      <c r="G12" s="207">
        <f>+SUM([3]DHL!$IT$19:$IZ$19)</f>
        <v>164</v>
      </c>
      <c r="H12" s="311">
        <f>IFERROR((F12-G12)/G12,0)</f>
        <v>-0.92682926829268297</v>
      </c>
      <c r="I12" s="312">
        <f t="shared" si="0"/>
        <v>1.6308779559662953E-3</v>
      </c>
      <c r="J12" s="246"/>
      <c r="K12" s="37" t="s">
        <v>231</v>
      </c>
      <c r="L12" s="310">
        <f>+[3]DHL!$JN$64</f>
        <v>0</v>
      </c>
      <c r="M12" s="207">
        <f>+[3]DHL!$IZ$64</f>
        <v>1352101</v>
      </c>
      <c r="N12" s="312">
        <f>IFERROR((L12-M12)/M12,0)</f>
        <v>-1</v>
      </c>
      <c r="O12" s="310">
        <f>+SUM([3]DHL!$JH$64:$JN$64)</f>
        <v>336675</v>
      </c>
      <c r="P12" s="207">
        <f>+SUM([3]DHL!$IT$64:$IZ$64)</f>
        <v>4502692</v>
      </c>
      <c r="Q12" s="311">
        <f>IFERROR((O12-P12)/P12,0)</f>
        <v>-0.92522806356730591</v>
      </c>
      <c r="R12" s="312">
        <f t="shared" si="3"/>
        <v>1.6313100987323092E-3</v>
      </c>
      <c r="T12" s="379"/>
    </row>
    <row r="13" spans="1:20" ht="14.1" customHeight="1" x14ac:dyDescent="0.2">
      <c r="A13" s="246"/>
      <c r="B13" s="306" t="s">
        <v>83</v>
      </c>
      <c r="C13" s="310">
        <f>+[3]DHL_Bemidji!$JN$19</f>
        <v>82</v>
      </c>
      <c r="D13" s="207">
        <f>+[3]DHL_Bemidji!$IZ$19</f>
        <v>80</v>
      </c>
      <c r="E13" s="312">
        <f>(C13-D13)/D13</f>
        <v>2.5000000000000001E-2</v>
      </c>
      <c r="F13" s="310">
        <f>+SUM([3]DHL_Bemidji!$JH$19:$JN$19)</f>
        <v>556</v>
      </c>
      <c r="G13" s="207">
        <f>+SUM([3]DHL_Bemidji!$IT$19:$IZ$19)</f>
        <v>536</v>
      </c>
      <c r="H13" s="311">
        <f t="shared" ref="H13:H18" si="4">(F13-G13)/G13</f>
        <v>3.7313432835820892E-2</v>
      </c>
      <c r="I13" s="312">
        <f t="shared" si="0"/>
        <v>7.5564011959771679E-2</v>
      </c>
      <c r="J13" s="246"/>
      <c r="K13" s="306" t="s">
        <v>83</v>
      </c>
      <c r="L13" s="310">
        <f>+[3]DHL_Bemidji!$JN$64</f>
        <v>103012</v>
      </c>
      <c r="M13" s="207">
        <f>+[3]DHL_Bemidji!$IZ$64</f>
        <v>92055</v>
      </c>
      <c r="N13" s="312">
        <f t="shared" ref="N13" si="5">(L13-M13)/M13</f>
        <v>0.11902666883928087</v>
      </c>
      <c r="O13" s="310">
        <f>+SUM([3]DHL_Bemidji!$JH$64:$JN$64)</f>
        <v>600842</v>
      </c>
      <c r="P13" s="207">
        <f>+SUM([3]DHL_Bemidji!$IT$64:$IZ$64)</f>
        <v>635367</v>
      </c>
      <c r="Q13" s="311">
        <f t="shared" ref="Q13" si="6">(O13-P13)/P13</f>
        <v>-5.4338673554024684E-2</v>
      </c>
      <c r="R13" s="312">
        <f t="shared" si="3"/>
        <v>2.9112931531670547E-3</v>
      </c>
      <c r="T13" s="379"/>
    </row>
    <row r="14" spans="1:20" ht="14.1" customHeight="1" x14ac:dyDescent="0.2">
      <c r="A14" s="246"/>
      <c r="B14" s="37" t="s">
        <v>184</v>
      </c>
      <c r="C14" s="310">
        <f>+[3]Encore!$JN$19+[3]DHL_Encore!$JN$12</f>
        <v>0</v>
      </c>
      <c r="D14" s="207">
        <f>+[3]Encore!$IZ$19+[3]DHL_Encore!$IZ$19</f>
        <v>0</v>
      </c>
      <c r="E14" s="312">
        <f>IFERROR((C14-D14)/D14,0)</f>
        <v>0</v>
      </c>
      <c r="F14" s="310">
        <f>+SUM([3]Encore!$JH$19:$JN$19)+SUM([3]DHL_Encore!$JH$19:$JN$19)</f>
        <v>0</v>
      </c>
      <c r="G14" s="207">
        <f>+SUM([3]Encore!$IT$19:$IZ$19)+SUM([3]DHL_Encore!$IT$19:$IZ$19)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+[3]Encore!$JN$64+[3]DHL_Encore!$JN$64</f>
        <v>0</v>
      </c>
      <c r="M14" s="207">
        <f>+[3]Encore!$IZ$64+[3]DHL_Encore!$IZ$64</f>
        <v>0</v>
      </c>
      <c r="N14" s="312">
        <f>IFERROR((L14-M14)/M14,0)</f>
        <v>0</v>
      </c>
      <c r="O14" s="310">
        <f>+SUM([3]Encore!$JH$64:$JN$64)+SUM([3]DHL_Encore!$JH$64:$JN$64)</f>
        <v>0</v>
      </c>
      <c r="P14" s="207">
        <f>+SUM([3]Encore!$IT$64:$IZ$64)+SUM([3]DHL_Encore!$IT$64:$IZ$64)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+[3]DHL_Kalitta!$JN$19</f>
        <v>30</v>
      </c>
      <c r="D15" s="207">
        <f>+[3]DHL_Kalitta!$IZ$19</f>
        <v>0</v>
      </c>
      <c r="E15" s="312">
        <f>IFERROR((C15-D15)/D15,0)</f>
        <v>0</v>
      </c>
      <c r="F15" s="310">
        <f>+SUM([3]DHL_Kalitta!$JH$19:$JN$19)</f>
        <v>236</v>
      </c>
      <c r="G15" s="207">
        <f>+SUM([3]DHL_Kalitta!$IT$19:$IZ$19)</f>
        <v>96</v>
      </c>
      <c r="H15" s="311">
        <f t="shared" si="4"/>
        <v>1.4583333333333333</v>
      </c>
      <c r="I15" s="312">
        <f t="shared" si="0"/>
        <v>3.2073933134003807E-2</v>
      </c>
      <c r="J15" s="246"/>
      <c r="K15" s="37" t="s">
        <v>196</v>
      </c>
      <c r="L15" s="310">
        <f>+[3]DHL_Kalitta!$JN$64</f>
        <v>763184</v>
      </c>
      <c r="M15" s="207">
        <f>+[3]DHL_Kalitta!$IZ$64</f>
        <v>0</v>
      </c>
      <c r="N15" s="312">
        <f>IFERROR((L15-M15)/M15,0)</f>
        <v>0</v>
      </c>
      <c r="O15" s="310">
        <f>+SUM([3]DHL_Kalitta!$JH$64:$JN$64)</f>
        <v>5786840</v>
      </c>
      <c r="P15" s="207">
        <f>+SUM([3]DHL_Kalitta!$IT$64:$IZ$64)</f>
        <v>2603803</v>
      </c>
      <c r="Q15" s="311">
        <f t="shared" si="2"/>
        <v>1.2224569216641965</v>
      </c>
      <c r="R15" s="312">
        <f t="shared" si="3"/>
        <v>2.8039297636438927E-2</v>
      </c>
      <c r="T15" s="379"/>
    </row>
    <row r="16" spans="1:20" ht="14.1" customHeight="1" x14ac:dyDescent="0.2">
      <c r="A16" s="246"/>
      <c r="B16" s="37" t="s">
        <v>51</v>
      </c>
      <c r="C16" s="310">
        <f>+[3]DHL_Mesa!$JN$19</f>
        <v>0</v>
      </c>
      <c r="D16" s="207">
        <f>+[3]DHL_Mesa!$IZ$19</f>
        <v>0</v>
      </c>
      <c r="E16" s="312">
        <f>IFERROR((C16-D16)/D16,0)</f>
        <v>0</v>
      </c>
      <c r="F16" s="310">
        <f>+SUM([3]DHL_Mesa!$JH$19:$JN$19)</f>
        <v>0</v>
      </c>
      <c r="G16" s="207">
        <f>+SUM([3]DHL_Mesa!$IT$19:$IZ$19)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+[3]DHL_Mesa!$JN$64</f>
        <v>0</v>
      </c>
      <c r="M16" s="207">
        <f>+[3]DHL_Mesa!$IZ$64</f>
        <v>0</v>
      </c>
      <c r="N16" s="312">
        <f>IFERROR((L16-M16)/M16,0)</f>
        <v>0</v>
      </c>
      <c r="O16" s="310">
        <f>+SUM([3]DHL_Mesa!$JH$64:$JN$64)</f>
        <v>0</v>
      </c>
      <c r="P16" s="207">
        <f>+SUM([3]DHL_Mesa!$IT$64:$IZ$64)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+[3]DHL_Amerijet!$JN$19</f>
        <v>0</v>
      </c>
      <c r="D17" s="207">
        <f>+[3]DHL_Amerijet!$IZ$19</f>
        <v>0</v>
      </c>
      <c r="E17" s="312">
        <f>IFERROR((C17-D17)/D17,0)</f>
        <v>0</v>
      </c>
      <c r="F17" s="310">
        <f>+SUM([3]DHL_Amerijet!$JH$19:$JN$19)</f>
        <v>0</v>
      </c>
      <c r="G17" s="207">
        <f>+SUM([3]DHL_Amerijet!$IT$19:$IZ$19)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+[3]DHL_Amerijet!$JN$64</f>
        <v>0</v>
      </c>
      <c r="M17" s="207">
        <f>+[3]DHL_Amerijet!$IZ$64</f>
        <v>0</v>
      </c>
      <c r="N17" s="312">
        <f>IFERROR((L17-M17)/M17,0)</f>
        <v>0</v>
      </c>
      <c r="O17" s="310">
        <f>+SUM([3]DHL_Amerijet!$JH$64:$JN$64)</f>
        <v>0</v>
      </c>
      <c r="P17" s="207">
        <f>+SUM([3]DHL_Amerijet!$IT$64:$IZ$64)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+[3]DHL_Swift!$JN$19</f>
        <v>0</v>
      </c>
      <c r="D18" s="207">
        <f>+[3]DHL_Swift!$IZ$19</f>
        <v>0</v>
      </c>
      <c r="E18" s="312">
        <f>IFERROR((C18-D18)/D18,0)</f>
        <v>0</v>
      </c>
      <c r="F18" s="310">
        <f>+SUM([3]DHL_Swift!$JH$19:$JN$19)</f>
        <v>0</v>
      </c>
      <c r="G18" s="207">
        <f>+SUM([3]DHL_Swift!$IT$19:$IZ$19)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+[3]DHL_Swift!$JN$64</f>
        <v>0</v>
      </c>
      <c r="M18" s="207">
        <f>+[3]DHL_Swift!$IZ$64</f>
        <v>0</v>
      </c>
      <c r="N18" s="312">
        <f>IFERROR((L18-M18)/M18,0)</f>
        <v>0</v>
      </c>
      <c r="O18" s="310">
        <f>+SUM([3]DHL_Swift!$JH$64:$JN$64)</f>
        <v>0</v>
      </c>
      <c r="P18" s="207">
        <f>+SUM([3]DHL_Swift!$IT$64:$IZ$64)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228</v>
      </c>
      <c r="D20" s="370">
        <f>SUM(D21:D24)</f>
        <v>242</v>
      </c>
      <c r="E20" s="371">
        <f>(C20-D20)/D20</f>
        <v>-5.7851239669421489E-2</v>
      </c>
      <c r="F20" s="374">
        <f>SUM(F21:F24)</f>
        <v>1480</v>
      </c>
      <c r="G20" s="370">
        <f>SUM(G21:G24)</f>
        <v>1778</v>
      </c>
      <c r="H20" s="372">
        <f t="shared" ref="H20:H21" si="11">(F20-G20)/G20</f>
        <v>-0.16760404949381327</v>
      </c>
      <c r="I20" s="371">
        <f>+F20/$F$34</f>
        <v>0.2011416145691764</v>
      </c>
      <c r="J20" s="246" t="s">
        <v>174</v>
      </c>
      <c r="K20" s="37"/>
      <c r="L20" s="374">
        <f>SUM(L21:L24)</f>
        <v>11106176</v>
      </c>
      <c r="M20" s="370">
        <f>SUM(M21:M24)</f>
        <v>12897637</v>
      </c>
      <c r="N20" s="371">
        <f>(L20-M20)/M20</f>
        <v>-0.13889838890643302</v>
      </c>
      <c r="O20" s="374">
        <f>SUM(O21:O24)</f>
        <v>71861822</v>
      </c>
      <c r="P20" s="370">
        <f>SUM(P21:P24)</f>
        <v>90772019</v>
      </c>
      <c r="Q20" s="372">
        <f t="shared" ref="Q20:Q22" si="12">(O20-P20)/P20</f>
        <v>-0.20832627948927743</v>
      </c>
      <c r="R20" s="371">
        <f>O20/$O$34</f>
        <v>0.34819608210263198</v>
      </c>
      <c r="T20" s="379"/>
    </row>
    <row r="21" spans="1:20" ht="14.1" customHeight="1" x14ac:dyDescent="0.2">
      <c r="A21" s="36"/>
      <c r="B21" s="306" t="s">
        <v>174</v>
      </c>
      <c r="C21" s="310">
        <f>+[3]FedEx!$JN$19</f>
        <v>146</v>
      </c>
      <c r="D21" s="207">
        <f>+[3]FedEx!$IZ$19</f>
        <v>166</v>
      </c>
      <c r="E21" s="312">
        <f>(C21-D21)/D21</f>
        <v>-0.12048192771084337</v>
      </c>
      <c r="F21" s="310">
        <f>+SUM([3]FedEx!$JH$19:$JN$19)</f>
        <v>950</v>
      </c>
      <c r="G21" s="207">
        <f>+SUM([3]FedEx!$IT$19:$IZ$19)</f>
        <v>1250</v>
      </c>
      <c r="H21" s="311">
        <f t="shared" si="11"/>
        <v>-0.24</v>
      </c>
      <c r="I21" s="312">
        <f>+F21/$F$34</f>
        <v>0.12911117151399837</v>
      </c>
      <c r="J21" s="246"/>
      <c r="K21" s="306" t="s">
        <v>174</v>
      </c>
      <c r="L21" s="310">
        <f>+[3]FedEx!$JN$64</f>
        <v>10873876</v>
      </c>
      <c r="M21" s="207">
        <f>+[3]FedEx!$IZ$64</f>
        <v>12670797</v>
      </c>
      <c r="N21" s="312">
        <f>(L21-M21)/M21</f>
        <v>-0.14181594101775918</v>
      </c>
      <c r="O21" s="310">
        <f>+SUM([3]FedEx!$JH$64:$JN$64)</f>
        <v>70414497</v>
      </c>
      <c r="P21" s="207">
        <f>+SUM([3]FedEx!$IT$64:$IZ$64)</f>
        <v>89367599</v>
      </c>
      <c r="Q21" s="311">
        <f t="shared" si="12"/>
        <v>-0.21208024174399046</v>
      </c>
      <c r="R21" s="312">
        <f>O21/$O$34</f>
        <v>0.34118327779982444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Cargo'!$JN$19</f>
        <v>46</v>
      </c>
      <c r="D22" s="207">
        <f>+'[3]Mountain Cargo'!$IZ$19</f>
        <v>42</v>
      </c>
      <c r="E22" s="312">
        <f>(C22-D22)/D22</f>
        <v>9.5238095238095233E-2</v>
      </c>
      <c r="F22" s="310">
        <f>+SUM('[3]Mountain Cargo'!$JH$19:$JN$19)</f>
        <v>296</v>
      </c>
      <c r="G22" s="207">
        <f>+SUM('[3]Mountain Cargo'!$IT$19:$IZ$19)</f>
        <v>296</v>
      </c>
      <c r="H22" s="311">
        <f>(F22-G22)/G22</f>
        <v>0</v>
      </c>
      <c r="I22" s="312">
        <f>+F22/$F$34</f>
        <v>4.0228322913835282E-2</v>
      </c>
      <c r="J22" s="351"/>
      <c r="K22" s="306" t="s">
        <v>198</v>
      </c>
      <c r="L22" s="310">
        <f>+'[3]Mountain Cargo'!$JN$64</f>
        <v>159093</v>
      </c>
      <c r="M22" s="207">
        <f>+'[3]Mountain Cargo'!$IZ$64</f>
        <v>183489</v>
      </c>
      <c r="N22" s="312">
        <f>(L22-M22)/M22</f>
        <v>-0.13295619900920491</v>
      </c>
      <c r="O22" s="310">
        <f>+SUM('[3]Mountain Cargo'!$JH$64:$JN$64)</f>
        <v>993586</v>
      </c>
      <c r="P22" s="207">
        <f>+SUM('[3]Mountain Cargo'!$IT$64:$IZ$64)</f>
        <v>1021851</v>
      </c>
      <c r="Q22" s="311">
        <f t="shared" si="12"/>
        <v>-2.7660588481099493E-2</v>
      </c>
      <c r="R22" s="312">
        <f>O22/$O$34</f>
        <v>4.8142774953858769E-3</v>
      </c>
      <c r="T22" s="379"/>
    </row>
    <row r="23" spans="1:20" ht="14.1" customHeight="1" x14ac:dyDescent="0.2">
      <c r="A23" s="36"/>
      <c r="B23" s="306" t="s">
        <v>168</v>
      </c>
      <c r="C23" s="310">
        <f>+[3]IFL!$JN$19</f>
        <v>36</v>
      </c>
      <c r="D23" s="207">
        <f>+[3]IFL!$IZ$19</f>
        <v>34</v>
      </c>
      <c r="E23" s="312">
        <f>(C23-D23)/D23</f>
        <v>5.8823529411764705E-2</v>
      </c>
      <c r="F23" s="310">
        <f>+SUM([3]IFL!$JH$19:$JN$19)</f>
        <v>234</v>
      </c>
      <c r="G23" s="207">
        <f>+SUM([3]IFL!$IT$19:$IZ$19)</f>
        <v>232</v>
      </c>
      <c r="H23" s="311">
        <f>(F23-G23)/G23</f>
        <v>8.6206896551724137E-3</v>
      </c>
      <c r="I23" s="312">
        <f>+F23/$F$34</f>
        <v>3.1802120141342753E-2</v>
      </c>
      <c r="J23" s="351"/>
      <c r="K23" s="306" t="s">
        <v>168</v>
      </c>
      <c r="L23" s="310">
        <f>+[3]IFL!$JN$64</f>
        <v>73207</v>
      </c>
      <c r="M23" s="207">
        <f>+[3]IFL!$IZ$64</f>
        <v>43351</v>
      </c>
      <c r="N23" s="312">
        <f>(L23-M23)/M23</f>
        <v>0.68870383612834762</v>
      </c>
      <c r="O23" s="310">
        <f>+SUM([3]IFL!$JH$64:$JN$64)</f>
        <v>453739</v>
      </c>
      <c r="P23" s="207">
        <f>+SUM([3]IFL!$IT$64:$IZ$64)</f>
        <v>382569</v>
      </c>
      <c r="Q23" s="311">
        <f>(O23-P23)/P23</f>
        <v>0.18603180079933293</v>
      </c>
      <c r="R23" s="312">
        <f>O23/$O$34</f>
        <v>2.1985268074216952E-3</v>
      </c>
      <c r="T23" s="379"/>
    </row>
    <row r="24" spans="1:20" ht="14.1" customHeight="1" x14ac:dyDescent="0.2">
      <c r="A24" s="246"/>
      <c r="B24" s="306" t="s">
        <v>84</v>
      </c>
      <c r="C24" s="310">
        <f>+'[3]CSA Air'!$JN$19</f>
        <v>0</v>
      </c>
      <c r="D24" s="207">
        <f>+'[3]CSA Air'!$IZ$19</f>
        <v>0</v>
      </c>
      <c r="E24" s="312">
        <f>IFERROR((C24-D24)/D24,)</f>
        <v>0</v>
      </c>
      <c r="F24" s="310">
        <f>+SUM('[3]CSA Air'!$JH$19:$JN$19)</f>
        <v>0</v>
      </c>
      <c r="G24" s="207">
        <f>+SUM('[3]CSA Air'!$IT$19:$IZ$19)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Air'!$JN$64</f>
        <v>0</v>
      </c>
      <c r="M24" s="207">
        <f>+'[3]CSA Air'!$IZ$64</f>
        <v>0</v>
      </c>
      <c r="N24" s="312">
        <f>IFERROR((L24-M24)/M24,0)</f>
        <v>0</v>
      </c>
      <c r="O24" s="310">
        <f>+SUM('[3]CSA Air'!$JH$64:$JN$64)</f>
        <v>0</v>
      </c>
      <c r="P24" s="207">
        <f>+SUM('[3]CSA Air'!$IT$64:$IZ$64)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535</v>
      </c>
      <c r="D26" s="370">
        <f>SUM(D27:D28)</f>
        <v>517</v>
      </c>
      <c r="E26" s="371">
        <f>(C26-D26)/D26</f>
        <v>3.4816247582205029E-2</v>
      </c>
      <c r="F26" s="370">
        <f>SUM(F27:F28)</f>
        <v>3612</v>
      </c>
      <c r="G26" s="370">
        <f>SUM(G27:G28)</f>
        <v>3589</v>
      </c>
      <c r="H26" s="372">
        <f>(F26-G26)/G26</f>
        <v>6.4084703259960994E-3</v>
      </c>
      <c r="I26" s="371">
        <f>+F26/$F$34</f>
        <v>0.49089426474585485</v>
      </c>
      <c r="J26" s="246" t="s">
        <v>82</v>
      </c>
      <c r="K26" s="37"/>
      <c r="L26" s="370">
        <f>SUM(L27:L28)</f>
        <v>14546484</v>
      </c>
      <c r="M26" s="370">
        <f>SUM(M27:M28)</f>
        <v>9848546</v>
      </c>
      <c r="N26" s="371">
        <f>(L26-M26)/M26</f>
        <v>0.47701843500553281</v>
      </c>
      <c r="O26" s="370">
        <f>SUM(O27:O28)</f>
        <v>90875448</v>
      </c>
      <c r="P26" s="370">
        <f>SUM(P27:P28)</f>
        <v>64111352</v>
      </c>
      <c r="Q26" s="372">
        <f>(O26-P26)/P26</f>
        <v>0.41746266714200631</v>
      </c>
      <c r="R26" s="371">
        <f>O26/$O$34</f>
        <v>0.44032386143676489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+[3]UPS!$JN$19</f>
        <v>227</v>
      </c>
      <c r="D27" s="207">
        <f>+[3]UPS!$IZ$19</f>
        <v>185</v>
      </c>
      <c r="E27" s="312">
        <f>(C27-D27)/D27</f>
        <v>0.22702702702702704</v>
      </c>
      <c r="F27" s="310">
        <f>+SUM([3]UPS!$JH$19:$JN$19)</f>
        <v>1554</v>
      </c>
      <c r="G27" s="207">
        <f>+SUM([3]UPS!$IT$19:$IZ$19)</f>
        <v>1243</v>
      </c>
      <c r="H27" s="311">
        <f>(F27-G27)/G27</f>
        <v>0.250201126307321</v>
      </c>
      <c r="I27" s="312">
        <f>+F27/$F$34</f>
        <v>0.21119869529763521</v>
      </c>
      <c r="J27" s="246"/>
      <c r="K27" s="306" t="s">
        <v>82</v>
      </c>
      <c r="L27" s="310">
        <f>+[3]UPS!$JN$64</f>
        <v>14546484</v>
      </c>
      <c r="M27" s="207">
        <f>+[3]UPS!$IZ$64</f>
        <v>9848546</v>
      </c>
      <c r="N27" s="312">
        <f>(L27-M27)/M27</f>
        <v>0.47701843500553281</v>
      </c>
      <c r="O27" s="310">
        <f>+SUM([3]UPS!$JH$64:$JN$64)</f>
        <v>90875448</v>
      </c>
      <c r="P27" s="207">
        <f>+SUM([3]UPS!$IT$64:$IZ$64)</f>
        <v>64111352</v>
      </c>
      <c r="Q27" s="311">
        <f>(O27-P27)/P27</f>
        <v>0.41746266714200631</v>
      </c>
      <c r="R27" s="312">
        <f>O27/$O$34</f>
        <v>0.44032386143676489</v>
      </c>
      <c r="S27" s="328"/>
      <c r="T27" s="381"/>
    </row>
    <row r="28" spans="1:20" x14ac:dyDescent="0.2">
      <c r="A28" s="246"/>
      <c r="B28" s="306" t="s">
        <v>83</v>
      </c>
      <c r="C28" s="310">
        <f>+[3]Bemidji!$JN$19</f>
        <v>308</v>
      </c>
      <c r="D28" s="207">
        <f>+[3]Bemidji!$IZ$19</f>
        <v>332</v>
      </c>
      <c r="E28" s="312">
        <f>(C28-D28)/D28</f>
        <v>-7.2289156626506021E-2</v>
      </c>
      <c r="F28" s="310">
        <f>+SUM([3]Bemidji!$JH$19:$JN$19)</f>
        <v>2058</v>
      </c>
      <c r="G28" s="207">
        <f>+SUM([3]Bemidji!$IT$19:$IZ$19)</f>
        <v>2346</v>
      </c>
      <c r="H28" s="311">
        <f t="shared" ref="H28" si="13">(F28-G28)/G28</f>
        <v>-0.12276214833759591</v>
      </c>
      <c r="I28" s="312">
        <f>+F28/$F$34</f>
        <v>0.27969556944821961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Cargo'!$JN$19</f>
        <v>0</v>
      </c>
      <c r="D30" s="370">
        <f>+'[3]Misc Cargo'!$IZ$19</f>
        <v>0</v>
      </c>
      <c r="E30" s="371">
        <f>IFERROR((C30-D30)/D30,0)</f>
        <v>0</v>
      </c>
      <c r="F30" s="374">
        <f>+SUM('[3]Misc Cargo'!$JH$19:$JN$19)</f>
        <v>2</v>
      </c>
      <c r="G30" s="370">
        <f>+SUM('[3]Misc Cargo'!$IT$19:$IZ$19)</f>
        <v>0</v>
      </c>
      <c r="H30" s="372">
        <f>IFERROR((F30-G30)/G30,0)</f>
        <v>0</v>
      </c>
      <c r="I30" s="371">
        <f>+F30/$F$34</f>
        <v>2.7181299266104919E-4</v>
      </c>
      <c r="J30" s="246" t="s">
        <v>126</v>
      </c>
      <c r="K30" s="37"/>
      <c r="L30" s="374">
        <f>+'[3]Misc Cargo'!$JN$64</f>
        <v>0</v>
      </c>
      <c r="M30" s="370">
        <f>+'[3]Misc Cargo'!$IZ$64</f>
        <v>0</v>
      </c>
      <c r="N30" s="371">
        <f>IFERROR((L30-M30)/M30,0)</f>
        <v>0</v>
      </c>
      <c r="O30" s="374">
        <f>+SUM('[3]Misc Cargo'!$JH$64:$JN$64)</f>
        <v>38035</v>
      </c>
      <c r="P30" s="370">
        <f>+SUM('[3]Misc Cargo'!$IT$64:$IZ$64)</f>
        <v>0</v>
      </c>
      <c r="Q30" s="372">
        <f>IFERROR((O30-P30)/P30,0)</f>
        <v>0</v>
      </c>
      <c r="R30" s="371">
        <f>O30/$O$34</f>
        <v>1.8429310048350301E-4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1125</v>
      </c>
      <c r="D34" s="332">
        <f>+D30+D26+D20+D9+D5</f>
        <v>1073</v>
      </c>
      <c r="E34" s="333">
        <f>(C34-D34)/D34</f>
        <v>4.8462255358807084E-2</v>
      </c>
      <c r="F34" s="332">
        <f>+F30+F26+F20+F9+F5</f>
        <v>7358</v>
      </c>
      <c r="G34" s="332">
        <f>+G30+G26+G20+G9+G5</f>
        <v>7677</v>
      </c>
      <c r="H34" s="334">
        <f>(F34-G34)/G34</f>
        <v>-4.1552689852807086E-2</v>
      </c>
      <c r="I34" s="340"/>
      <c r="K34" s="331" t="s">
        <v>175</v>
      </c>
      <c r="L34" s="332">
        <f>+L30+L26+L20+L9+L5</f>
        <v>32652913</v>
      </c>
      <c r="M34" s="332">
        <f>+M30+M26+M20+M9+M5</f>
        <v>28730260</v>
      </c>
      <c r="N34" s="335">
        <f>(L34-M34)/M34</f>
        <v>0.13653384967626467</v>
      </c>
      <c r="O34" s="332">
        <f>+O30+O26+O20+O9+O5</f>
        <v>206383201</v>
      </c>
      <c r="P34" s="332">
        <f>+P30+P26+P20+P9+P5</f>
        <v>198046396</v>
      </c>
      <c r="Q34" s="334">
        <f t="shared" ref="Q34" si="14">(O34-P34)/P34</f>
        <v>4.2095211871464706E-2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2025-08-25T15:43:26Z</dcterms:modified>
</cp:coreProperties>
</file>