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6\"/>
    </mc:Choice>
  </mc:AlternateContent>
  <xr:revisionPtr revIDLastSave="0" documentId="13_ncr:1_{63FB56A7-B4BF-4CEF-A842-AF54A1C82C94}" xr6:coauthVersionLast="47" xr6:coauthVersionMax="47" xr10:uidLastSave="{00000000-0000-0000-0000-000000000000}"/>
  <bookViews>
    <workbookView xWindow="28680" yWindow="-120" windowWidth="29040" windowHeight="1572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Activity'!$A$1:$AJ$57</definedName>
    <definedName name="_xlnm.Print_Area" localSheetId="2">'Other Major Airline Stats'!$A$2:$K$50</definedName>
    <definedName name="_xlnm.Print_Area" localSheetId="4">'Other Regional'!$A$1:$H$48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51" i="9" l="1"/>
  <c r="AE51" i="9"/>
  <c r="Y51" i="9"/>
  <c r="V51" i="9"/>
  <c r="P51" i="9"/>
  <c r="M51" i="9"/>
  <c r="G51" i="9"/>
  <c r="D51" i="9"/>
  <c r="AH49" i="9"/>
  <c r="AE49" i="9"/>
  <c r="Y49" i="9"/>
  <c r="V49" i="9"/>
  <c r="P49" i="9"/>
  <c r="M49" i="9"/>
  <c r="G49" i="9"/>
  <c r="D49" i="9"/>
  <c r="AH48" i="9"/>
  <c r="AE48" i="9"/>
  <c r="Y48" i="9"/>
  <c r="V48" i="9"/>
  <c r="P48" i="9"/>
  <c r="M48" i="9"/>
  <c r="G48" i="9"/>
  <c r="D48" i="9"/>
  <c r="AH47" i="9"/>
  <c r="AE47" i="9"/>
  <c r="Y47" i="9"/>
  <c r="V47" i="9"/>
  <c r="P47" i="9"/>
  <c r="M47" i="9"/>
  <c r="G47" i="9"/>
  <c r="D47" i="9"/>
  <c r="AH46" i="9"/>
  <c r="AE46" i="9"/>
  <c r="Y46" i="9"/>
  <c r="V46" i="9"/>
  <c r="P46" i="9"/>
  <c r="M46" i="9"/>
  <c r="G46" i="9"/>
  <c r="D46" i="9"/>
  <c r="AH43" i="9"/>
  <c r="AE43" i="9"/>
  <c r="Y43" i="9"/>
  <c r="V43" i="9"/>
  <c r="P43" i="9"/>
  <c r="M43" i="9"/>
  <c r="G43" i="9"/>
  <c r="D43" i="9"/>
  <c r="AH41" i="9"/>
  <c r="AE41" i="9"/>
  <c r="Y41" i="9"/>
  <c r="V41" i="9"/>
  <c r="P41" i="9"/>
  <c r="M41" i="9"/>
  <c r="G41" i="9"/>
  <c r="D41" i="9"/>
  <c r="AH39" i="9"/>
  <c r="AE39" i="9"/>
  <c r="Y39" i="9"/>
  <c r="V39" i="9"/>
  <c r="P39" i="9"/>
  <c r="M39" i="9"/>
  <c r="G39" i="9"/>
  <c r="D39" i="9"/>
  <c r="AH37" i="9"/>
  <c r="AE37" i="9"/>
  <c r="Y37" i="9"/>
  <c r="V37" i="9"/>
  <c r="P37" i="9"/>
  <c r="M37" i="9"/>
  <c r="G37" i="9"/>
  <c r="D37" i="9"/>
  <c r="AH35" i="9"/>
  <c r="AE35" i="9"/>
  <c r="Y35" i="9"/>
  <c r="V35" i="9"/>
  <c r="P35" i="9"/>
  <c r="M35" i="9"/>
  <c r="G35" i="9"/>
  <c r="D35" i="9"/>
  <c r="AH33" i="9"/>
  <c r="AE33" i="9"/>
  <c r="Y33" i="9"/>
  <c r="V33" i="9"/>
  <c r="P33" i="9"/>
  <c r="M33" i="9"/>
  <c r="G33" i="9"/>
  <c r="D33" i="9"/>
  <c r="AH31" i="9"/>
  <c r="AE31" i="9"/>
  <c r="Y31" i="9"/>
  <c r="V31" i="9"/>
  <c r="P31" i="9"/>
  <c r="M31" i="9"/>
  <c r="G31" i="9"/>
  <c r="D31" i="9"/>
  <c r="AH29" i="9"/>
  <c r="AE29" i="9"/>
  <c r="Y29" i="9"/>
  <c r="V29" i="9"/>
  <c r="P29" i="9"/>
  <c r="M29" i="9"/>
  <c r="G29" i="9"/>
  <c r="D29" i="9"/>
  <c r="AH28" i="9"/>
  <c r="AE28" i="9"/>
  <c r="Y28" i="9"/>
  <c r="V28" i="9"/>
  <c r="P28" i="9"/>
  <c r="M28" i="9"/>
  <c r="G28" i="9"/>
  <c r="D28" i="9"/>
  <c r="AH27" i="9"/>
  <c r="AE27" i="9"/>
  <c r="Y27" i="9"/>
  <c r="V27" i="9"/>
  <c r="P27" i="9"/>
  <c r="M27" i="9"/>
  <c r="G27" i="9"/>
  <c r="D27" i="9"/>
  <c r="AH24" i="9"/>
  <c r="AE24" i="9"/>
  <c r="Y24" i="9"/>
  <c r="V24" i="9"/>
  <c r="P24" i="9"/>
  <c r="M24" i="9"/>
  <c r="G24" i="9"/>
  <c r="D24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1" i="9"/>
  <c r="AD51" i="9"/>
  <c r="X51" i="9"/>
  <c r="U51" i="9"/>
  <c r="O51" i="9"/>
  <c r="L51" i="9"/>
  <c r="F51" i="9"/>
  <c r="C51" i="9"/>
  <c r="AG49" i="9"/>
  <c r="AD49" i="9"/>
  <c r="X49" i="9"/>
  <c r="U49" i="9"/>
  <c r="O49" i="9"/>
  <c r="L49" i="9"/>
  <c r="F49" i="9"/>
  <c r="C49" i="9"/>
  <c r="AG48" i="9"/>
  <c r="AD48" i="9"/>
  <c r="X48" i="9"/>
  <c r="U48" i="9"/>
  <c r="O48" i="9"/>
  <c r="L48" i="9"/>
  <c r="F48" i="9"/>
  <c r="C48" i="9"/>
  <c r="AG47" i="9"/>
  <c r="AD47" i="9"/>
  <c r="X47" i="9"/>
  <c r="U47" i="9"/>
  <c r="O47" i="9"/>
  <c r="L47" i="9"/>
  <c r="F47" i="9"/>
  <c r="C47" i="9"/>
  <c r="AG46" i="9"/>
  <c r="AD46" i="9"/>
  <c r="X46" i="9"/>
  <c r="U46" i="9"/>
  <c r="O46" i="9"/>
  <c r="L46" i="9"/>
  <c r="F46" i="9"/>
  <c r="C46" i="9"/>
  <c r="AG43" i="9"/>
  <c r="AD43" i="9"/>
  <c r="X43" i="9"/>
  <c r="U43" i="9"/>
  <c r="O43" i="9"/>
  <c r="L43" i="9"/>
  <c r="F43" i="9"/>
  <c r="C43" i="9"/>
  <c r="AG41" i="9"/>
  <c r="AD41" i="9"/>
  <c r="X41" i="9"/>
  <c r="U41" i="9"/>
  <c r="O41" i="9"/>
  <c r="L41" i="9"/>
  <c r="F41" i="9"/>
  <c r="C41" i="9"/>
  <c r="AG39" i="9"/>
  <c r="AD39" i="9"/>
  <c r="X39" i="9"/>
  <c r="U39" i="9"/>
  <c r="O39" i="9"/>
  <c r="L39" i="9"/>
  <c r="F39" i="9"/>
  <c r="C39" i="9"/>
  <c r="AG37" i="9"/>
  <c r="AD37" i="9"/>
  <c r="X37" i="9"/>
  <c r="U37" i="9"/>
  <c r="O37" i="9"/>
  <c r="L37" i="9"/>
  <c r="F37" i="9"/>
  <c r="C37" i="9"/>
  <c r="AG35" i="9"/>
  <c r="AD35" i="9"/>
  <c r="X35" i="9"/>
  <c r="U35" i="9"/>
  <c r="O35" i="9"/>
  <c r="L35" i="9"/>
  <c r="F35" i="9"/>
  <c r="C35" i="9"/>
  <c r="AG33" i="9"/>
  <c r="AD33" i="9"/>
  <c r="X33" i="9"/>
  <c r="U33" i="9"/>
  <c r="O33" i="9"/>
  <c r="L33" i="9"/>
  <c r="F33" i="9"/>
  <c r="C33" i="9"/>
  <c r="AG31" i="9"/>
  <c r="AD31" i="9"/>
  <c r="X31" i="9"/>
  <c r="U31" i="9"/>
  <c r="O31" i="9"/>
  <c r="L31" i="9"/>
  <c r="F31" i="9"/>
  <c r="C31" i="9"/>
  <c r="AG29" i="9"/>
  <c r="AD29" i="9"/>
  <c r="X29" i="9"/>
  <c r="U29" i="9"/>
  <c r="O29" i="9"/>
  <c r="L29" i="9"/>
  <c r="F29" i="9"/>
  <c r="C29" i="9"/>
  <c r="AG28" i="9"/>
  <c r="AD28" i="9"/>
  <c r="X28" i="9"/>
  <c r="U28" i="9"/>
  <c r="O28" i="9"/>
  <c r="L28" i="9"/>
  <c r="F28" i="9"/>
  <c r="C28" i="9"/>
  <c r="AG27" i="9"/>
  <c r="AD27" i="9"/>
  <c r="X27" i="9"/>
  <c r="U27" i="9"/>
  <c r="O27" i="9"/>
  <c r="L27" i="9"/>
  <c r="F27" i="9"/>
  <c r="C27" i="9"/>
  <c r="AG24" i="9"/>
  <c r="AD24" i="9"/>
  <c r="X24" i="9"/>
  <c r="U24" i="9"/>
  <c r="O24" i="9"/>
  <c r="L24" i="9"/>
  <c r="F24" i="9"/>
  <c r="C24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25" i="7"/>
  <c r="L25" i="7"/>
  <c r="C25" i="7"/>
  <c r="B25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G47" i="15"/>
  <c r="C47" i="15"/>
  <c r="G46" i="15"/>
  <c r="C46" i="15"/>
  <c r="G35" i="15"/>
  <c r="F35" i="15"/>
  <c r="E35" i="15"/>
  <c r="D35" i="15"/>
  <c r="C35" i="15"/>
  <c r="B35" i="15"/>
  <c r="G31" i="15"/>
  <c r="F31" i="15"/>
  <c r="E31" i="15"/>
  <c r="D31" i="15"/>
  <c r="C31" i="15"/>
  <c r="B31" i="15"/>
  <c r="G30" i="15"/>
  <c r="F30" i="15"/>
  <c r="E30" i="15"/>
  <c r="D30" i="15"/>
  <c r="C30" i="15"/>
  <c r="B30" i="15"/>
  <c r="G26" i="15"/>
  <c r="F26" i="15"/>
  <c r="E26" i="15"/>
  <c r="D26" i="15"/>
  <c r="C26" i="15"/>
  <c r="B26" i="15"/>
  <c r="G25" i="15"/>
  <c r="F25" i="15"/>
  <c r="E25" i="15"/>
  <c r="D25" i="15"/>
  <c r="C25" i="15"/>
  <c r="B25" i="15"/>
  <c r="G19" i="15"/>
  <c r="F19" i="15"/>
  <c r="E19" i="15"/>
  <c r="D19" i="15"/>
  <c r="C19" i="15"/>
  <c r="B19" i="15"/>
  <c r="G18" i="15"/>
  <c r="F18" i="15"/>
  <c r="E18" i="15"/>
  <c r="D18" i="15"/>
  <c r="C18" i="15"/>
  <c r="B18" i="15"/>
  <c r="G16" i="15"/>
  <c r="F16" i="15"/>
  <c r="E16" i="15"/>
  <c r="D16" i="15"/>
  <c r="C16" i="15"/>
  <c r="B16" i="15"/>
  <c r="G15" i="15"/>
  <c r="F15" i="15"/>
  <c r="E15" i="15"/>
  <c r="D15" i="15"/>
  <c r="C15" i="15"/>
  <c r="B15" i="15"/>
  <c r="G11" i="15"/>
  <c r="F11" i="15"/>
  <c r="E11" i="15"/>
  <c r="D11" i="15"/>
  <c r="C11" i="15"/>
  <c r="B11" i="15"/>
  <c r="G10" i="15"/>
  <c r="F10" i="15"/>
  <c r="E10" i="15"/>
  <c r="D10" i="15"/>
  <c r="C10" i="15"/>
  <c r="B10" i="15"/>
  <c r="G6" i="15"/>
  <c r="F6" i="15"/>
  <c r="E6" i="15"/>
  <c r="D6" i="15"/>
  <c r="C6" i="15"/>
  <c r="B6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M24" i="7" l="1"/>
  <c r="L24" i="7"/>
  <c r="C24" i="7"/>
  <c r="B24" i="7"/>
  <c r="D24" i="7" l="1"/>
  <c r="N24" i="7"/>
  <c r="M23" i="7"/>
  <c r="M22" i="7"/>
  <c r="M21" i="7"/>
  <c r="L23" i="7"/>
  <c r="C23" i="7"/>
  <c r="B23" i="7"/>
  <c r="L22" i="7" l="1"/>
  <c r="C22" i="7"/>
  <c r="B22" i="7"/>
  <c r="G27" i="7" l="1"/>
  <c r="H27" i="7"/>
  <c r="G28" i="7"/>
  <c r="H28" i="7"/>
  <c r="G29" i="7"/>
  <c r="H29" i="7"/>
  <c r="G30" i="7"/>
  <c r="H30" i="7"/>
  <c r="G31" i="7"/>
  <c r="H31" i="7"/>
  <c r="G32" i="7"/>
  <c r="H32" i="7"/>
  <c r="H16" i="15" l="1"/>
  <c r="K20" i="3"/>
  <c r="K21" i="3"/>
  <c r="K16" i="3"/>
  <c r="K17" i="3"/>
  <c r="H15" i="15"/>
  <c r="C21" i="7"/>
  <c r="B21" i="7"/>
  <c r="L21" i="7" l="1"/>
  <c r="E5" i="9" l="1"/>
  <c r="F21" i="2"/>
  <c r="F6" i="2"/>
  <c r="F40" i="2" l="1"/>
  <c r="AF5" i="9"/>
  <c r="F11" i="2"/>
  <c r="W5" i="9"/>
  <c r="F30" i="2"/>
  <c r="N5" i="9"/>
  <c r="F44" i="2"/>
  <c r="F43" i="2"/>
  <c r="F17" i="2"/>
  <c r="F23" i="2" s="1"/>
  <c r="AI5" i="9"/>
  <c r="Z5" i="9"/>
  <c r="Q5" i="9"/>
  <c r="H5" i="9"/>
  <c r="F35" i="2"/>
  <c r="F45" i="2" l="1"/>
  <c r="O32" i="7"/>
  <c r="O31" i="7"/>
  <c r="O30" i="7"/>
  <c r="O29" i="7"/>
  <c r="O28" i="7"/>
  <c r="O27" i="7"/>
  <c r="O26" i="7"/>
  <c r="O25" i="7"/>
  <c r="O24" i="7"/>
  <c r="O23" i="7"/>
  <c r="O21" i="7"/>
  <c r="J32" i="7"/>
  <c r="J31" i="7"/>
  <c r="J30" i="7"/>
  <c r="J29" i="7"/>
  <c r="J28" i="7"/>
  <c r="J27" i="7"/>
  <c r="J26" i="7"/>
  <c r="J25" i="7"/>
  <c r="J24" i="7"/>
  <c r="J23" i="7"/>
  <c r="J21" i="7"/>
  <c r="E32" i="7"/>
  <c r="E31" i="7"/>
  <c r="E30" i="7"/>
  <c r="E29" i="7"/>
  <c r="E28" i="7"/>
  <c r="E27" i="7"/>
  <c r="E26" i="7"/>
  <c r="E25" i="7"/>
  <c r="E24" i="7"/>
  <c r="E23" i="7"/>
  <c r="E21" i="7"/>
  <c r="AH4" i="9" l="1"/>
  <c r="AE4" i="9"/>
  <c r="Y4" i="9"/>
  <c r="V4" i="9"/>
  <c r="P4" i="9"/>
  <c r="M4" i="9"/>
  <c r="G4" i="9"/>
  <c r="D4" i="9"/>
  <c r="AG4" i="9"/>
  <c r="AD4" i="9"/>
  <c r="X4" i="9"/>
  <c r="U4" i="9"/>
  <c r="O4" i="9"/>
  <c r="L4" i="9"/>
  <c r="F4" i="9"/>
  <c r="C4" i="9"/>
  <c r="L55" i="9" l="1"/>
  <c r="AE55" i="9"/>
  <c r="F55" i="9"/>
  <c r="O55" i="9"/>
  <c r="AH55" i="9"/>
  <c r="U55" i="9"/>
  <c r="X55" i="9"/>
  <c r="C55" i="9"/>
  <c r="D55" i="9"/>
  <c r="AD55" i="9"/>
  <c r="AG55" i="9"/>
  <c r="G55" i="9"/>
  <c r="M55" i="9"/>
  <c r="P55" i="9"/>
  <c r="V55" i="9"/>
  <c r="Y55" i="9"/>
  <c r="F17" i="4"/>
  <c r="E17" i="4"/>
  <c r="H6" i="15" l="1"/>
  <c r="H11" i="15"/>
  <c r="H10" i="15"/>
  <c r="H5" i="15"/>
  <c r="AD17" i="9" l="1"/>
  <c r="AD26" i="9"/>
  <c r="AD45" i="9"/>
  <c r="AF8" i="9"/>
  <c r="E22" i="9"/>
  <c r="W24" i="9"/>
  <c r="W48" i="9"/>
  <c r="N22" i="9"/>
  <c r="AF22" i="9"/>
  <c r="W19" i="9"/>
  <c r="AF37" i="9"/>
  <c r="W47" i="9"/>
  <c r="N8" i="9"/>
  <c r="W51" i="9"/>
  <c r="W8" i="9"/>
  <c r="Z43" i="9"/>
  <c r="E8" i="9"/>
  <c r="W22" i="9"/>
  <c r="W31" i="9"/>
  <c r="E37" i="9"/>
  <c r="W43" i="9"/>
  <c r="E10" i="9"/>
  <c r="AF10" i="9"/>
  <c r="W12" i="9"/>
  <c r="W29" i="9"/>
  <c r="W41" i="9"/>
  <c r="W10" i="9"/>
  <c r="W28" i="9"/>
  <c r="W37" i="9"/>
  <c r="W49" i="9"/>
  <c r="N37" i="9"/>
  <c r="N10" i="9"/>
  <c r="Z51" i="9"/>
  <c r="AI22" i="9"/>
  <c r="H14" i="17"/>
  <c r="Z31" i="9"/>
  <c r="Z19" i="9"/>
  <c r="AI8" i="9"/>
  <c r="Z37" i="9"/>
  <c r="H6" i="17"/>
  <c r="H24" i="17"/>
  <c r="N6" i="17"/>
  <c r="N24" i="17"/>
  <c r="Z22" i="9"/>
  <c r="Z41" i="9"/>
  <c r="Q22" i="9"/>
  <c r="E17" i="17"/>
  <c r="Z24" i="9"/>
  <c r="Z8" i="9"/>
  <c r="Z47" i="9"/>
  <c r="Q8" i="9"/>
  <c r="AI10" i="9"/>
  <c r="Q37" i="9"/>
  <c r="Z10" i="9"/>
  <c r="Z28" i="9"/>
  <c r="Z48" i="9"/>
  <c r="Q10" i="9"/>
  <c r="AI37" i="9"/>
  <c r="Z12" i="9"/>
  <c r="Z29" i="9"/>
  <c r="Z49" i="9"/>
  <c r="N14" i="17"/>
  <c r="E14" i="17"/>
  <c r="H17" i="17"/>
  <c r="E6" i="17"/>
  <c r="E24" i="17"/>
  <c r="H37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I31" i="16" l="1"/>
  <c r="H17" i="2"/>
  <c r="H43" i="2"/>
  <c r="H11" i="2"/>
  <c r="H6" i="2"/>
  <c r="H35" i="2"/>
  <c r="I19" i="16"/>
  <c r="H40" i="2"/>
  <c r="H30" i="2"/>
  <c r="H21" i="2"/>
  <c r="I24" i="16"/>
  <c r="I6" i="16"/>
  <c r="I11" i="16"/>
  <c r="I38" i="16"/>
  <c r="H44" i="2"/>
  <c r="H23" i="2" l="1"/>
  <c r="H45" i="2"/>
  <c r="AI27" i="9" l="1"/>
  <c r="AI19" i="9" l="1"/>
  <c r="AI21" i="9" l="1"/>
  <c r="AI24" i="9"/>
  <c r="AI33" i="9"/>
  <c r="AE14" i="9"/>
  <c r="AF6" i="9"/>
  <c r="AF12" i="9"/>
  <c r="AF18" i="9"/>
  <c r="AF20" i="9"/>
  <c r="AF27" i="9"/>
  <c r="AF29" i="9"/>
  <c r="AF31" i="9"/>
  <c r="AF39" i="9"/>
  <c r="AF43" i="9"/>
  <c r="AF48" i="9"/>
  <c r="AF51" i="9"/>
  <c r="AH17" i="9"/>
  <c r="AF47" i="9"/>
  <c r="AI35" i="9"/>
  <c r="AI18" i="9"/>
  <c r="AI48" i="9"/>
  <c r="AE17" i="9"/>
  <c r="AE26" i="9"/>
  <c r="AI47" i="9"/>
  <c r="AF15" i="9"/>
  <c r="AF19" i="9"/>
  <c r="AF21" i="9"/>
  <c r="AF24" i="9"/>
  <c r="AF28" i="9"/>
  <c r="AF33" i="9"/>
  <c r="AF35" i="9"/>
  <c r="AF41" i="9"/>
  <c r="AF49" i="9"/>
  <c r="AI29" i="9"/>
  <c r="AF46" i="9"/>
  <c r="AI51" i="9"/>
  <c r="AI49" i="9"/>
  <c r="AH14" i="9"/>
  <c r="AH26" i="9"/>
  <c r="AH45" i="9"/>
  <c r="AI12" i="9"/>
  <c r="AI39" i="9"/>
  <c r="AD14" i="9"/>
  <c r="AI20" i="9"/>
  <c r="AG26" i="9"/>
  <c r="AI28" i="9"/>
  <c r="AI41" i="9"/>
  <c r="AI43" i="9"/>
  <c r="AG17" i="9"/>
  <c r="AI6" i="9"/>
  <c r="AE45" i="9"/>
  <c r="AG14" i="9"/>
  <c r="AI31" i="9"/>
  <c r="AG45" i="9"/>
  <c r="AI15" i="9"/>
  <c r="AI46" i="9"/>
  <c r="AE56" i="9" l="1"/>
  <c r="AE54" i="9" s="1"/>
  <c r="AD56" i="9"/>
  <c r="AD54" i="9" s="1"/>
  <c r="AH56" i="9"/>
  <c r="AH54" i="9" s="1"/>
  <c r="AG56" i="9"/>
  <c r="AF14" i="9"/>
  <c r="AF26" i="9"/>
  <c r="AF4" i="9"/>
  <c r="AF17" i="9"/>
  <c r="AF55" i="9"/>
  <c r="AI14" i="9"/>
  <c r="AI55" i="9"/>
  <c r="AF45" i="9"/>
  <c r="AI26" i="9"/>
  <c r="AI45" i="9"/>
  <c r="AI4" i="9"/>
  <c r="AI17" i="9"/>
  <c r="AG54" i="9" l="1"/>
  <c r="AJ5" i="9"/>
  <c r="AJ45" i="9"/>
  <c r="AJ37" i="9"/>
  <c r="AJ10" i="9"/>
  <c r="AJ55" i="9"/>
  <c r="AJ4" i="9"/>
  <c r="AJ14" i="9"/>
  <c r="AJ17" i="9"/>
  <c r="AJ43" i="9"/>
  <c r="AJ12" i="9"/>
  <c r="AJ18" i="9"/>
  <c r="AJ19" i="9"/>
  <c r="AJ8" i="9"/>
  <c r="AJ22" i="9"/>
  <c r="AJ24" i="9"/>
  <c r="AJ41" i="9"/>
  <c r="AJ48" i="9"/>
  <c r="AJ29" i="9"/>
  <c r="AJ27" i="9"/>
  <c r="AJ28" i="9"/>
  <c r="AJ21" i="9"/>
  <c r="AJ31" i="9"/>
  <c r="AJ51" i="9"/>
  <c r="AJ33" i="9"/>
  <c r="AJ20" i="9"/>
  <c r="AJ47" i="9"/>
  <c r="AJ35" i="9"/>
  <c r="AJ39" i="9"/>
  <c r="AJ49" i="9"/>
  <c r="AJ6" i="9"/>
  <c r="AJ46" i="9"/>
  <c r="AJ15" i="9"/>
  <c r="AJ26" i="9"/>
  <c r="AF56" i="9"/>
  <c r="AF54" i="9"/>
  <c r="AI56" i="9"/>
  <c r="AJ56" i="9" s="1"/>
  <c r="AJ54" i="9" l="1"/>
  <c r="AI54" i="9"/>
  <c r="H6" i="7" l="1"/>
  <c r="H5" i="7"/>
  <c r="N51" i="9"/>
  <c r="Q51" i="9"/>
  <c r="F12" i="7"/>
  <c r="F7" i="7"/>
  <c r="E51" i="9"/>
  <c r="H51" i="9"/>
  <c r="E55" i="9" l="1"/>
  <c r="G9" i="17"/>
  <c r="N49" i="9" l="1"/>
  <c r="N47" i="9"/>
  <c r="E33" i="9"/>
  <c r="H31" i="9"/>
  <c r="N19" i="9"/>
  <c r="L14" i="9"/>
  <c r="W6" i="9"/>
  <c r="E6" i="9"/>
  <c r="J2" i="9"/>
  <c r="S2" i="9" s="1"/>
  <c r="AB2" i="9" s="1"/>
  <c r="C38" i="16"/>
  <c r="G26" i="9" l="1"/>
  <c r="Q12" i="9"/>
  <c r="Q47" i="9"/>
  <c r="N12" i="9"/>
  <c r="E15" i="9"/>
  <c r="Q20" i="9"/>
  <c r="O38" i="16"/>
  <c r="V14" i="9"/>
  <c r="G38" i="16"/>
  <c r="X14" i="9"/>
  <c r="Z18" i="9"/>
  <c r="Z20" i="9"/>
  <c r="H28" i="9"/>
  <c r="Q31" i="9"/>
  <c r="K38" i="16"/>
  <c r="D14" i="9"/>
  <c r="N33" i="9"/>
  <c r="W39" i="9"/>
  <c r="E47" i="9"/>
  <c r="N24" i="9"/>
  <c r="Q41" i="9"/>
  <c r="N38" i="16"/>
  <c r="N39" i="9"/>
  <c r="H43" i="9"/>
  <c r="F38" i="16"/>
  <c r="Z15" i="9"/>
  <c r="P17" i="9"/>
  <c r="N28" i="9"/>
  <c r="H35" i="9"/>
  <c r="N43" i="9"/>
  <c r="E46" i="9"/>
  <c r="M38" i="16"/>
  <c r="M17" i="9"/>
  <c r="J38" i="16"/>
  <c r="Q43" i="9"/>
  <c r="V45" i="9"/>
  <c r="E38" i="16"/>
  <c r="F17" i="9"/>
  <c r="Q29" i="9"/>
  <c r="G45" i="9"/>
  <c r="Y45" i="9"/>
  <c r="L45" i="9"/>
  <c r="Q35" i="9"/>
  <c r="H39" i="9"/>
  <c r="E43" i="9"/>
  <c r="H48" i="9"/>
  <c r="D38" i="16"/>
  <c r="L38" i="16"/>
  <c r="P14" i="9"/>
  <c r="M14" i="9"/>
  <c r="N14" i="9" s="1"/>
  <c r="N20" i="9"/>
  <c r="E24" i="9"/>
  <c r="Y26" i="9"/>
  <c r="E29" i="9"/>
  <c r="H41" i="9"/>
  <c r="N46" i="9"/>
  <c r="E48" i="9"/>
  <c r="W15" i="9"/>
  <c r="E21" i="9"/>
  <c r="P26" i="9"/>
  <c r="N35" i="9"/>
  <c r="E39" i="9"/>
  <c r="C17" i="9"/>
  <c r="M26" i="9"/>
  <c r="H29" i="9"/>
  <c r="N31" i="9"/>
  <c r="N41" i="9"/>
  <c r="Q46" i="9"/>
  <c r="U45" i="9"/>
  <c r="P45" i="9"/>
  <c r="H38" i="16"/>
  <c r="P36" i="16"/>
  <c r="G14" i="9"/>
  <c r="Y14" i="9"/>
  <c r="H18" i="9"/>
  <c r="E20" i="9"/>
  <c r="N29" i="9"/>
  <c r="W33" i="9"/>
  <c r="E35" i="9"/>
  <c r="W46" i="9"/>
  <c r="N48" i="9"/>
  <c r="P35" i="16"/>
  <c r="E12" i="9"/>
  <c r="U14" i="9"/>
  <c r="N15" i="9"/>
  <c r="W20" i="9"/>
  <c r="C26" i="9"/>
  <c r="Q28" i="9"/>
  <c r="W35" i="9"/>
  <c r="H47" i="9"/>
  <c r="D45" i="9"/>
  <c r="N18" i="9"/>
  <c r="D26" i="9"/>
  <c r="E28" i="9"/>
  <c r="E31" i="9"/>
  <c r="E41" i="9"/>
  <c r="L17" i="9"/>
  <c r="N21" i="9"/>
  <c r="N27" i="9"/>
  <c r="L26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6" i="9"/>
  <c r="W27" i="9"/>
  <c r="C45" i="9"/>
  <c r="M45" i="9"/>
  <c r="Z46" i="9"/>
  <c r="E49" i="9"/>
  <c r="U26" i="9"/>
  <c r="Z6" i="9"/>
  <c r="H15" i="9"/>
  <c r="Q19" i="9"/>
  <c r="Q24" i="9"/>
  <c r="E27" i="9"/>
  <c r="Z39" i="9"/>
  <c r="O45" i="9"/>
  <c r="H46" i="9"/>
  <c r="Q49" i="9"/>
  <c r="X45" i="9"/>
  <c r="Q6" i="9"/>
  <c r="F14" i="9"/>
  <c r="E18" i="9"/>
  <c r="H19" i="9"/>
  <c r="Z21" i="9"/>
  <c r="H24" i="9"/>
  <c r="Z27" i="9"/>
  <c r="Z33" i="9"/>
  <c r="Q39" i="9"/>
  <c r="F45" i="9"/>
  <c r="H49" i="9"/>
  <c r="H6" i="9"/>
  <c r="Q21" i="9"/>
  <c r="X26" i="9"/>
  <c r="Q27" i="9"/>
  <c r="Q33" i="9"/>
  <c r="Q18" i="9"/>
  <c r="H21" i="9"/>
  <c r="O26" i="9"/>
  <c r="H27" i="9"/>
  <c r="H33" i="9"/>
  <c r="Z35" i="9"/>
  <c r="Q48" i="9"/>
  <c r="O17" i="9"/>
  <c r="F26" i="9"/>
  <c r="B38" i="16"/>
  <c r="C56" i="9" l="1"/>
  <c r="C54" i="9" s="1"/>
  <c r="F56" i="9"/>
  <c r="I5" i="9" s="1"/>
  <c r="V56" i="9"/>
  <c r="V54" i="9" s="1"/>
  <c r="P56" i="9"/>
  <c r="P54" i="9" s="1"/>
  <c r="L56" i="9"/>
  <c r="L54" i="9" s="1"/>
  <c r="M56" i="9"/>
  <c r="M54" i="9" s="1"/>
  <c r="X56" i="9"/>
  <c r="Y56" i="9"/>
  <c r="Y54" i="9" s="1"/>
  <c r="G56" i="9"/>
  <c r="G54" i="9" s="1"/>
  <c r="D56" i="9"/>
  <c r="D54" i="9" s="1"/>
  <c r="U56" i="9"/>
  <c r="U54" i="9" s="1"/>
  <c r="O56" i="9"/>
  <c r="W4" i="9"/>
  <c r="W14" i="9"/>
  <c r="N26" i="9"/>
  <c r="N4" i="9"/>
  <c r="Z14" i="9"/>
  <c r="E4" i="9"/>
  <c r="Z4" i="9"/>
  <c r="N17" i="9"/>
  <c r="E14" i="9"/>
  <c r="E26" i="9"/>
  <c r="E17" i="9"/>
  <c r="W45" i="9"/>
  <c r="N45" i="9"/>
  <c r="W55" i="9"/>
  <c r="P38" i="16"/>
  <c r="N55" i="9"/>
  <c r="W17" i="9"/>
  <c r="Q55" i="9"/>
  <c r="H17" i="9"/>
  <c r="Z45" i="9"/>
  <c r="Q45" i="9"/>
  <c r="Q4" i="9"/>
  <c r="H45" i="9"/>
  <c r="Z55" i="9"/>
  <c r="Q26" i="9"/>
  <c r="E45" i="9"/>
  <c r="Z17" i="9"/>
  <c r="Z26" i="9"/>
  <c r="H26" i="9"/>
  <c r="Q14" i="9"/>
  <c r="H55" i="9"/>
  <c r="Q17" i="9"/>
  <c r="H4" i="9"/>
  <c r="H14" i="9"/>
  <c r="W26" i="9"/>
  <c r="F54" i="9" l="1"/>
  <c r="X54" i="9"/>
  <c r="AA5" i="9"/>
  <c r="O54" i="9"/>
  <c r="R5" i="9"/>
  <c r="R10" i="9"/>
  <c r="I10" i="9"/>
  <c r="I37" i="9"/>
  <c r="AA37" i="9"/>
  <c r="R37" i="9"/>
  <c r="AA10" i="9"/>
  <c r="E54" i="9"/>
  <c r="E56" i="9"/>
  <c r="Z56" i="9"/>
  <c r="AA56" i="9" s="1"/>
  <c r="W56" i="9"/>
  <c r="AA55" i="9"/>
  <c r="AA51" i="9"/>
  <c r="I45" i="9"/>
  <c r="I51" i="9"/>
  <c r="R4" i="9"/>
  <c r="R51" i="9"/>
  <c r="R26" i="9"/>
  <c r="R45" i="9"/>
  <c r="R14" i="9"/>
  <c r="R17" i="9"/>
  <c r="R55" i="9"/>
  <c r="AA48" i="9"/>
  <c r="AA46" i="9"/>
  <c r="AA22" i="9"/>
  <c r="AA15" i="9"/>
  <c r="AA47" i="9"/>
  <c r="AA41" i="9"/>
  <c r="AA29" i="9"/>
  <c r="AA43" i="9"/>
  <c r="AA31" i="9"/>
  <c r="AA20" i="9"/>
  <c r="AA12" i="9"/>
  <c r="AA8" i="9"/>
  <c r="AA33" i="9"/>
  <c r="AA18" i="9"/>
  <c r="AA6" i="9"/>
  <c r="AA4" i="9"/>
  <c r="AA19" i="9"/>
  <c r="AA28" i="9"/>
  <c r="AA27" i="9"/>
  <c r="AA39" i="9"/>
  <c r="AA35" i="9"/>
  <c r="AA49" i="9"/>
  <c r="AA21" i="9"/>
  <c r="AA14" i="9"/>
  <c r="AA17" i="9"/>
  <c r="I4" i="9"/>
  <c r="AA45" i="9"/>
  <c r="I39" i="9"/>
  <c r="I43" i="9"/>
  <c r="I12" i="9"/>
  <c r="I20" i="9"/>
  <c r="I31" i="9"/>
  <c r="I35" i="9"/>
  <c r="I28" i="9"/>
  <c r="H56" i="9"/>
  <c r="I56" i="9" s="1"/>
  <c r="I48" i="9"/>
  <c r="I18" i="9"/>
  <c r="I27" i="9"/>
  <c r="I49" i="9"/>
  <c r="I8" i="9"/>
  <c r="I46" i="9"/>
  <c r="I47" i="9"/>
  <c r="I41" i="9"/>
  <c r="I29" i="9"/>
  <c r="I21" i="9"/>
  <c r="I15" i="9"/>
  <c r="I19" i="9"/>
  <c r="I33" i="9"/>
  <c r="I17" i="9"/>
  <c r="I22" i="9"/>
  <c r="I6" i="9"/>
  <c r="I24" i="9"/>
  <c r="I14" i="9"/>
  <c r="I26" i="9"/>
  <c r="W54" i="9"/>
  <c r="AA26" i="9"/>
  <c r="I55" i="9"/>
  <c r="Q56" i="9"/>
  <c r="R56" i="9" s="1"/>
  <c r="R41" i="9"/>
  <c r="R29" i="9"/>
  <c r="R47" i="9"/>
  <c r="R43" i="9"/>
  <c r="R31" i="9"/>
  <c r="R20" i="9"/>
  <c r="R35" i="9"/>
  <c r="R28" i="9"/>
  <c r="R27" i="9"/>
  <c r="R24" i="9"/>
  <c r="R15" i="9"/>
  <c r="R39" i="9"/>
  <c r="R18" i="9"/>
  <c r="R22" i="9"/>
  <c r="R19" i="9"/>
  <c r="R12" i="9"/>
  <c r="R49" i="9"/>
  <c r="R21" i="9"/>
  <c r="R46" i="9"/>
  <c r="R48" i="9"/>
  <c r="R6" i="9"/>
  <c r="R8" i="9"/>
  <c r="R33" i="9"/>
  <c r="N56" i="9"/>
  <c r="N54" i="9" l="1"/>
  <c r="I54" i="9"/>
  <c r="H54" i="9"/>
  <c r="R54" i="9"/>
  <c r="Q54" i="9"/>
  <c r="AA54" i="9"/>
  <c r="Z54" i="9"/>
  <c r="AA24" i="9"/>
  <c r="H16" i="17" l="1"/>
  <c r="N16" i="17"/>
  <c r="E16" i="17"/>
  <c r="Q16" i="17"/>
  <c r="P10" i="16" l="1"/>
  <c r="P9" i="16"/>
  <c r="P4" i="16"/>
  <c r="B26" i="7" s="1"/>
  <c r="P5" i="16"/>
  <c r="H23" i="8"/>
  <c r="H6" i="8"/>
  <c r="H12" i="8" s="1"/>
  <c r="H10" i="8"/>
  <c r="C26" i="7" l="1"/>
  <c r="D26" i="7"/>
  <c r="D22" i="7"/>
  <c r="H18" i="8"/>
  <c r="H31" i="8"/>
  <c r="H32" i="8"/>
  <c r="H28" i="8"/>
  <c r="D25" i="7" l="1"/>
  <c r="D21" i="7"/>
  <c r="D32" i="7"/>
  <c r="D29" i="7"/>
  <c r="H33" i="8"/>
  <c r="N31" i="16" l="1"/>
  <c r="N11" i="16"/>
  <c r="N6" i="16"/>
  <c r="H11" i="16"/>
  <c r="H6" i="16"/>
  <c r="N24" i="16"/>
  <c r="N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D36" i="15" l="1"/>
  <c r="D32" i="15" l="1"/>
  <c r="D20" i="15"/>
  <c r="D17" i="15"/>
  <c r="D12" i="15"/>
  <c r="D7" i="15"/>
  <c r="Q13" i="17"/>
  <c r="E18" i="8"/>
  <c r="E23" i="8" l="1"/>
  <c r="D27" i="15"/>
  <c r="E32" i="8"/>
  <c r="D40" i="15"/>
  <c r="D37" i="15"/>
  <c r="N13" i="17"/>
  <c r="D41" i="15"/>
  <c r="D21" i="15"/>
  <c r="E31" i="8"/>
  <c r="E28" i="8"/>
  <c r="E10" i="8"/>
  <c r="E6" i="8"/>
  <c r="E12" i="8" s="1"/>
  <c r="E33" i="8" l="1"/>
  <c r="D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L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L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L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L19" i="16"/>
  <c r="L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G21" i="2" l="1"/>
  <c r="G17" i="2"/>
  <c r="G11" i="2"/>
  <c r="G6" i="2"/>
  <c r="G40" i="2"/>
  <c r="G35" i="2"/>
  <c r="G43" i="2" l="1"/>
  <c r="G44" i="2"/>
  <c r="G23" i="2"/>
  <c r="G30" i="2"/>
  <c r="G45" i="2" l="1"/>
  <c r="F27" i="4"/>
  <c r="F12" i="4"/>
  <c r="F20" i="4"/>
  <c r="F32" i="4"/>
  <c r="F7" i="4"/>
  <c r="F41" i="4"/>
  <c r="H31" i="16"/>
  <c r="K11" i="16"/>
  <c r="K24" i="16"/>
  <c r="F37" i="4"/>
  <c r="H24" i="16"/>
  <c r="K6" i="16"/>
  <c r="K19" i="16"/>
  <c r="K31" i="16"/>
  <c r="F40" i="4"/>
  <c r="H19" i="16"/>
  <c r="F21" i="4" l="1"/>
  <c r="F42" i="4"/>
  <c r="G45" i="15" l="1"/>
  <c r="G44" i="15"/>
  <c r="G36" i="15"/>
  <c r="G37" i="15" l="1"/>
  <c r="E11" i="16"/>
  <c r="G12" i="15"/>
  <c r="G20" i="15"/>
  <c r="G32" i="15"/>
  <c r="E31" i="16"/>
  <c r="G7" i="15"/>
  <c r="G27" i="15"/>
  <c r="E24" i="16"/>
  <c r="G17" i="15"/>
  <c r="G41" i="15"/>
  <c r="E6" i="16"/>
  <c r="E19" i="16"/>
  <c r="G40" i="15"/>
  <c r="G21" i="15" l="1"/>
  <c r="G42" i="15"/>
  <c r="E36" i="15"/>
  <c r="E17" i="15" l="1"/>
  <c r="C18" i="3"/>
  <c r="E27" i="15"/>
  <c r="C30" i="3"/>
  <c r="F22" i="3"/>
  <c r="H17" i="4"/>
  <c r="H37" i="4"/>
  <c r="F44" i="3"/>
  <c r="C44" i="3"/>
  <c r="E7" i="15"/>
  <c r="E12" i="15"/>
  <c r="E20" i="15"/>
  <c r="E32" i="15"/>
  <c r="C22" i="3"/>
  <c r="C7" i="3"/>
  <c r="C40" i="3"/>
  <c r="F7" i="3"/>
  <c r="F18" i="3"/>
  <c r="F30" i="3"/>
  <c r="E41" i="15"/>
  <c r="F12" i="3"/>
  <c r="F35" i="3"/>
  <c r="H20" i="4"/>
  <c r="C12" i="3"/>
  <c r="C35" i="3"/>
  <c r="H7" i="4"/>
  <c r="H27" i="4"/>
  <c r="E40" i="15"/>
  <c r="E37" i="15"/>
  <c r="H12" i="4"/>
  <c r="H32" i="4"/>
  <c r="H41" i="4"/>
  <c r="H40" i="4"/>
  <c r="F40" i="3"/>
  <c r="F43" i="3"/>
  <c r="C43" i="3"/>
  <c r="E21" i="15" l="1"/>
  <c r="F23" i="3"/>
  <c r="C23" i="3"/>
  <c r="C45" i="3"/>
  <c r="H42" i="4"/>
  <c r="F45" i="3"/>
  <c r="H21" i="4"/>
  <c r="E42" i="15"/>
  <c r="H18" i="15" l="1"/>
  <c r="H19" i="15"/>
  <c r="F36" i="15" l="1"/>
  <c r="C36" i="15"/>
  <c r="B36" i="15"/>
  <c r="E6" i="2" l="1"/>
  <c r="E17" i="2"/>
  <c r="E30" i="2"/>
  <c r="E40" i="2"/>
  <c r="E43" i="2"/>
  <c r="E11" i="2"/>
  <c r="E35" i="2"/>
  <c r="E21" i="2"/>
  <c r="E44" i="2"/>
  <c r="E23" i="2" l="1"/>
  <c r="E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I51" i="2" s="1"/>
  <c r="J47" i="2"/>
  <c r="H45" i="15"/>
  <c r="H44" i="15"/>
  <c r="P21" i="16"/>
  <c r="P8" i="16"/>
  <c r="J42" i="2"/>
  <c r="J37" i="2"/>
  <c r="J36" i="2"/>
  <c r="J32" i="2"/>
  <c r="J8" i="2"/>
  <c r="K34" i="4"/>
  <c r="K33" i="4"/>
  <c r="I18" i="3" l="1"/>
  <c r="I23" i="3" s="1"/>
  <c r="C17" i="4"/>
  <c r="I37" i="4"/>
  <c r="I44" i="3"/>
  <c r="K48" i="3"/>
  <c r="I50" i="2" s="1"/>
  <c r="J50" i="2" s="1"/>
  <c r="C31" i="16"/>
  <c r="G31" i="16"/>
  <c r="O11" i="16"/>
  <c r="I41" i="4"/>
  <c r="I20" i="4"/>
  <c r="B46" i="4"/>
  <c r="B47" i="4" s="1"/>
  <c r="D44" i="2"/>
  <c r="M19" i="16"/>
  <c r="C6" i="16"/>
  <c r="C7" i="7"/>
  <c r="H18" i="3"/>
  <c r="B40" i="2"/>
  <c r="F40" i="15"/>
  <c r="O19" i="16"/>
  <c r="B27" i="15"/>
  <c r="B31" i="16"/>
  <c r="D31" i="16"/>
  <c r="M31" i="16"/>
  <c r="J19" i="16"/>
  <c r="J22" i="3"/>
  <c r="J23" i="3" s="1"/>
  <c r="B17" i="15"/>
  <c r="G12" i="7"/>
  <c r="B12" i="7"/>
  <c r="D20" i="1"/>
  <c r="G20" i="1" s="1"/>
  <c r="B41" i="15"/>
  <c r="D41" i="4"/>
  <c r="I40" i="4"/>
  <c r="G19" i="16"/>
  <c r="B43" i="2"/>
  <c r="F32" i="15"/>
  <c r="C32" i="15"/>
  <c r="H44" i="3"/>
  <c r="B24" i="16"/>
  <c r="F11" i="16"/>
  <c r="D6" i="16"/>
  <c r="B6" i="16"/>
  <c r="J11" i="16"/>
  <c r="G6" i="16"/>
  <c r="G12" i="4"/>
  <c r="H12" i="3"/>
  <c r="C21" i="2"/>
  <c r="C23" i="2" s="1"/>
  <c r="G20" i="4"/>
  <c r="D32" i="4"/>
  <c r="J35" i="3"/>
  <c r="K28" i="3"/>
  <c r="I28" i="2" s="1"/>
  <c r="J28" i="2" s="1"/>
  <c r="F31" i="16"/>
  <c r="H7" i="3"/>
  <c r="E7" i="7"/>
  <c r="C12" i="7"/>
  <c r="I32" i="4"/>
  <c r="D27" i="4"/>
  <c r="G24" i="16"/>
  <c r="F6" i="16"/>
  <c r="G7" i="3"/>
  <c r="J7" i="3"/>
  <c r="B40" i="4"/>
  <c r="J24" i="16"/>
  <c r="I7" i="4"/>
  <c r="C7" i="4"/>
  <c r="K10" i="3"/>
  <c r="I9" i="2" s="1"/>
  <c r="B17" i="2"/>
  <c r="D21" i="1"/>
  <c r="G21" i="1" s="1"/>
  <c r="F41" i="15"/>
  <c r="H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F12" i="15"/>
  <c r="E12" i="4"/>
  <c r="B12" i="4"/>
  <c r="F20" i="15"/>
  <c r="C20" i="15"/>
  <c r="E20" i="4"/>
  <c r="B20" i="4"/>
  <c r="F17" i="15"/>
  <c r="B17" i="4"/>
  <c r="J48" i="2"/>
  <c r="C49" i="2"/>
  <c r="J49" i="2" s="1"/>
  <c r="C7" i="1"/>
  <c r="K11" i="3"/>
  <c r="I10" i="2" s="1"/>
  <c r="J10" i="2" s="1"/>
  <c r="H11" i="7"/>
  <c r="C18" i="1" s="1"/>
  <c r="H26" i="15"/>
  <c r="J26" i="4" s="1"/>
  <c r="K26" i="4" s="1"/>
  <c r="C6" i="5" s="1"/>
  <c r="M24" i="16"/>
  <c r="D37" i="4"/>
  <c r="B40" i="15"/>
  <c r="I19" i="2"/>
  <c r="J19" i="2" s="1"/>
  <c r="H43" i="3"/>
  <c r="B27" i="4"/>
  <c r="J19" i="4"/>
  <c r="K19" i="4" s="1"/>
  <c r="D7" i="4"/>
  <c r="K39" i="3"/>
  <c r="I39" i="2" s="1"/>
  <c r="J39" i="2" s="1"/>
  <c r="B16" i="5" s="1"/>
  <c r="B32" i="4"/>
  <c r="B35" i="2"/>
  <c r="D43" i="2"/>
  <c r="D24" i="16"/>
  <c r="M11" i="16"/>
  <c r="C40" i="4"/>
  <c r="G43" i="3"/>
  <c r="B41" i="4"/>
  <c r="C32" i="4"/>
  <c r="B19" i="16"/>
  <c r="D19" i="16"/>
  <c r="P22" i="16"/>
  <c r="I7" i="3"/>
  <c r="C6" i="2"/>
  <c r="F7" i="15"/>
  <c r="E7" i="4"/>
  <c r="I15" i="2"/>
  <c r="J15" i="2" s="1"/>
  <c r="C44" i="2"/>
  <c r="F24" i="16"/>
  <c r="I4" i="2"/>
  <c r="J4" i="2" s="1"/>
  <c r="C7" i="15"/>
  <c r="J5" i="4"/>
  <c r="K5" i="4" s="1"/>
  <c r="J16" i="4"/>
  <c r="K16" i="4" s="1"/>
  <c r="J30" i="3"/>
  <c r="J43" i="3"/>
  <c r="K34" i="3"/>
  <c r="I34" i="2" s="1"/>
  <c r="J34" i="2" s="1"/>
  <c r="K29" i="3"/>
  <c r="I29" i="2" s="1"/>
  <c r="G12" i="3"/>
  <c r="H35" i="3"/>
  <c r="H31" i="15"/>
  <c r="J31" i="4" s="1"/>
  <c r="C30" i="2"/>
  <c r="J40" i="3"/>
  <c r="J44" i="3"/>
  <c r="J31" i="16"/>
  <c r="P29" i="16"/>
  <c r="P18" i="16"/>
  <c r="F19" i="16"/>
  <c r="C24" i="16"/>
  <c r="G40" i="4"/>
  <c r="G37" i="4"/>
  <c r="K38" i="3"/>
  <c r="I38" i="2" s="1"/>
  <c r="G40" i="3"/>
  <c r="F37" i="15"/>
  <c r="J18" i="4"/>
  <c r="K18" i="4" s="1"/>
  <c r="B11" i="16"/>
  <c r="J51" i="2"/>
  <c r="I20" i="2"/>
  <c r="J20" i="2" s="1"/>
  <c r="H22" i="3"/>
  <c r="G41" i="4"/>
  <c r="C37" i="15"/>
  <c r="H30" i="3"/>
  <c r="H46" i="15"/>
  <c r="J44" i="4" s="1"/>
  <c r="K44" i="4" s="1"/>
  <c r="D11" i="16"/>
  <c r="H47" i="15"/>
  <c r="J45" i="4" s="1"/>
  <c r="K45" i="4" s="1"/>
  <c r="G22" i="3"/>
  <c r="G23" i="3" s="1"/>
  <c r="B21" i="2"/>
  <c r="E37" i="4"/>
  <c r="H30" i="15"/>
  <c r="J30" i="4" s="1"/>
  <c r="K30" i="4" s="1"/>
  <c r="C10" i="5" s="1"/>
  <c r="F27" i="15"/>
  <c r="C41" i="15"/>
  <c r="E41" i="4"/>
  <c r="G30" i="3"/>
  <c r="J6" i="16"/>
  <c r="G11" i="16"/>
  <c r="C11" i="16"/>
  <c r="D6" i="2"/>
  <c r="J6" i="4"/>
  <c r="K6" i="4" s="1"/>
  <c r="G7" i="7"/>
  <c r="B11" i="2"/>
  <c r="C20" i="4"/>
  <c r="B37" i="15"/>
  <c r="G27" i="4"/>
  <c r="O6" i="16"/>
  <c r="I5" i="2"/>
  <c r="G7" i="4"/>
  <c r="D7" i="7"/>
  <c r="J12" i="3"/>
  <c r="D17" i="2"/>
  <c r="D23" i="2" s="1"/>
  <c r="C17" i="15"/>
  <c r="D12" i="7"/>
  <c r="E12" i="7"/>
  <c r="G32" i="4"/>
  <c r="G12" i="5"/>
  <c r="J17" i="5"/>
  <c r="G17" i="5"/>
  <c r="J7" i="5"/>
  <c r="G7" i="5"/>
  <c r="G22" i="5"/>
  <c r="B6" i="2"/>
  <c r="I16" i="2"/>
  <c r="J16" i="2" s="1"/>
  <c r="C41" i="4"/>
  <c r="C40" i="15"/>
  <c r="H25" i="15"/>
  <c r="J25" i="4" s="1"/>
  <c r="C27" i="15"/>
  <c r="E40" i="4"/>
  <c r="E27" i="4"/>
  <c r="O31" i="16"/>
  <c r="P28" i="16"/>
  <c r="P17" i="16"/>
  <c r="C19" i="16"/>
  <c r="O24" i="16"/>
  <c r="P23" i="16"/>
  <c r="J12" i="5"/>
  <c r="B12" i="15"/>
  <c r="J10" i="4"/>
  <c r="K10" i="4" s="1"/>
  <c r="H35" i="15"/>
  <c r="J35" i="4" s="1"/>
  <c r="B44" i="2"/>
  <c r="B30" i="2"/>
  <c r="K33" i="3"/>
  <c r="I33" i="2" s="1"/>
  <c r="J11" i="4"/>
  <c r="K11" i="4" s="1"/>
  <c r="J15" i="4"/>
  <c r="K15" i="4" s="1"/>
  <c r="M6" i="16"/>
  <c r="B7" i="7"/>
  <c r="C43" i="2"/>
  <c r="C35" i="2"/>
  <c r="D21" i="4"/>
  <c r="B7" i="4"/>
  <c r="C12" i="4"/>
  <c r="I12" i="3"/>
  <c r="H10" i="7"/>
  <c r="B18" i="1" s="1"/>
  <c r="C37" i="4"/>
  <c r="I43" i="3"/>
  <c r="I30" i="3"/>
  <c r="H17" i="15" l="1"/>
  <c r="K18" i="3"/>
  <c r="H7" i="15"/>
  <c r="H12" i="15"/>
  <c r="B33" i="1"/>
  <c r="D33" i="1" s="1"/>
  <c r="F31" i="7"/>
  <c r="K22" i="3"/>
  <c r="B21" i="4"/>
  <c r="K7" i="3"/>
  <c r="K12" i="3"/>
  <c r="I6" i="2"/>
  <c r="B5" i="5"/>
  <c r="B11" i="5"/>
  <c r="B5" i="1"/>
  <c r="J5" i="2"/>
  <c r="C5" i="1" s="1"/>
  <c r="H20" i="15"/>
  <c r="B21" i="15"/>
  <c r="C6" i="1"/>
  <c r="B6" i="1"/>
  <c r="G21" i="4"/>
  <c r="F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F42" i="15"/>
  <c r="B42" i="4"/>
  <c r="D7" i="1"/>
  <c r="G7" i="1" s="1"/>
  <c r="I17" i="2"/>
  <c r="J17" i="2" s="1"/>
  <c r="K44" i="3"/>
  <c r="E21" i="4"/>
  <c r="D17" i="5"/>
  <c r="G45" i="3"/>
  <c r="D18" i="1"/>
  <c r="G18" i="1" s="1"/>
  <c r="C10" i="1"/>
  <c r="J27" i="4"/>
  <c r="K27" i="4" s="1"/>
  <c r="C21" i="15"/>
  <c r="D42" i="4"/>
  <c r="I11" i="2"/>
  <c r="J11" i="2" s="1"/>
  <c r="J9" i="2"/>
  <c r="K35" i="3"/>
  <c r="K40" i="3"/>
  <c r="I44" i="2"/>
  <c r="J44" i="2" s="1"/>
  <c r="H32" i="15"/>
  <c r="K25" i="4"/>
  <c r="C5" i="5" s="1"/>
  <c r="K30" i="3"/>
  <c r="P6" i="16"/>
  <c r="H12" i="7"/>
  <c r="P11" i="16"/>
  <c r="J22" i="5"/>
  <c r="J29" i="2"/>
  <c r="I21" i="2"/>
  <c r="J21" i="2" s="1"/>
  <c r="G42" i="4"/>
  <c r="P24" i="16"/>
  <c r="J32" i="4"/>
  <c r="K32" i="4" s="1"/>
  <c r="H27" i="15"/>
  <c r="B16" i="1"/>
  <c r="C17" i="1"/>
  <c r="J41" i="4"/>
  <c r="K41" i="4" s="1"/>
  <c r="P19" i="16"/>
  <c r="D19" i="1"/>
  <c r="G19" i="1" s="1"/>
  <c r="J20" i="4"/>
  <c r="K20" i="4" s="1"/>
  <c r="H7" i="7"/>
  <c r="P31" i="16"/>
  <c r="J38" i="2"/>
  <c r="B15" i="5" s="1"/>
  <c r="B17" i="5" s="1"/>
  <c r="I40" i="2"/>
  <c r="J40" i="2" s="1"/>
  <c r="K31" i="4"/>
  <c r="C28" i="1" s="1"/>
  <c r="I30" i="2"/>
  <c r="J30" i="2" s="1"/>
  <c r="C45" i="2"/>
  <c r="I35" i="2"/>
  <c r="J35" i="2" s="1"/>
  <c r="I43" i="2"/>
  <c r="J33" i="2"/>
  <c r="H37" i="15"/>
  <c r="J17" i="4"/>
  <c r="K17" i="4" s="1"/>
  <c r="E42" i="4"/>
  <c r="C42" i="15"/>
  <c r="H40" i="15"/>
  <c r="H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D6" i="1" l="1"/>
  <c r="G6" i="1" s="1"/>
  <c r="C20" i="5"/>
  <c r="D16" i="1"/>
  <c r="G16" i="1" s="1"/>
  <c r="C22" i="1"/>
  <c r="H21" i="15"/>
  <c r="F32" i="7"/>
  <c r="F30" i="7"/>
  <c r="F29" i="7"/>
  <c r="F27" i="7"/>
  <c r="F26" i="7"/>
  <c r="B6" i="5"/>
  <c r="B7" i="5" s="1"/>
  <c r="B28" i="1"/>
  <c r="B10" i="5"/>
  <c r="C27" i="1"/>
  <c r="B27" i="1"/>
  <c r="J6" i="2"/>
  <c r="D5" i="1" s="1"/>
  <c r="G5" i="1" s="1"/>
  <c r="B8" i="1"/>
  <c r="C8" i="1"/>
  <c r="C11" i="1" s="1"/>
  <c r="M26" i="7" s="1"/>
  <c r="B10" i="1"/>
  <c r="I45" i="2"/>
  <c r="J45" i="2" s="1"/>
  <c r="K45" i="3"/>
  <c r="I23" i="2"/>
  <c r="J23" i="2" s="1"/>
  <c r="J42" i="4"/>
  <c r="K42" i="4" s="1"/>
  <c r="H42" i="15"/>
  <c r="B17" i="1"/>
  <c r="D17" i="1" s="1"/>
  <c r="G17" i="1" s="1"/>
  <c r="J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26" i="7" l="1"/>
  <c r="H24" i="7"/>
  <c r="H25" i="7"/>
  <c r="H22" i="7"/>
  <c r="H23" i="7"/>
  <c r="B12" i="5"/>
  <c r="E10" i="5"/>
  <c r="F10" i="5" s="1"/>
  <c r="I10" i="5" s="1"/>
  <c r="B11" i="1"/>
  <c r="L26" i="7" s="1"/>
  <c r="G26" i="7" s="1"/>
  <c r="D27" i="1"/>
  <c r="G27" i="1" s="1"/>
  <c r="D22" i="1"/>
  <c r="B22" i="1"/>
  <c r="C33" i="1"/>
  <c r="B32" i="1"/>
  <c r="D32" i="1" s="1"/>
  <c r="B20" i="5"/>
  <c r="E20" i="5" s="1"/>
  <c r="D10" i="1"/>
  <c r="G10" i="1" s="1"/>
  <c r="E6" i="5"/>
  <c r="F6" i="5" s="1"/>
  <c r="I6" i="5" s="1"/>
  <c r="B21" i="5"/>
  <c r="D8" i="1"/>
  <c r="D28" i="1"/>
  <c r="G28" i="1" s="1"/>
  <c r="B29" i="1"/>
  <c r="C12" i="5"/>
  <c r="C21" i="5"/>
  <c r="E11" i="5"/>
  <c r="F11" i="5" s="1"/>
  <c r="I11" i="5" s="1"/>
  <c r="C29" i="1"/>
  <c r="D22" i="5"/>
  <c r="F15" i="5"/>
  <c r="I15" i="5" s="1"/>
  <c r="E17" i="5"/>
  <c r="N26" i="7" l="1"/>
  <c r="N25" i="7"/>
  <c r="G25" i="7"/>
  <c r="G23" i="7"/>
  <c r="G24" i="7"/>
  <c r="N22" i="7"/>
  <c r="G22" i="7"/>
  <c r="I22" i="7" s="1"/>
  <c r="N32" i="7"/>
  <c r="P31" i="7"/>
  <c r="I31" i="7"/>
  <c r="P29" i="7"/>
  <c r="I27" i="7"/>
  <c r="N27" i="7"/>
  <c r="P27" i="7" s="1"/>
  <c r="D11" i="1"/>
  <c r="B22" i="5"/>
  <c r="C32" i="1"/>
  <c r="H6" i="5"/>
  <c r="E7" i="5"/>
  <c r="E21" i="5"/>
  <c r="F21" i="5" s="1"/>
  <c r="I21" i="5" s="1"/>
  <c r="E12" i="5"/>
  <c r="C22" i="5"/>
  <c r="H11" i="5"/>
  <c r="D29" i="1"/>
  <c r="H5" i="5"/>
  <c r="F7" i="5"/>
  <c r="H7" i="5" s="1"/>
  <c r="F17" i="5"/>
  <c r="F20" i="5"/>
  <c r="I20" i="5" s="1"/>
  <c r="F12" i="5"/>
  <c r="H12" i="5" s="1"/>
  <c r="H10" i="5"/>
  <c r="I32" i="7" l="1"/>
  <c r="I30" i="7"/>
  <c r="K30" i="7" s="1"/>
  <c r="I29" i="7"/>
  <c r="K29" i="7" s="1"/>
  <c r="I26" i="7"/>
  <c r="P32" i="7"/>
  <c r="K31" i="7"/>
  <c r="K27" i="7"/>
  <c r="P26" i="7"/>
  <c r="P30" i="7"/>
  <c r="H21" i="5"/>
  <c r="E22" i="5"/>
  <c r="F22" i="5"/>
  <c r="H22" i="5" s="1"/>
  <c r="H20" i="5"/>
  <c r="K26" i="7" l="1"/>
  <c r="K32" i="7"/>
  <c r="D23" i="7" l="1"/>
  <c r="F23" i="7" l="1"/>
  <c r="N23" i="7" l="1"/>
  <c r="I23" i="7" l="1"/>
  <c r="P23" i="7"/>
  <c r="K23" i="7" l="1"/>
  <c r="F24" i="7" l="1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I25" i="7" l="1"/>
  <c r="P25" i="7"/>
  <c r="K25" i="7" l="1"/>
  <c r="D28" i="7" l="1"/>
  <c r="F28" i="7" l="1"/>
  <c r="K5" i="5" l="1"/>
  <c r="D34" i="1"/>
  <c r="K6" i="5"/>
  <c r="K11" i="5"/>
  <c r="G22" i="1" l="1"/>
  <c r="G8" i="1"/>
  <c r="E32" i="1"/>
  <c r="E33" i="1"/>
  <c r="K10" i="5"/>
  <c r="I12" i="5"/>
  <c r="K12" i="5" s="1"/>
  <c r="G29" i="1"/>
  <c r="I7" i="5"/>
  <c r="K7" i="5" s="1"/>
  <c r="I17" i="5"/>
  <c r="K21" i="5"/>
  <c r="G11" i="1" l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G21" i="7" l="1"/>
  <c r="L33" i="7"/>
  <c r="G33" i="7" l="1"/>
  <c r="H21" i="7"/>
  <c r="M33" i="7"/>
  <c r="N21" i="7"/>
  <c r="P21" i="7" l="1"/>
  <c r="N33" i="7"/>
  <c r="I21" i="7"/>
  <c r="H33" i="7"/>
  <c r="K21" i="7" l="1"/>
  <c r="I33" i="7"/>
  <c r="E22" i="7" l="1"/>
  <c r="E33" i="7" l="1"/>
  <c r="F33" i="7" s="1"/>
  <c r="F22" i="7"/>
  <c r="I20" i="1" l="1"/>
  <c r="F20" i="1"/>
  <c r="I21" i="1"/>
  <c r="F21" i="1"/>
  <c r="F18" i="1"/>
  <c r="F19" i="1"/>
  <c r="I7" i="1" l="1"/>
  <c r="F7" i="1"/>
  <c r="I19" i="1"/>
  <c r="F6" i="1"/>
  <c r="F17" i="1"/>
  <c r="E8" i="1" l="1"/>
  <c r="F5" i="1"/>
  <c r="I18" i="1"/>
  <c r="I6" i="1"/>
  <c r="I17" i="1"/>
  <c r="H8" i="1" l="1"/>
  <c r="I5" i="1"/>
  <c r="I10" i="1"/>
  <c r="F10" i="1"/>
  <c r="E22" i="1"/>
  <c r="F22" i="1" s="1"/>
  <c r="F16" i="1"/>
  <c r="H22" i="1"/>
  <c r="I22" i="1" s="1"/>
  <c r="I16" i="1"/>
  <c r="I28" i="1"/>
  <c r="F28" i="1"/>
  <c r="B38" i="1"/>
  <c r="F8" i="1"/>
  <c r="O22" i="7"/>
  <c r="J22" i="7"/>
  <c r="E29" i="1" l="1"/>
  <c r="F29" i="1" s="1"/>
  <c r="F27" i="1"/>
  <c r="C36" i="1"/>
  <c r="C37" i="1"/>
  <c r="D38" i="1"/>
  <c r="E37" i="1" s="1"/>
  <c r="J33" i="7"/>
  <c r="K33" i="7" s="1"/>
  <c r="K22" i="7"/>
  <c r="O33" i="7"/>
  <c r="P33" i="7" s="1"/>
  <c r="P22" i="7"/>
  <c r="H29" i="1"/>
  <c r="I29" i="1" s="1"/>
  <c r="I27" i="1"/>
  <c r="E11" i="1"/>
  <c r="F11" i="1" s="1"/>
  <c r="H11" i="1"/>
  <c r="I11" i="1" s="1"/>
  <c r="I8" i="1"/>
  <c r="E36" i="1" l="1"/>
</calcChain>
</file>

<file path=xl/sharedStrings.xml><?xml version="1.0" encoding="utf-8"?>
<sst xmlns="http://schemas.openxmlformats.org/spreadsheetml/2006/main" count="691" uniqueCount="243">
  <si>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</si>
  <si>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</si>
  <si>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</si>
  <si>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</si>
  <si>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</si>
  <si>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</si>
  <si>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</si>
  <si>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</si>
  <si>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</si>
  <si>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</si>
  <si>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</si>
  <si>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</si>
  <si>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</si>
  <si>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</si>
  <si>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</si>
  <si>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</si>
  <si>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</si>
  <si>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</si>
  <si>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</si>
  <si>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</si>
  <si>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</si>
  <si>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</si>
  <si>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</si>
  <si>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</si>
  <si>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</si>
  <si>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</si>
  <si>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</si>
  <si>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</si>
  <si>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</si>
  <si>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</si>
  <si>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</si>
  <si>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</si>
  <si>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</si>
  <si>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</si>
  <si>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</si>
  <si>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</si>
  <si>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</si>
  <si>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</si>
  <si>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</si>
  <si>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</si>
  <si>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</si>
  <si>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</si>
  <si>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</si>
  <si>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</si>
  <si>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</si>
  <si>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</si>
  <si>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</si>
  <si>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</si>
  <si>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</si>
  <si>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</si>
  <si>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</si>
  <si>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</si>
  <si>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</si>
  <si>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</si>
  <si>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</si>
  <si>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</si>
  <si>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</si>
  <si>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</si>
  <si>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</si>
  <si>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</si>
  <si>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</si>
  <si>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</si>
  <si>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</si>
  <si>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</si>
  <si>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</si>
  <si>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</si>
  <si>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</si>
  <si>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</si>
  <si>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</si>
  <si>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</si>
  <si>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</si>
  <si>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</si>
  <si>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</si>
  <si>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</si>
  <si>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</si>
  <si>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</si>
  <si>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</si>
  <si>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</si>
  <si>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</si>
  <si>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</si>
  <si>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</si>
  <si>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</si>
  <si>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</si>
  <si>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</si>
  <si>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</si>
  <si>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</si>
  <si>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</si>
  <si>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</si>
  <si>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</si>
  <si>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</si>
  <si>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</si>
  <si>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</si>
  <si>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</si>
  <si>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</si>
  <si>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</si>
  <si>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</si>
  <si>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</si>
  <si>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</si>
  <si>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</si>
  <si>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</si>
  <si>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</si>
  <si>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</si>
  <si>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</si>
  <si>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</si>
  <si>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</si>
  <si>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</si>
  <si>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</si>
  <si>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</si>
  <si>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</si>
  <si>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</si>
  <si>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</si>
  <si>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</si>
  <si>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</si>
  <si>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</si>
  <si>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</si>
  <si>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</si>
  <si>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</si>
  <si>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</si>
  <si>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</si>
  <si>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</si>
  <si>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</si>
  <si>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</si>
  <si>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</si>
  <si>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</si>
  <si>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</si>
  <si>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</si>
  <si>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</si>
  <si>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</si>
  <si>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</si>
  <si>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</si>
  <si>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</si>
  <si>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</si>
  <si>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</si>
  <si>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</si>
  <si>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</si>
  <si>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</si>
  <si>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</si>
  <si>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</si>
  <si>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</si>
  <si>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</si>
  <si>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</si>
  <si>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</si>
  <si>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</si>
  <si>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</si>
  <si>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</si>
  <si>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</si>
  <si>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</si>
  <si>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</si>
  <si>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</si>
  <si>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</si>
  <si>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</si>
  <si>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</si>
  <si>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</si>
  <si>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</si>
  <si>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</si>
  <si>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</si>
  <si>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</si>
  <si>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</si>
  <si>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</si>
  <si>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</si>
  <si>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</si>
  <si>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</si>
  <si>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</si>
  <si>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</si>
  <si>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</si>
  <si>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</si>
  <si>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</si>
  <si>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</si>
  <si>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</si>
  <si>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</si>
  <si>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</si>
  <si>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</si>
  <si>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</si>
  <si>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</si>
  <si>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</si>
  <si>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</si>
  <si>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</si>
  <si>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Sky Regional - Air Canada</t>
  </si>
  <si>
    <t>Sky West - American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</si>
  <si>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</si>
  <si>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</si>
  <si>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</si>
  <si>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</si>
  <si>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</si>
  <si>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</si>
  <si>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</si>
  <si>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</si>
  <si>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</si>
  <si>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</si>
  <si>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</si>
  <si>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</si>
  <si>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</si>
  <si>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</si>
  <si>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</si>
  <si>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</si>
  <si>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</si>
  <si>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</si>
  <si>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</si>
  <si>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</si>
  <si>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</si>
  <si>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</si>
  <si>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</si>
  <si>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</si>
  <si>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</si>
  <si>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</si>
  <si>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</si>
  <si>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</si>
  <si>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</si>
  <si>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WestJet</t>
  </si>
  <si>
    <t>Red Way</t>
  </si>
  <si>
    <t>.</t>
  </si>
  <si>
    <t>Jazz_AC- Air Canada</t>
  </si>
  <si>
    <t>Landing</t>
  </si>
  <si>
    <t>Departure</t>
  </si>
  <si>
    <t>Lufthansa</t>
  </si>
  <si>
    <t>ATI - 21 Air</t>
  </si>
  <si>
    <t>Monthly Total 2025</t>
  </si>
  <si>
    <t>Y-T-D 2025</t>
  </si>
  <si>
    <t>Total 2025</t>
  </si>
  <si>
    <t>Metric Tons 2025</t>
  </si>
  <si>
    <t>Monthly Ops 2025</t>
  </si>
  <si>
    <t>Ops YTD 2025</t>
  </si>
  <si>
    <t>Current Month 2025</t>
  </si>
  <si>
    <t>YTD 2025</t>
  </si>
  <si>
    <t>Monthly Cargo 2025</t>
  </si>
  <si>
    <t>Cargo YTD 2025</t>
  </si>
  <si>
    <t>Monthly Total 2026</t>
  </si>
  <si>
    <t>Y-T-D 2026</t>
  </si>
  <si>
    <t xml:space="preserve">2025 YTD </t>
  </si>
  <si>
    <t>Monthly Ops 2026</t>
  </si>
  <si>
    <t>Ops YTD 2026</t>
  </si>
  <si>
    <t>Monthly Cargo 2026</t>
  </si>
  <si>
    <t>Cargo YTD 2026</t>
  </si>
  <si>
    <t>Metric Tons 2026</t>
  </si>
  <si>
    <t>2026 Market Share</t>
  </si>
  <si>
    <t>Current Month 2026</t>
  </si>
  <si>
    <t>Monthly Passengers 2026</t>
  </si>
  <si>
    <t>Monthly Passengers 2025</t>
  </si>
  <si>
    <t>YTD 2026</t>
  </si>
  <si>
    <t>Total 2026</t>
  </si>
  <si>
    <t>Lufthansa/Discover</t>
  </si>
  <si>
    <t>ATI - DHL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</si>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</sst>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0" fontId="4" fillId="0" borderId="24" xfId="0" applyFont="1" applyBorder="1" applyAlignment="1">
      <alignment horizontal="center" vertical="center" wrapText="1" shrinkToFit="1"/>
    </xf>
    <xf numFmtId="3" fontId="13" fillId="0" borderId="17" xfId="0" applyNumberFormat="1" applyFont="1" applyBorder="1"/>
    <xf numFmtId="3" fontId="13" fillId="0" borderId="16" xfId="0" applyNumberFormat="1" applyFont="1" applyBorder="1"/>
    <xf numFmtId="0" fontId="4" fillId="0" borderId="2" xfId="0" applyFont="1" applyBorder="1" applyAlignment="1">
      <alignment horizontal="center" vertical="center" wrapText="1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ne%202025.xlsx" TargetMode="External"/><Relationship Id="rId1" Type="http://schemas.openxmlformats.org/officeDocument/2006/relationships/externalLinkPath" Target="/data/Finance%20Stats/Monthly%20Operations%20report/2025/MSP%20June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April%202026.xlsx" TargetMode="External"/><Relationship Id="rId1" Type="http://schemas.openxmlformats.org/officeDocument/2006/relationships/externalLinkPath" Target="MSP%20April%202026.xlsx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April%202025.xlsx" TargetMode="External"/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/data/Finance%20Stats/Monthly%20Operations%20report/2025/MSP%20April%20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May%202025.xlsx" TargetMode="External"/><Relationship Id="rId2" Type="http://schemas.openxmlformats.org/officeDocument/2006/relationships/externalLinkPath" Target="file:///F:\data\Finance%20Stats\Monthly%20Operations%20report\2025\MSP%20May%202025.xlsx" TargetMode="External"/><Relationship Id="rId1" Type="http://schemas.openxmlformats.org/officeDocument/2006/relationships/externalLinkPath" Target="/data/Finance%20Stats/Monthly%20Operations%20report/2025/MSP%20May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ly%202025.xlsx" TargetMode="External"/><Relationship Id="rId1" Type="http://schemas.openxmlformats.org/officeDocument/2006/relationships/externalLinkPath" Target="/data/Finance%20Stats/Monthly%20Operations%20report/2025/MSP%20July%20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August%202025.xlsx" TargetMode="External"/><Relationship Id="rId1" Type="http://schemas.openxmlformats.org/officeDocument/2006/relationships/externalLinkPath" Target="/data/Finance%20Stats/Monthly%20Operations%20report/2025/MSP%20August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September%202025.xlsx" TargetMode="External"/><Relationship Id="rId1" Type="http://schemas.openxmlformats.org/officeDocument/2006/relationships/externalLinkPath" Target="/data/Finance%20Stats/Monthly%20Operations%20report/2025/MSP%20September%202025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October%202025.xlsx" TargetMode="External"/><Relationship Id="rId1" Type="http://schemas.openxmlformats.org/officeDocument/2006/relationships/externalLinkPath" Target="/data/Finance%20Stats/Monthly%20Operations%20report/2025/MSP%20October%202025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November%202025.xlsx" TargetMode="External"/><Relationship Id="rId1" Type="http://schemas.openxmlformats.org/officeDocument/2006/relationships/externalLinkPath" Target="/data/Finance%20Stats/Monthly%20Operations%20report/2025/MSP%20November%202025.xlsx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December%202025.xlsx" TargetMode="External"/><Relationship Id="rId2" Type="http://schemas.openxmlformats.org/officeDocument/2006/relationships/externalLinkPath" Target="file:///F:\data\Finance%20Stats\Monthly%20Operations%20report\2025\MSP%20December%202025.xlsx" TargetMode="External"/><Relationship Id="rId1" Type="http://schemas.openxmlformats.org/officeDocument/2006/relationships/externalLinkPath" Target="/data/Finance%20Stats/Monthly%20Operations%20report/2025/MSP%20December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May%202026.xlsx" TargetMode="External"/><Relationship Id="rId1" Type="http://schemas.openxmlformats.org/officeDocument/2006/relationships/externalLinkPath" Target="MSP%20May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irline%20Stats/carier%20data%20entry.xlsx" TargetMode="External"/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January%202026.xlsx" TargetMode="External"/><Relationship Id="rId1" Type="http://schemas.openxmlformats.org/officeDocument/2006/relationships/externalLinkPath" Target="MSP%20January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January%202025.xlsx" TargetMode="External"/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/data/Finance%20Stats/Monthly%20Operations%20report/2025/MSP%20January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February%202026.xlsx" TargetMode="External"/><Relationship Id="rId1" Type="http://schemas.openxmlformats.org/officeDocument/2006/relationships/externalLinkPath" Target="MSP%20February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February%202025.xlsx" TargetMode="External"/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/data/Finance%20Stats/Monthly%20Operations%20report/2025/MSP%20February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March%202026.xlsx" TargetMode="External"/><Relationship Id="rId1" Type="http://schemas.openxmlformats.org/officeDocument/2006/relationships/externalLinkPath" Target="MSP%20March%202026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March%202025.xlsx" TargetMode="External"/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/data/Finance%20Stats/Monthly%20Operations%20report/2025/MSP%20March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2886590</v>
          </cell>
          <cell r="G5">
            <v>14586108</v>
          </cell>
        </row>
        <row r="6">
          <cell r="D6">
            <v>458811</v>
          </cell>
          <cell r="G6">
            <v>2548911</v>
          </cell>
        </row>
        <row r="7">
          <cell r="D7">
            <v>133</v>
          </cell>
          <cell r="G7">
            <v>468</v>
          </cell>
        </row>
        <row r="10">
          <cell r="D10">
            <v>98346</v>
          </cell>
          <cell r="G10">
            <v>532804</v>
          </cell>
        </row>
        <row r="16">
          <cell r="D16">
            <v>20371</v>
          </cell>
          <cell r="G16">
            <v>107354</v>
          </cell>
        </row>
        <row r="17">
          <cell r="D17">
            <v>7339</v>
          </cell>
          <cell r="G17">
            <v>45388</v>
          </cell>
        </row>
        <row r="18">
          <cell r="D18">
            <v>2</v>
          </cell>
          <cell r="G18">
            <v>10</v>
          </cell>
        </row>
        <row r="19">
          <cell r="D19">
            <v>1047</v>
          </cell>
          <cell r="G19">
            <v>6233</v>
          </cell>
        </row>
        <row r="20">
          <cell r="D20">
            <v>1977</v>
          </cell>
          <cell r="G20">
            <v>8433</v>
          </cell>
        </row>
        <row r="21">
          <cell r="D21">
            <v>77</v>
          </cell>
          <cell r="G21">
            <v>498</v>
          </cell>
        </row>
        <row r="27">
          <cell r="D27">
            <v>14982.260398063574</v>
          </cell>
          <cell r="G27">
            <v>86136.065745689266</v>
          </cell>
        </row>
        <row r="28">
          <cell r="D28">
            <v>2572.9074644272996</v>
          </cell>
          <cell r="G28">
            <v>12797.903242206386</v>
          </cell>
        </row>
        <row r="32">
          <cell r="B32">
            <v>1102500</v>
          </cell>
          <cell r="D32">
            <v>5843312</v>
          </cell>
        </row>
        <row r="33">
          <cell r="B33">
            <v>563589</v>
          </cell>
          <cell r="D33">
            <v>2668799</v>
          </cell>
        </row>
      </sheetData>
      <sheetData sheetId="1"/>
      <sheetData sheetId="2"/>
      <sheetData sheetId="3"/>
      <sheetData sheetId="4"/>
      <sheetData sheetId="5">
        <row r="26">
          <cell r="D26">
            <v>310661</v>
          </cell>
          <cell r="I26">
            <v>3133219</v>
          </cell>
          <cell r="N26">
            <v>3443880</v>
          </cell>
        </row>
      </sheetData>
      <sheetData sheetId="6"/>
      <sheetData sheetId="7">
        <row r="5">
          <cell r="F5">
            <v>8598.9397514675275</v>
          </cell>
          <cell r="I5">
            <v>48458.844766098999</v>
          </cell>
        </row>
        <row r="6">
          <cell r="F6">
            <v>1178.50827359342</v>
          </cell>
          <cell r="I6">
            <v>6741.83275300689</v>
          </cell>
        </row>
        <row r="10">
          <cell r="F10">
            <v>6383.3206465960466</v>
          </cell>
          <cell r="I10">
            <v>37677.220979590267</v>
          </cell>
        </row>
        <row r="11">
          <cell r="F11">
            <v>1394.3991908338799</v>
          </cell>
          <cell r="I11">
            <v>6056.0704891994992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14982.260398063574</v>
          </cell>
          <cell r="I20">
            <v>86136.065745689266</v>
          </cell>
        </row>
        <row r="21">
          <cell r="F21">
            <v>2572.9074644273001</v>
          </cell>
          <cell r="I21">
            <v>12797.90324220639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1076021</v>
          </cell>
        </row>
      </sheetData>
      <sheetData sheetId="1"/>
      <sheetData sheetId="2"/>
      <sheetData sheetId="3"/>
      <sheetData sheetId="4"/>
      <sheetData sheetId="5">
        <row r="24">
          <cell r="B24">
            <v>155524</v>
          </cell>
          <cell r="C24">
            <v>135323</v>
          </cell>
          <cell r="L24">
            <v>1491113</v>
          </cell>
          <cell r="M24">
            <v>1379605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299497</v>
          </cell>
          <cell r="I24">
            <v>2606555</v>
          </cell>
          <cell r="N24">
            <v>2906052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261311</v>
          </cell>
          <cell r="I25">
            <v>2785540</v>
          </cell>
          <cell r="N25">
            <v>3046851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331340</v>
          </cell>
          <cell r="I27">
            <v>3317080</v>
          </cell>
          <cell r="N27">
            <v>3648420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330036</v>
          </cell>
          <cell r="I28">
            <v>3121862</v>
          </cell>
          <cell r="N28">
            <v>3451898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272028</v>
          </cell>
          <cell r="I29">
            <v>2589499</v>
          </cell>
          <cell r="N29">
            <v>2861527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258310</v>
          </cell>
          <cell r="I30">
            <v>2816693</v>
          </cell>
          <cell r="N30">
            <v>3075003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197850</v>
          </cell>
          <cell r="I31">
            <v>2400689</v>
          </cell>
          <cell r="N31">
            <v>2598539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260440</v>
          </cell>
          <cell r="I32">
            <v>2507509</v>
          </cell>
          <cell r="N32">
            <v>2767949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1195296</v>
          </cell>
          <cell r="G5">
            <v>11036707</v>
          </cell>
        </row>
        <row r="6">
          <cell r="G6">
            <v>2345365</v>
          </cell>
        </row>
        <row r="7">
          <cell r="G7">
            <v>60</v>
          </cell>
        </row>
        <row r="10">
          <cell r="G10">
            <v>451986</v>
          </cell>
        </row>
        <row r="16">
          <cell r="G16">
            <v>81276</v>
          </cell>
        </row>
        <row r="17">
          <cell r="G17">
            <v>41985</v>
          </cell>
        </row>
        <row r="18">
          <cell r="G18">
            <v>1</v>
          </cell>
        </row>
        <row r="19">
          <cell r="G19">
            <v>4784</v>
          </cell>
        </row>
        <row r="20">
          <cell r="G20">
            <v>6776</v>
          </cell>
        </row>
        <row r="21">
          <cell r="G21">
            <v>389</v>
          </cell>
        </row>
        <row r="27">
          <cell r="G27">
            <v>70664.334750115857</v>
          </cell>
        </row>
        <row r="28">
          <cell r="G28">
            <v>14839.175047820969</v>
          </cell>
        </row>
        <row r="32">
          <cell r="D32">
            <v>4654012</v>
          </cell>
        </row>
        <row r="33">
          <cell r="D33">
            <v>2011441</v>
          </cell>
        </row>
      </sheetData>
      <sheetData sheetId="1"/>
      <sheetData sheetId="2"/>
      <sheetData sheetId="3"/>
      <sheetData sheetId="4"/>
      <sheetData sheetId="5">
        <row r="25">
          <cell r="B25">
            <v>130694</v>
          </cell>
          <cell r="C25">
            <v>146385</v>
          </cell>
          <cell r="L25">
            <v>1535523</v>
          </cell>
          <cell r="M25">
            <v>1501534</v>
          </cell>
        </row>
      </sheetData>
      <sheetData sheetId="6"/>
      <sheetData sheetId="7">
        <row r="5">
          <cell r="I5">
            <v>39186.979764161202</v>
          </cell>
        </row>
        <row r="6">
          <cell r="I6">
            <v>7865.3629098020901</v>
          </cell>
        </row>
        <row r="10">
          <cell r="I10">
            <v>31477.354985954662</v>
          </cell>
        </row>
        <row r="11">
          <cell r="I11">
            <v>6973.8121380188804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70664.334750115857</v>
          </cell>
        </row>
        <row r="21">
          <cell r="I21">
            <v>14839.175047820969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CSA Air"/>
      <sheetName val="Bemidji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8">
          <cell r="KA8"/>
        </row>
        <row r="9">
          <cell r="KA9"/>
        </row>
        <row r="15">
          <cell r="KA15">
            <v>54</v>
          </cell>
        </row>
        <row r="16">
          <cell r="KA16">
            <v>55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M19">
            <v>120</v>
          </cell>
          <cell r="JV19">
            <v>10</v>
          </cell>
          <cell r="JW19">
            <v>0</v>
          </cell>
          <cell r="JX19">
            <v>0</v>
          </cell>
          <cell r="JY19">
            <v>0</v>
          </cell>
          <cell r="JZ19">
            <v>122</v>
          </cell>
          <cell r="KA19">
            <v>109</v>
          </cell>
        </row>
        <row r="32">
          <cell r="KA32">
            <v>5295</v>
          </cell>
        </row>
        <row r="33">
          <cell r="KA33">
            <v>5501</v>
          </cell>
        </row>
        <row r="37">
          <cell r="KA37">
            <v>59</v>
          </cell>
        </row>
        <row r="38">
          <cell r="KA38">
            <v>88</v>
          </cell>
        </row>
        <row r="41"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M41">
            <v>11555</v>
          </cell>
          <cell r="JV41">
            <v>387</v>
          </cell>
          <cell r="JW41">
            <v>0</v>
          </cell>
          <cell r="JX41">
            <v>0</v>
          </cell>
          <cell r="JY41">
            <v>0</v>
          </cell>
          <cell r="JZ41">
            <v>7937</v>
          </cell>
          <cell r="KA41">
            <v>10796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M43">
            <v>11740</v>
          </cell>
          <cell r="JV43">
            <v>390</v>
          </cell>
          <cell r="JW43">
            <v>0</v>
          </cell>
          <cell r="JX43">
            <v>0</v>
          </cell>
          <cell r="JY43">
            <v>0</v>
          </cell>
          <cell r="JZ43">
            <v>8183</v>
          </cell>
          <cell r="KA43">
            <v>10943</v>
          </cell>
        </row>
        <row r="47">
          <cell r="KA47">
            <v>1150.8</v>
          </cell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M64">
            <v>1455</v>
          </cell>
          <cell r="JV64">
            <v>10716.7</v>
          </cell>
          <cell r="JW64">
            <v>0</v>
          </cell>
          <cell r="JX64">
            <v>0</v>
          </cell>
          <cell r="JY64">
            <v>0</v>
          </cell>
          <cell r="JZ64">
            <v>355</v>
          </cell>
          <cell r="KA64">
            <v>1150.8</v>
          </cell>
        </row>
      </sheetData>
      <sheetData sheetId="5">
        <row r="8">
          <cell r="KA8"/>
        </row>
        <row r="9">
          <cell r="KA9"/>
        </row>
        <row r="15">
          <cell r="JV15"/>
          <cell r="JW15"/>
          <cell r="JX15"/>
          <cell r="JY15"/>
          <cell r="JZ15">
            <v>27</v>
          </cell>
          <cell r="KA15">
            <v>29</v>
          </cell>
        </row>
        <row r="16">
          <cell r="JV16"/>
          <cell r="JW16"/>
          <cell r="JX16"/>
          <cell r="JY16"/>
          <cell r="JZ16">
            <v>27</v>
          </cell>
          <cell r="KA16">
            <v>29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M19">
            <v>58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54</v>
          </cell>
          <cell r="KA19">
            <v>58</v>
          </cell>
        </row>
        <row r="32">
          <cell r="JV32"/>
          <cell r="JW32"/>
          <cell r="JX32"/>
          <cell r="JY32"/>
          <cell r="JZ32">
            <v>5266</v>
          </cell>
          <cell r="KA32">
            <v>6977</v>
          </cell>
        </row>
        <row r="33">
          <cell r="JV33"/>
          <cell r="JW33"/>
          <cell r="JX33"/>
          <cell r="JY33"/>
          <cell r="JZ33">
            <v>6924</v>
          </cell>
          <cell r="KA33">
            <v>8434</v>
          </cell>
        </row>
        <row r="37">
          <cell r="JV37"/>
          <cell r="JW37"/>
          <cell r="JX37"/>
          <cell r="JY37"/>
          <cell r="JZ37">
            <v>8</v>
          </cell>
          <cell r="KA37">
            <v>12</v>
          </cell>
        </row>
        <row r="38">
          <cell r="JV38"/>
          <cell r="JW38"/>
          <cell r="JX38"/>
          <cell r="JY38"/>
          <cell r="JZ38"/>
          <cell r="KA38">
            <v>9</v>
          </cell>
        </row>
        <row r="41"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M41">
            <v>14479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12190</v>
          </cell>
          <cell r="KA41">
            <v>15411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M43">
            <v>14479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12198</v>
          </cell>
          <cell r="KA43">
            <v>15432</v>
          </cell>
        </row>
        <row r="47">
          <cell r="KA47">
            <v>332951</v>
          </cell>
        </row>
        <row r="48">
          <cell r="KA48"/>
        </row>
        <row r="52">
          <cell r="KA52">
            <v>43753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M64">
            <v>483999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227842</v>
          </cell>
          <cell r="KA64">
            <v>376704</v>
          </cell>
        </row>
      </sheetData>
      <sheetData sheetId="6">
        <row r="4">
          <cell r="KA4"/>
        </row>
        <row r="5">
          <cell r="KA5"/>
        </row>
        <row r="8">
          <cell r="KA8"/>
        </row>
        <row r="9">
          <cell r="KA9"/>
        </row>
        <row r="19"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M19">
            <v>36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</row>
        <row r="22">
          <cell r="KA22"/>
        </row>
        <row r="23">
          <cell r="KA23"/>
        </row>
        <row r="27">
          <cell r="KA27"/>
        </row>
        <row r="28">
          <cell r="KA28"/>
        </row>
        <row r="41"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M41">
            <v>5606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</row>
        <row r="43"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M43">
            <v>5606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7">
        <row r="4">
          <cell r="KA4"/>
        </row>
        <row r="5">
          <cell r="KA5"/>
        </row>
        <row r="8">
          <cell r="KA8"/>
        </row>
        <row r="9">
          <cell r="KA9"/>
        </row>
        <row r="15">
          <cell r="JV15">
            <v>17</v>
          </cell>
          <cell r="JW15">
            <v>15</v>
          </cell>
          <cell r="JX15">
            <v>26</v>
          </cell>
          <cell r="JY15">
            <v>25</v>
          </cell>
          <cell r="JZ15">
            <v>30</v>
          </cell>
          <cell r="KA15">
            <v>30</v>
          </cell>
        </row>
        <row r="16">
          <cell r="JV16">
            <v>17</v>
          </cell>
          <cell r="JW16">
            <v>15</v>
          </cell>
          <cell r="JX16">
            <v>26</v>
          </cell>
          <cell r="JY16">
            <v>25</v>
          </cell>
          <cell r="JZ16">
            <v>30</v>
          </cell>
          <cell r="KA16">
            <v>30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M19">
            <v>52</v>
          </cell>
          <cell r="JV19">
            <v>34</v>
          </cell>
          <cell r="JW19">
            <v>30</v>
          </cell>
          <cell r="JX19">
            <v>52</v>
          </cell>
          <cell r="JY19">
            <v>50</v>
          </cell>
          <cell r="JZ19">
            <v>60</v>
          </cell>
          <cell r="KA19">
            <v>60</v>
          </cell>
        </row>
        <row r="22">
          <cell r="KA22"/>
        </row>
        <row r="23">
          <cell r="KA23"/>
        </row>
        <row r="27">
          <cell r="KA27"/>
        </row>
        <row r="28">
          <cell r="KA28"/>
        </row>
        <row r="32">
          <cell r="JV32">
            <v>1721</v>
          </cell>
          <cell r="JW32">
            <v>844</v>
          </cell>
          <cell r="JX32">
            <v>2857</v>
          </cell>
          <cell r="JY32">
            <v>2539</v>
          </cell>
          <cell r="JZ32">
            <v>3657</v>
          </cell>
          <cell r="KA32">
            <v>4420</v>
          </cell>
        </row>
        <row r="33">
          <cell r="JV33">
            <v>1316</v>
          </cell>
          <cell r="JW33">
            <v>812</v>
          </cell>
          <cell r="JX33">
            <v>3114</v>
          </cell>
          <cell r="JY33">
            <v>2019</v>
          </cell>
          <cell r="JZ33">
            <v>3731</v>
          </cell>
          <cell r="KA33">
            <v>3195</v>
          </cell>
        </row>
        <row r="37">
          <cell r="JV37">
            <v>7</v>
          </cell>
          <cell r="JW37">
            <v>9</v>
          </cell>
          <cell r="JX37">
            <v>4</v>
          </cell>
          <cell r="JY37">
            <v>14</v>
          </cell>
          <cell r="JZ37">
            <v>21</v>
          </cell>
          <cell r="KA37">
            <v>20</v>
          </cell>
        </row>
        <row r="38">
          <cell r="JV38">
            <v>8</v>
          </cell>
          <cell r="JW38">
            <v>7</v>
          </cell>
          <cell r="JX38">
            <v>10</v>
          </cell>
          <cell r="JY38">
            <v>8</v>
          </cell>
          <cell r="JZ38">
            <v>23</v>
          </cell>
          <cell r="KA38">
            <v>12</v>
          </cell>
        </row>
        <row r="41"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M41">
            <v>7330</v>
          </cell>
          <cell r="JV41">
            <v>3037</v>
          </cell>
          <cell r="JW41">
            <v>1656</v>
          </cell>
          <cell r="JX41">
            <v>5971</v>
          </cell>
          <cell r="JY41">
            <v>4558</v>
          </cell>
          <cell r="JZ41">
            <v>7388</v>
          </cell>
          <cell r="KA41">
            <v>7615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M43">
            <v>7371</v>
          </cell>
          <cell r="JV43">
            <v>3052</v>
          </cell>
          <cell r="JW43">
            <v>1672</v>
          </cell>
          <cell r="JX43">
            <v>5985</v>
          </cell>
          <cell r="JY43">
            <v>4580</v>
          </cell>
          <cell r="JZ43">
            <v>7432</v>
          </cell>
          <cell r="KA43">
            <v>7647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2444.92</v>
          </cell>
          <cell r="JW64">
            <v>2012.82</v>
          </cell>
          <cell r="JX64">
            <v>5485.09</v>
          </cell>
          <cell r="JY64">
            <v>0</v>
          </cell>
          <cell r="JZ64">
            <v>0</v>
          </cell>
          <cell r="KA64">
            <v>0</v>
          </cell>
        </row>
      </sheetData>
      <sheetData sheetId="8">
        <row r="4">
          <cell r="KA4">
            <v>143</v>
          </cell>
        </row>
        <row r="5">
          <cell r="KA5">
            <v>141</v>
          </cell>
        </row>
        <row r="8">
          <cell r="KA8">
            <v>1</v>
          </cell>
        </row>
        <row r="9">
          <cell r="KA9"/>
        </row>
        <row r="19"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M19">
            <v>314</v>
          </cell>
          <cell r="JV19">
            <v>116</v>
          </cell>
          <cell r="JW19">
            <v>106</v>
          </cell>
          <cell r="JX19">
            <v>146</v>
          </cell>
          <cell r="JY19">
            <v>181</v>
          </cell>
          <cell r="JZ19">
            <v>216</v>
          </cell>
          <cell r="KA19">
            <v>285</v>
          </cell>
        </row>
        <row r="22">
          <cell r="KA22">
            <v>20237</v>
          </cell>
        </row>
        <row r="23">
          <cell r="KA23">
            <v>20003</v>
          </cell>
        </row>
        <row r="27">
          <cell r="KA27">
            <v>754</v>
          </cell>
        </row>
        <row r="28">
          <cell r="KA28">
            <v>744</v>
          </cell>
        </row>
        <row r="41"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M41">
            <v>38473</v>
          </cell>
          <cell r="JV41">
            <v>17622</v>
          </cell>
          <cell r="JW41">
            <v>14554</v>
          </cell>
          <cell r="JX41">
            <v>22379</v>
          </cell>
          <cell r="JY41">
            <v>25520</v>
          </cell>
          <cell r="JZ41">
            <v>31226</v>
          </cell>
          <cell r="KA41">
            <v>40240</v>
          </cell>
        </row>
        <row r="43"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M43">
            <v>39926</v>
          </cell>
          <cell r="JV43">
            <v>18242</v>
          </cell>
          <cell r="JW43">
            <v>15144</v>
          </cell>
          <cell r="JX43">
            <v>23059</v>
          </cell>
          <cell r="JY43">
            <v>26452</v>
          </cell>
          <cell r="JZ43">
            <v>32414</v>
          </cell>
          <cell r="KA43">
            <v>41738</v>
          </cell>
        </row>
        <row r="47">
          <cell r="KA47">
            <v>27864</v>
          </cell>
        </row>
        <row r="48">
          <cell r="KA48">
            <v>669</v>
          </cell>
        </row>
        <row r="52">
          <cell r="KA52">
            <v>14576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M64">
            <v>52680</v>
          </cell>
          <cell r="JV64">
            <v>28086</v>
          </cell>
          <cell r="JW64">
            <v>25205</v>
          </cell>
          <cell r="JX64">
            <v>36691</v>
          </cell>
          <cell r="JY64">
            <v>51484</v>
          </cell>
          <cell r="JZ64">
            <v>41134</v>
          </cell>
          <cell r="KA64">
            <v>43109</v>
          </cell>
        </row>
      </sheetData>
      <sheetData sheetId="9"/>
      <sheetData sheetId="10">
        <row r="4">
          <cell r="KA4">
            <v>349</v>
          </cell>
        </row>
        <row r="5">
          <cell r="KA5">
            <v>348</v>
          </cell>
        </row>
        <row r="8">
          <cell r="KA8"/>
        </row>
        <row r="9">
          <cell r="KA9"/>
        </row>
        <row r="19"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M19">
            <v>824</v>
          </cell>
          <cell r="JV19">
            <v>587</v>
          </cell>
          <cell r="JW19">
            <v>602</v>
          </cell>
          <cell r="JX19">
            <v>700</v>
          </cell>
          <cell r="JY19">
            <v>703</v>
          </cell>
          <cell r="JZ19">
            <v>705</v>
          </cell>
          <cell r="KA19">
            <v>697</v>
          </cell>
        </row>
        <row r="22">
          <cell r="KA22">
            <v>47674</v>
          </cell>
        </row>
        <row r="23">
          <cell r="KA23">
            <v>45970</v>
          </cell>
        </row>
        <row r="27">
          <cell r="KA27">
            <v>1747</v>
          </cell>
        </row>
        <row r="28">
          <cell r="KA28">
            <v>1939</v>
          </cell>
        </row>
        <row r="41"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M41">
            <v>113017</v>
          </cell>
          <cell r="JV41">
            <v>74994</v>
          </cell>
          <cell r="JW41">
            <v>75286</v>
          </cell>
          <cell r="JX41">
            <v>93577</v>
          </cell>
          <cell r="JY41">
            <v>82456</v>
          </cell>
          <cell r="JZ41">
            <v>86197</v>
          </cell>
          <cell r="KA41">
            <v>93644</v>
          </cell>
        </row>
        <row r="43"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M43">
            <v>117108</v>
          </cell>
          <cell r="JV43">
            <v>77766</v>
          </cell>
          <cell r="JW43">
            <v>78022</v>
          </cell>
          <cell r="JX43">
            <v>96590</v>
          </cell>
          <cell r="JY43">
            <v>85699</v>
          </cell>
          <cell r="JZ43">
            <v>90320</v>
          </cell>
          <cell r="KA43">
            <v>97330</v>
          </cell>
        </row>
        <row r="47">
          <cell r="KA47">
            <v>29562</v>
          </cell>
        </row>
        <row r="48">
          <cell r="KA48">
            <v>9620</v>
          </cell>
        </row>
        <row r="52">
          <cell r="KA52">
            <v>18196</v>
          </cell>
        </row>
        <row r="53">
          <cell r="KA53">
            <v>0</v>
          </cell>
        </row>
        <row r="57">
          <cell r="KA57"/>
        </row>
        <row r="58">
          <cell r="KA58"/>
        </row>
        <row r="64"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M64">
            <v>80182</v>
          </cell>
          <cell r="JV64">
            <v>113006</v>
          </cell>
          <cell r="JW64">
            <v>118560</v>
          </cell>
          <cell r="JX64">
            <v>97534</v>
          </cell>
          <cell r="JY64">
            <v>110676</v>
          </cell>
          <cell r="JZ64">
            <v>75447</v>
          </cell>
          <cell r="KA64">
            <v>57378</v>
          </cell>
        </row>
      </sheetData>
      <sheetData sheetId="11"/>
      <sheetData sheetId="12"/>
      <sheetData sheetId="13">
        <row r="23">
          <cell r="JV23"/>
        </row>
      </sheetData>
      <sheetData sheetId="14">
        <row r="4">
          <cell r="KA4">
            <v>6046</v>
          </cell>
        </row>
        <row r="5">
          <cell r="KA5">
            <v>6039</v>
          </cell>
        </row>
        <row r="8">
          <cell r="KA8">
            <v>10</v>
          </cell>
        </row>
        <row r="9">
          <cell r="KA9">
            <v>22</v>
          </cell>
        </row>
        <row r="15">
          <cell r="JV15">
            <v>677</v>
          </cell>
          <cell r="JW15">
            <v>630</v>
          </cell>
          <cell r="JX15">
            <v>721</v>
          </cell>
          <cell r="JY15">
            <v>576</v>
          </cell>
          <cell r="JZ15">
            <v>470</v>
          </cell>
          <cell r="KA15">
            <v>493</v>
          </cell>
        </row>
        <row r="16">
          <cell r="JV16">
            <v>676</v>
          </cell>
          <cell r="JW16">
            <v>629</v>
          </cell>
          <cell r="JX16">
            <v>725</v>
          </cell>
          <cell r="JY16">
            <v>576</v>
          </cell>
          <cell r="JZ16">
            <v>467</v>
          </cell>
          <cell r="KA16">
            <v>485</v>
          </cell>
        </row>
        <row r="19"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M19">
            <v>13540</v>
          </cell>
          <cell r="JV19">
            <v>10452</v>
          </cell>
          <cell r="JW19">
            <v>9686</v>
          </cell>
          <cell r="JX19">
            <v>11250</v>
          </cell>
          <cell r="JY19">
            <v>11491</v>
          </cell>
          <cell r="JZ19">
            <v>12404</v>
          </cell>
          <cell r="KA19">
            <v>13095</v>
          </cell>
        </row>
        <row r="22">
          <cell r="KA22">
            <v>861724</v>
          </cell>
        </row>
        <row r="23">
          <cell r="KA23">
            <v>848760</v>
          </cell>
        </row>
        <row r="27">
          <cell r="KA27">
            <v>28361</v>
          </cell>
        </row>
        <row r="28">
          <cell r="KA28">
            <v>28190</v>
          </cell>
        </row>
        <row r="32">
          <cell r="JV32">
            <v>111473</v>
          </cell>
          <cell r="JW32">
            <v>98522</v>
          </cell>
          <cell r="JX32">
            <v>121216</v>
          </cell>
          <cell r="JY32">
            <v>108440</v>
          </cell>
          <cell r="JZ32">
            <v>85317</v>
          </cell>
          <cell r="KA32">
            <v>95053</v>
          </cell>
        </row>
        <row r="33">
          <cell r="JV33">
            <v>106427</v>
          </cell>
          <cell r="JW33">
            <v>101058</v>
          </cell>
          <cell r="JX33">
            <v>127256</v>
          </cell>
          <cell r="JY33">
            <v>95941</v>
          </cell>
          <cell r="JZ33">
            <v>93514</v>
          </cell>
          <cell r="KA33">
            <v>100572</v>
          </cell>
        </row>
        <row r="37">
          <cell r="JV37">
            <v>3348</v>
          </cell>
          <cell r="JW37">
            <v>3606</v>
          </cell>
          <cell r="JX37">
            <v>2841</v>
          </cell>
          <cell r="JY37">
            <v>3125</v>
          </cell>
          <cell r="JZ37">
            <v>3075</v>
          </cell>
          <cell r="KA37">
            <v>2981</v>
          </cell>
        </row>
        <row r="38">
          <cell r="JV38">
            <v>3121</v>
          </cell>
          <cell r="JW38">
            <v>3339</v>
          </cell>
          <cell r="JX38">
            <v>3092</v>
          </cell>
          <cell r="JY38">
            <v>3181</v>
          </cell>
          <cell r="JZ38">
            <v>3288</v>
          </cell>
          <cell r="KA38">
            <v>3071</v>
          </cell>
        </row>
        <row r="41"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M41">
            <v>1956117</v>
          </cell>
          <cell r="JV41">
            <v>1402368</v>
          </cell>
          <cell r="JW41">
            <v>1346999</v>
          </cell>
          <cell r="JX41">
            <v>1634910</v>
          </cell>
          <cell r="JY41">
            <v>1574700</v>
          </cell>
          <cell r="JZ41">
            <v>1737532</v>
          </cell>
          <cell r="KA41">
            <v>1906109</v>
          </cell>
        </row>
        <row r="43"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M43">
            <v>2019381</v>
          </cell>
          <cell r="JV43">
            <v>1454169</v>
          </cell>
          <cell r="JW43">
            <v>1397481</v>
          </cell>
          <cell r="JX43">
            <v>1688336</v>
          </cell>
          <cell r="JY43">
            <v>1631779</v>
          </cell>
          <cell r="JZ43">
            <v>1800239</v>
          </cell>
          <cell r="KA43">
            <v>1968712</v>
          </cell>
        </row>
        <row r="47">
          <cell r="KA47">
            <v>5107835</v>
          </cell>
        </row>
        <row r="48">
          <cell r="KA48">
            <v>66203</v>
          </cell>
        </row>
        <row r="52">
          <cell r="KA52">
            <v>2929654</v>
          </cell>
        </row>
        <row r="53">
          <cell r="KA53">
            <v>12053</v>
          </cell>
        </row>
        <row r="57">
          <cell r="KA57"/>
        </row>
        <row r="58">
          <cell r="KA58"/>
        </row>
        <row r="64"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M64">
            <v>6697568</v>
          </cell>
          <cell r="JV64">
            <v>5424112</v>
          </cell>
          <cell r="JW64">
            <v>6240882</v>
          </cell>
          <cell r="JX64">
            <v>7383816</v>
          </cell>
          <cell r="JY64">
            <v>8760539</v>
          </cell>
          <cell r="JZ64">
            <v>8465551</v>
          </cell>
          <cell r="KA64">
            <v>8115745</v>
          </cell>
        </row>
        <row r="70">
          <cell r="KA70">
            <v>478197.39279999997</v>
          </cell>
        </row>
        <row r="71">
          <cell r="KA71">
            <v>370562.60720000003</v>
          </cell>
        </row>
        <row r="73">
          <cell r="KA73">
            <v>56662.976799999997</v>
          </cell>
        </row>
        <row r="74">
          <cell r="KA74">
            <v>43909.023200000003</v>
          </cell>
        </row>
      </sheetData>
      <sheetData sheetId="15">
        <row r="4">
          <cell r="KA4">
            <v>77</v>
          </cell>
        </row>
        <row r="5">
          <cell r="KA5">
            <v>77</v>
          </cell>
        </row>
        <row r="8">
          <cell r="KA8"/>
        </row>
        <row r="9">
          <cell r="KA9"/>
        </row>
        <row r="19"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M19">
            <v>156</v>
          </cell>
          <cell r="JV19">
            <v>158</v>
          </cell>
          <cell r="JW19">
            <v>144</v>
          </cell>
          <cell r="JX19">
            <v>154</v>
          </cell>
          <cell r="JY19">
            <v>156</v>
          </cell>
          <cell r="JZ19">
            <v>158</v>
          </cell>
          <cell r="KA19">
            <v>154</v>
          </cell>
        </row>
        <row r="22">
          <cell r="KA22">
            <v>904</v>
          </cell>
        </row>
        <row r="23">
          <cell r="KA23">
            <v>922</v>
          </cell>
        </row>
        <row r="27">
          <cell r="KA27">
            <v>63</v>
          </cell>
        </row>
        <row r="28">
          <cell r="KA28">
            <v>71</v>
          </cell>
        </row>
        <row r="32">
          <cell r="KA32"/>
        </row>
        <row r="33">
          <cell r="KA33"/>
        </row>
        <row r="37">
          <cell r="KA37"/>
        </row>
        <row r="38">
          <cell r="KA38"/>
        </row>
        <row r="41"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M41">
            <v>1692</v>
          </cell>
          <cell r="JV41">
            <v>1726</v>
          </cell>
          <cell r="JW41">
            <v>1516</v>
          </cell>
          <cell r="JX41">
            <v>2121</v>
          </cell>
          <cell r="JY41">
            <v>1811</v>
          </cell>
          <cell r="JZ41">
            <v>1642</v>
          </cell>
          <cell r="KA41">
            <v>1826</v>
          </cell>
        </row>
        <row r="43"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M43">
            <v>1787</v>
          </cell>
          <cell r="JV43">
            <v>1793</v>
          </cell>
          <cell r="JW43">
            <v>1583</v>
          </cell>
          <cell r="JX43">
            <v>2225</v>
          </cell>
          <cell r="JY43">
            <v>1922</v>
          </cell>
          <cell r="JZ43">
            <v>1761</v>
          </cell>
          <cell r="KA43">
            <v>1960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16">
        <row r="4">
          <cell r="KA4">
            <v>113</v>
          </cell>
        </row>
        <row r="5">
          <cell r="KA5">
            <v>113</v>
          </cell>
        </row>
        <row r="8">
          <cell r="KA8"/>
        </row>
        <row r="9">
          <cell r="KA9"/>
        </row>
        <row r="15">
          <cell r="JV15"/>
          <cell r="JW15"/>
          <cell r="JX15"/>
          <cell r="JY15"/>
          <cell r="JZ15"/>
        </row>
        <row r="16">
          <cell r="JV16"/>
          <cell r="JW16"/>
          <cell r="JX16"/>
          <cell r="JY16"/>
          <cell r="JZ16"/>
        </row>
        <row r="19"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M19">
            <v>141</v>
          </cell>
          <cell r="JV19">
            <v>153</v>
          </cell>
          <cell r="JW19">
            <v>212</v>
          </cell>
          <cell r="JX19">
            <v>331</v>
          </cell>
          <cell r="JY19">
            <v>196</v>
          </cell>
          <cell r="JZ19">
            <v>224</v>
          </cell>
          <cell r="KA19">
            <v>226</v>
          </cell>
        </row>
        <row r="22">
          <cell r="KA22">
            <v>18864</v>
          </cell>
        </row>
        <row r="23">
          <cell r="KA23">
            <v>17915</v>
          </cell>
        </row>
        <row r="27">
          <cell r="KA27">
            <v>218</v>
          </cell>
        </row>
        <row r="28">
          <cell r="KA28">
            <v>188</v>
          </cell>
        </row>
        <row r="32">
          <cell r="JV32"/>
          <cell r="JW32"/>
          <cell r="JX32"/>
          <cell r="JY32"/>
          <cell r="JZ32"/>
          <cell r="KA32"/>
        </row>
        <row r="33">
          <cell r="JV33"/>
          <cell r="JW33"/>
          <cell r="JX33"/>
          <cell r="JY33"/>
          <cell r="JZ33"/>
          <cell r="KA33"/>
        </row>
        <row r="37">
          <cell r="JV37"/>
          <cell r="JW37"/>
          <cell r="JX37"/>
          <cell r="JY37"/>
          <cell r="JZ37"/>
          <cell r="KA37"/>
        </row>
        <row r="38">
          <cell r="JV38"/>
          <cell r="JW38"/>
          <cell r="JX38"/>
          <cell r="JY38"/>
          <cell r="JZ38"/>
          <cell r="KA38"/>
        </row>
        <row r="41"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M41">
            <v>22431</v>
          </cell>
          <cell r="JV41">
            <v>25151</v>
          </cell>
          <cell r="JW41">
            <v>34499</v>
          </cell>
          <cell r="JX41">
            <v>54655</v>
          </cell>
          <cell r="JY41">
            <v>32151</v>
          </cell>
          <cell r="JZ41">
            <v>37859</v>
          </cell>
          <cell r="KA41">
            <v>36779</v>
          </cell>
        </row>
        <row r="43"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M43">
            <v>22645</v>
          </cell>
          <cell r="JV43">
            <v>25388</v>
          </cell>
          <cell r="JW43">
            <v>34906</v>
          </cell>
          <cell r="JX43">
            <v>54961</v>
          </cell>
          <cell r="JY43">
            <v>32410</v>
          </cell>
          <cell r="JZ43">
            <v>38212</v>
          </cell>
          <cell r="KA43">
            <v>37185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17">
        <row r="8">
          <cell r="KA8"/>
        </row>
        <row r="9">
          <cell r="KA9"/>
        </row>
        <row r="15">
          <cell r="JV15">
            <v>17</v>
          </cell>
          <cell r="JW15">
            <v>16</v>
          </cell>
          <cell r="JX15">
            <v>17</v>
          </cell>
          <cell r="JY15">
            <v>20</v>
          </cell>
          <cell r="JZ15">
            <v>30</v>
          </cell>
          <cell r="KA15">
            <v>30</v>
          </cell>
        </row>
        <row r="16">
          <cell r="JV16">
            <v>17</v>
          </cell>
          <cell r="JW16">
            <v>16</v>
          </cell>
          <cell r="JX16">
            <v>17</v>
          </cell>
          <cell r="JY16">
            <v>20</v>
          </cell>
          <cell r="JZ16">
            <v>30</v>
          </cell>
          <cell r="KA16">
            <v>30</v>
          </cell>
        </row>
        <row r="19"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M19">
            <v>60</v>
          </cell>
          <cell r="JV19">
            <v>34</v>
          </cell>
          <cell r="JW19">
            <v>32</v>
          </cell>
          <cell r="JX19">
            <v>34</v>
          </cell>
          <cell r="JY19">
            <v>40</v>
          </cell>
          <cell r="JZ19">
            <v>60</v>
          </cell>
          <cell r="KA19">
            <v>60</v>
          </cell>
        </row>
        <row r="32">
          <cell r="JV32">
            <v>2133</v>
          </cell>
          <cell r="JW32">
            <v>1532</v>
          </cell>
          <cell r="JX32">
            <v>2179</v>
          </cell>
          <cell r="JY32">
            <v>2679</v>
          </cell>
          <cell r="JZ32">
            <v>3907</v>
          </cell>
          <cell r="KA32">
            <v>4607</v>
          </cell>
        </row>
        <row r="33">
          <cell r="JV33">
            <v>2014</v>
          </cell>
          <cell r="JW33">
            <v>1729</v>
          </cell>
          <cell r="JX33">
            <v>2433</v>
          </cell>
          <cell r="JY33">
            <v>2841</v>
          </cell>
          <cell r="JZ33">
            <v>4505</v>
          </cell>
          <cell r="KA33">
            <v>4668</v>
          </cell>
        </row>
        <row r="37">
          <cell r="JV37">
            <v>41</v>
          </cell>
          <cell r="JW37">
            <v>57</v>
          </cell>
          <cell r="JX37">
            <v>32</v>
          </cell>
          <cell r="JY37">
            <v>34</v>
          </cell>
          <cell r="JZ37">
            <v>21</v>
          </cell>
          <cell r="KA37">
            <v>16</v>
          </cell>
        </row>
        <row r="38">
          <cell r="JV38">
            <v>42</v>
          </cell>
          <cell r="JW38">
            <v>55</v>
          </cell>
          <cell r="JX38">
            <v>26</v>
          </cell>
          <cell r="JY38">
            <v>31</v>
          </cell>
          <cell r="JZ38">
            <v>16</v>
          </cell>
          <cell r="KA38">
            <v>14</v>
          </cell>
        </row>
        <row r="41"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M41">
            <v>9644</v>
          </cell>
          <cell r="JV41">
            <v>4147</v>
          </cell>
          <cell r="JW41">
            <v>3261</v>
          </cell>
          <cell r="JX41">
            <v>4612</v>
          </cell>
          <cell r="JY41">
            <v>5520</v>
          </cell>
          <cell r="JZ41">
            <v>8412</v>
          </cell>
          <cell r="KA41">
            <v>9275</v>
          </cell>
        </row>
        <row r="43"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M43">
            <v>9696</v>
          </cell>
          <cell r="JV43">
            <v>4230</v>
          </cell>
          <cell r="JW43">
            <v>3373</v>
          </cell>
          <cell r="JX43">
            <v>4670</v>
          </cell>
          <cell r="JY43">
            <v>5585</v>
          </cell>
          <cell r="JZ43">
            <v>8449</v>
          </cell>
          <cell r="KA43">
            <v>9305</v>
          </cell>
        </row>
        <row r="47">
          <cell r="KA47">
            <v>170</v>
          </cell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M64">
            <v>13790</v>
          </cell>
          <cell r="JV64">
            <v>0</v>
          </cell>
          <cell r="JW64">
            <v>1645</v>
          </cell>
          <cell r="JX64">
            <v>2136</v>
          </cell>
          <cell r="JY64">
            <v>220</v>
          </cell>
          <cell r="JZ64">
            <v>2264</v>
          </cell>
          <cell r="KA64">
            <v>170</v>
          </cell>
        </row>
      </sheetData>
      <sheetData sheetId="18">
        <row r="23">
          <cell r="JV23"/>
        </row>
      </sheetData>
      <sheetData sheetId="19">
        <row r="4">
          <cell r="KA4"/>
        </row>
        <row r="5">
          <cell r="KA5"/>
        </row>
        <row r="8">
          <cell r="KA8"/>
        </row>
        <row r="9">
          <cell r="KA9"/>
        </row>
        <row r="15">
          <cell r="JV15"/>
          <cell r="JW15"/>
          <cell r="JX15">
            <v>1</v>
          </cell>
          <cell r="JY15">
            <v>13</v>
          </cell>
          <cell r="JZ15">
            <v>16</v>
          </cell>
          <cell r="KA15">
            <v>19</v>
          </cell>
        </row>
        <row r="16">
          <cell r="JV16"/>
          <cell r="JW16"/>
          <cell r="JX16">
            <v>1</v>
          </cell>
          <cell r="JY16">
            <v>13</v>
          </cell>
          <cell r="JZ16">
            <v>16</v>
          </cell>
          <cell r="KA16">
            <v>19</v>
          </cell>
        </row>
        <row r="19"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M19">
            <v>42</v>
          </cell>
          <cell r="JV19">
            <v>0</v>
          </cell>
          <cell r="JW19">
            <v>0</v>
          </cell>
          <cell r="JX19">
            <v>2</v>
          </cell>
          <cell r="JY19">
            <v>26</v>
          </cell>
          <cell r="JZ19">
            <v>32</v>
          </cell>
          <cell r="KA19">
            <v>38</v>
          </cell>
        </row>
        <row r="22">
          <cell r="KA22"/>
        </row>
        <row r="23">
          <cell r="KA23"/>
        </row>
        <row r="27">
          <cell r="KA27"/>
        </row>
        <row r="28">
          <cell r="KA28"/>
        </row>
        <row r="32">
          <cell r="JV32"/>
          <cell r="JW32"/>
          <cell r="JX32">
            <v>255</v>
          </cell>
          <cell r="JY32">
            <v>3068</v>
          </cell>
          <cell r="JZ32">
            <v>3412</v>
          </cell>
          <cell r="KA32">
            <v>3488</v>
          </cell>
        </row>
        <row r="33">
          <cell r="JV33"/>
          <cell r="JW33"/>
          <cell r="JX33">
            <v>231</v>
          </cell>
          <cell r="JY33">
            <v>3024</v>
          </cell>
          <cell r="JZ33">
            <v>3550</v>
          </cell>
          <cell r="KA33">
            <v>4136</v>
          </cell>
        </row>
        <row r="37">
          <cell r="JV37"/>
          <cell r="JW37"/>
          <cell r="JX37"/>
          <cell r="JY37">
            <v>7</v>
          </cell>
          <cell r="JZ37">
            <v>1</v>
          </cell>
          <cell r="KA37"/>
        </row>
        <row r="38">
          <cell r="JV38"/>
          <cell r="JW38"/>
          <cell r="JX38"/>
          <cell r="JY38">
            <v>8</v>
          </cell>
          <cell r="JZ38">
            <v>10</v>
          </cell>
          <cell r="KA38">
            <v>19</v>
          </cell>
        </row>
        <row r="41"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M41">
            <v>10405</v>
          </cell>
          <cell r="JV41">
            <v>0</v>
          </cell>
          <cell r="JW41">
            <v>0</v>
          </cell>
          <cell r="JX41">
            <v>486</v>
          </cell>
          <cell r="JY41">
            <v>6092</v>
          </cell>
          <cell r="JZ41">
            <v>6962</v>
          </cell>
          <cell r="KA41">
            <v>7624</v>
          </cell>
        </row>
        <row r="43"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M43">
            <v>10405</v>
          </cell>
          <cell r="JV43">
            <v>0</v>
          </cell>
          <cell r="JW43">
            <v>0</v>
          </cell>
          <cell r="JX43">
            <v>486</v>
          </cell>
          <cell r="JY43">
            <v>6107</v>
          </cell>
          <cell r="JZ43">
            <v>6973</v>
          </cell>
          <cell r="KA43">
            <v>7643</v>
          </cell>
        </row>
        <row r="47">
          <cell r="KA47">
            <v>403983</v>
          </cell>
        </row>
        <row r="48">
          <cell r="KA48"/>
        </row>
        <row r="52">
          <cell r="KA52">
            <v>13438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M64">
            <v>312212</v>
          </cell>
          <cell r="JV64">
            <v>0</v>
          </cell>
          <cell r="JW64">
            <v>0</v>
          </cell>
          <cell r="JX64">
            <v>33536.548000000003</v>
          </cell>
          <cell r="JY64">
            <v>365832</v>
          </cell>
          <cell r="JZ64">
            <v>148038</v>
          </cell>
          <cell r="KA64">
            <v>417421</v>
          </cell>
        </row>
      </sheetData>
      <sheetData sheetId="20"/>
      <sheetData sheetId="21"/>
      <sheetData sheetId="22">
        <row r="4">
          <cell r="KA4"/>
        </row>
        <row r="5">
          <cell r="KA5"/>
        </row>
        <row r="8">
          <cell r="KA8"/>
        </row>
        <row r="9">
          <cell r="KA9"/>
        </row>
        <row r="15">
          <cell r="JV15"/>
          <cell r="JW15"/>
          <cell r="JX15"/>
          <cell r="JY15"/>
          <cell r="JZ15">
            <v>10</v>
          </cell>
          <cell r="KA15">
            <v>14</v>
          </cell>
        </row>
        <row r="16">
          <cell r="JV16"/>
          <cell r="JW16"/>
          <cell r="JX16"/>
          <cell r="JY16"/>
          <cell r="JZ16">
            <v>10</v>
          </cell>
          <cell r="KA16">
            <v>14</v>
          </cell>
        </row>
        <row r="19"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M19">
            <v>32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20</v>
          </cell>
          <cell r="KA19">
            <v>28</v>
          </cell>
        </row>
        <row r="22">
          <cell r="KA22"/>
        </row>
        <row r="23">
          <cell r="KA23"/>
        </row>
        <row r="27">
          <cell r="KA27"/>
        </row>
        <row r="28">
          <cell r="KA28"/>
        </row>
        <row r="32">
          <cell r="JV32"/>
          <cell r="JW32"/>
          <cell r="JX32"/>
          <cell r="JY32"/>
          <cell r="JZ32">
            <v>1829</v>
          </cell>
          <cell r="KA32">
            <v>2776</v>
          </cell>
        </row>
        <row r="33">
          <cell r="JV33"/>
          <cell r="JW33"/>
          <cell r="JX33"/>
          <cell r="JY33"/>
          <cell r="JZ33">
            <v>2237</v>
          </cell>
          <cell r="KA33">
            <v>3354</v>
          </cell>
        </row>
        <row r="37">
          <cell r="JV37"/>
          <cell r="JW37"/>
          <cell r="JX37"/>
          <cell r="JY37"/>
          <cell r="JZ37">
            <v>29</v>
          </cell>
          <cell r="KA37">
            <v>30</v>
          </cell>
        </row>
        <row r="38">
          <cell r="JV38"/>
          <cell r="JW38"/>
          <cell r="JX38"/>
          <cell r="JY38"/>
          <cell r="JZ38">
            <v>34</v>
          </cell>
          <cell r="KA38">
            <v>29</v>
          </cell>
        </row>
        <row r="41"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M41">
            <v>6818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4066</v>
          </cell>
          <cell r="KA41">
            <v>6130</v>
          </cell>
        </row>
        <row r="43"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M43">
            <v>6866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4129</v>
          </cell>
          <cell r="KA43">
            <v>6189</v>
          </cell>
        </row>
        <row r="47">
          <cell r="KA47">
            <v>178745</v>
          </cell>
        </row>
        <row r="48">
          <cell r="KA48"/>
        </row>
        <row r="52">
          <cell r="KA52">
            <v>48561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M64">
            <v>373102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42323.07</v>
          </cell>
          <cell r="KA64">
            <v>227306</v>
          </cell>
        </row>
      </sheetData>
      <sheetData sheetId="23">
        <row r="4">
          <cell r="KA4">
            <v>489</v>
          </cell>
        </row>
        <row r="5">
          <cell r="KA5">
            <v>490</v>
          </cell>
        </row>
        <row r="8">
          <cell r="KA8"/>
        </row>
        <row r="9">
          <cell r="KA9"/>
        </row>
        <row r="19"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M19">
            <v>1135</v>
          </cell>
          <cell r="JV19">
            <v>754</v>
          </cell>
          <cell r="JW19">
            <v>782</v>
          </cell>
          <cell r="JX19">
            <v>932</v>
          </cell>
          <cell r="JY19">
            <v>903</v>
          </cell>
          <cell r="JZ19">
            <v>916</v>
          </cell>
          <cell r="KA19">
            <v>979</v>
          </cell>
        </row>
        <row r="22">
          <cell r="KA22">
            <v>66267</v>
          </cell>
        </row>
        <row r="23">
          <cell r="KA23">
            <v>63948</v>
          </cell>
        </row>
        <row r="27">
          <cell r="KA27">
            <v>1891</v>
          </cell>
        </row>
        <row r="28">
          <cell r="KA28">
            <v>2007</v>
          </cell>
        </row>
        <row r="41"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M41">
            <v>147217</v>
          </cell>
          <cell r="JV41">
            <v>84840</v>
          </cell>
          <cell r="JW41">
            <v>91044</v>
          </cell>
          <cell r="JX41">
            <v>129680</v>
          </cell>
          <cell r="JY41">
            <v>107721</v>
          </cell>
          <cell r="JZ41">
            <v>114934</v>
          </cell>
          <cell r="KA41">
            <v>130215</v>
          </cell>
        </row>
        <row r="43"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M43">
            <v>151153</v>
          </cell>
          <cell r="JV43">
            <v>87950</v>
          </cell>
          <cell r="JW43">
            <v>94000</v>
          </cell>
          <cell r="JX43">
            <v>132393</v>
          </cell>
          <cell r="JY43">
            <v>111042</v>
          </cell>
          <cell r="JZ43">
            <v>118686</v>
          </cell>
          <cell r="KA43">
            <v>134113</v>
          </cell>
        </row>
        <row r="47">
          <cell r="KA47">
            <v>188561</v>
          </cell>
        </row>
        <row r="48">
          <cell r="KA48"/>
        </row>
        <row r="52">
          <cell r="KA52">
            <v>70973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M64">
            <v>200073</v>
          </cell>
          <cell r="JV64">
            <v>183808</v>
          </cell>
          <cell r="JW64">
            <v>178807</v>
          </cell>
          <cell r="JX64">
            <v>219908</v>
          </cell>
          <cell r="JY64">
            <v>228648</v>
          </cell>
          <cell r="JZ64">
            <v>249425</v>
          </cell>
          <cell r="KA64">
            <v>259534</v>
          </cell>
        </row>
      </sheetData>
      <sheetData sheetId="24">
        <row r="19"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M19">
            <v>72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</row>
        <row r="41"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M41">
            <v>11769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</row>
        <row r="43"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M43">
            <v>11878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25">
        <row r="4">
          <cell r="KA4">
            <v>1156</v>
          </cell>
        </row>
        <row r="5">
          <cell r="KA5">
            <v>1156</v>
          </cell>
        </row>
        <row r="8">
          <cell r="KA8">
            <v>83</v>
          </cell>
        </row>
        <row r="9">
          <cell r="KA9">
            <v>81</v>
          </cell>
        </row>
        <row r="15">
          <cell r="JV15">
            <v>193</v>
          </cell>
          <cell r="JW15">
            <v>249</v>
          </cell>
          <cell r="JX15">
            <v>317</v>
          </cell>
          <cell r="JY15">
            <v>93</v>
          </cell>
          <cell r="JZ15">
            <v>16</v>
          </cell>
          <cell r="KA15">
            <v>28</v>
          </cell>
        </row>
        <row r="16">
          <cell r="JV16">
            <v>194</v>
          </cell>
          <cell r="JW16">
            <v>245</v>
          </cell>
          <cell r="JX16">
            <v>316</v>
          </cell>
          <cell r="JY16">
            <v>96</v>
          </cell>
          <cell r="JZ16">
            <v>17</v>
          </cell>
          <cell r="KA16">
            <v>26</v>
          </cell>
        </row>
        <row r="19"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M19">
            <v>2716</v>
          </cell>
          <cell r="JV19">
            <v>1810</v>
          </cell>
          <cell r="JW19">
            <v>2024</v>
          </cell>
          <cell r="JX19">
            <v>2557</v>
          </cell>
          <cell r="JY19">
            <v>2254</v>
          </cell>
          <cell r="JZ19">
            <v>1737</v>
          </cell>
          <cell r="KA19">
            <v>2530</v>
          </cell>
        </row>
        <row r="22">
          <cell r="KA22">
            <v>180181</v>
          </cell>
        </row>
        <row r="23">
          <cell r="KA23">
            <v>180500</v>
          </cell>
        </row>
        <row r="27">
          <cell r="KA27">
            <v>4196</v>
          </cell>
        </row>
        <row r="28">
          <cell r="KA28">
            <v>4090</v>
          </cell>
        </row>
        <row r="32">
          <cell r="JV32">
            <v>28855</v>
          </cell>
          <cell r="JW32">
            <v>33582</v>
          </cell>
          <cell r="JX32">
            <v>46919</v>
          </cell>
          <cell r="JY32">
            <v>14902</v>
          </cell>
          <cell r="JZ32">
            <v>1572</v>
          </cell>
          <cell r="KA32">
            <v>3340</v>
          </cell>
        </row>
        <row r="33">
          <cell r="JV33">
            <v>28510</v>
          </cell>
          <cell r="JW33">
            <v>34777</v>
          </cell>
          <cell r="JX33">
            <v>48671</v>
          </cell>
          <cell r="JY33">
            <v>7733</v>
          </cell>
          <cell r="JZ33">
            <v>1940</v>
          </cell>
          <cell r="KA33">
            <v>3717</v>
          </cell>
        </row>
        <row r="37">
          <cell r="JV37">
            <v>681</v>
          </cell>
          <cell r="JW37">
            <v>648</v>
          </cell>
          <cell r="JX37">
            <v>483</v>
          </cell>
          <cell r="JY37">
            <v>252</v>
          </cell>
          <cell r="JZ37">
            <v>73</v>
          </cell>
          <cell r="KA37">
            <v>75</v>
          </cell>
        </row>
        <row r="38">
          <cell r="JV38">
            <v>672</v>
          </cell>
          <cell r="JW38">
            <v>647</v>
          </cell>
          <cell r="JX38">
            <v>497</v>
          </cell>
          <cell r="JY38">
            <v>184</v>
          </cell>
          <cell r="JZ38">
            <v>59</v>
          </cell>
          <cell r="KA38">
            <v>92</v>
          </cell>
        </row>
        <row r="41"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M41">
            <v>399175</v>
          </cell>
          <cell r="JV41">
            <v>259896</v>
          </cell>
          <cell r="JW41">
            <v>285498</v>
          </cell>
          <cell r="JX41">
            <v>389157</v>
          </cell>
          <cell r="JY41">
            <v>307145</v>
          </cell>
          <cell r="JZ41">
            <v>232811</v>
          </cell>
          <cell r="KA41">
            <v>367738</v>
          </cell>
        </row>
        <row r="43"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M43">
            <v>406420</v>
          </cell>
          <cell r="JV43">
            <v>265892</v>
          </cell>
          <cell r="JW43">
            <v>291896</v>
          </cell>
          <cell r="JX43">
            <v>395446</v>
          </cell>
          <cell r="JY43">
            <v>314060</v>
          </cell>
          <cell r="JZ43">
            <v>239417</v>
          </cell>
          <cell r="KA43">
            <v>376191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26"/>
      <sheetData sheetId="27"/>
      <sheetData sheetId="28">
        <row r="4">
          <cell r="KA4">
            <v>554</v>
          </cell>
        </row>
        <row r="5">
          <cell r="KA5">
            <v>551</v>
          </cell>
        </row>
        <row r="8">
          <cell r="KA8"/>
        </row>
        <row r="9">
          <cell r="KA9"/>
        </row>
        <row r="19"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M19">
            <v>863</v>
          </cell>
          <cell r="JV19">
            <v>715</v>
          </cell>
          <cell r="JW19">
            <v>683</v>
          </cell>
          <cell r="JX19">
            <v>739</v>
          </cell>
          <cell r="JY19">
            <v>857</v>
          </cell>
          <cell r="JZ19">
            <v>1002</v>
          </cell>
          <cell r="KA19">
            <v>1105</v>
          </cell>
        </row>
        <row r="22">
          <cell r="KA22">
            <v>69020</v>
          </cell>
        </row>
        <row r="23">
          <cell r="KA23">
            <v>66522</v>
          </cell>
        </row>
        <row r="27">
          <cell r="KA27">
            <v>2843</v>
          </cell>
        </row>
        <row r="28">
          <cell r="KA28">
            <v>3195</v>
          </cell>
        </row>
        <row r="41"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M41">
            <v>110147</v>
          </cell>
          <cell r="JV41">
            <v>83983</v>
          </cell>
          <cell r="JW41">
            <v>82806</v>
          </cell>
          <cell r="JX41">
            <v>99967</v>
          </cell>
          <cell r="JY41">
            <v>100897</v>
          </cell>
          <cell r="JZ41">
            <v>116337</v>
          </cell>
          <cell r="KA41">
            <v>135542</v>
          </cell>
        </row>
        <row r="43"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M43">
            <v>114998</v>
          </cell>
          <cell r="JV43">
            <v>87893</v>
          </cell>
          <cell r="JW43">
            <v>87075</v>
          </cell>
          <cell r="JX43">
            <v>103377</v>
          </cell>
          <cell r="JY43">
            <v>105465</v>
          </cell>
          <cell r="JZ43">
            <v>122433</v>
          </cell>
          <cell r="KA43">
            <v>141580</v>
          </cell>
        </row>
        <row r="47">
          <cell r="KA47">
            <v>67157</v>
          </cell>
        </row>
        <row r="48">
          <cell r="KA48">
            <v>88508</v>
          </cell>
        </row>
        <row r="52">
          <cell r="KA52">
            <v>60712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M64">
            <v>56885</v>
          </cell>
          <cell r="JV64">
            <v>361196</v>
          </cell>
          <cell r="JW64">
            <v>393013</v>
          </cell>
          <cell r="JX64">
            <v>347560</v>
          </cell>
          <cell r="JY64">
            <v>353645</v>
          </cell>
          <cell r="JZ64">
            <v>281604</v>
          </cell>
          <cell r="KA64">
            <v>216377</v>
          </cell>
        </row>
      </sheetData>
      <sheetData sheetId="29">
        <row r="4">
          <cell r="KA4"/>
        </row>
        <row r="5">
          <cell r="KA5"/>
        </row>
        <row r="8">
          <cell r="KA8"/>
        </row>
        <row r="9">
          <cell r="KA9"/>
        </row>
        <row r="15">
          <cell r="JV15">
            <v>61</v>
          </cell>
          <cell r="JW15">
            <v>57</v>
          </cell>
          <cell r="JX15">
            <v>63</v>
          </cell>
          <cell r="JY15">
            <v>68</v>
          </cell>
          <cell r="JZ15">
            <v>95</v>
          </cell>
          <cell r="KA15">
            <v>101</v>
          </cell>
        </row>
        <row r="16">
          <cell r="JV16">
            <v>61</v>
          </cell>
          <cell r="JW16">
            <v>57</v>
          </cell>
          <cell r="JX16">
            <v>63</v>
          </cell>
          <cell r="JY16">
            <v>68</v>
          </cell>
          <cell r="JZ16">
            <v>95</v>
          </cell>
          <cell r="KA16">
            <v>101</v>
          </cell>
        </row>
        <row r="19"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M19">
            <v>210</v>
          </cell>
          <cell r="JV19">
            <v>122</v>
          </cell>
          <cell r="JW19">
            <v>114</v>
          </cell>
          <cell r="JX19">
            <v>126</v>
          </cell>
          <cell r="JY19">
            <v>136</v>
          </cell>
          <cell r="JZ19">
            <v>190</v>
          </cell>
          <cell r="KA19">
            <v>202</v>
          </cell>
        </row>
        <row r="22">
          <cell r="KA22"/>
        </row>
        <row r="23">
          <cell r="KA23"/>
        </row>
        <row r="27">
          <cell r="KA27"/>
        </row>
        <row r="28">
          <cell r="KA28"/>
        </row>
        <row r="32">
          <cell r="JV32">
            <v>4197</v>
          </cell>
          <cell r="JW32">
            <v>3951</v>
          </cell>
          <cell r="JX32">
            <v>4129</v>
          </cell>
          <cell r="JY32">
            <v>5028</v>
          </cell>
          <cell r="JZ32">
            <v>6018</v>
          </cell>
          <cell r="KA32">
            <v>8277</v>
          </cell>
        </row>
        <row r="33">
          <cell r="JV33">
            <v>5057</v>
          </cell>
          <cell r="JW33">
            <v>3832</v>
          </cell>
          <cell r="JX33">
            <v>4269</v>
          </cell>
          <cell r="JY33">
            <v>5137</v>
          </cell>
          <cell r="JZ33">
            <v>8240</v>
          </cell>
          <cell r="KA33">
            <v>9378</v>
          </cell>
        </row>
        <row r="37">
          <cell r="JV37">
            <v>1</v>
          </cell>
          <cell r="JW37"/>
          <cell r="JX37">
            <v>1</v>
          </cell>
          <cell r="JY37">
            <v>2</v>
          </cell>
          <cell r="JZ37">
            <v>1</v>
          </cell>
          <cell r="KA37">
            <v>1</v>
          </cell>
        </row>
        <row r="38">
          <cell r="JV38"/>
          <cell r="JW38">
            <v>2</v>
          </cell>
          <cell r="JX38"/>
          <cell r="JY38">
            <v>2</v>
          </cell>
          <cell r="JZ38">
            <v>1</v>
          </cell>
          <cell r="KA38">
            <v>1</v>
          </cell>
        </row>
        <row r="41"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M41">
            <v>20715</v>
          </cell>
          <cell r="JV41">
            <v>9254</v>
          </cell>
          <cell r="JW41">
            <v>7783</v>
          </cell>
          <cell r="JX41">
            <v>8398</v>
          </cell>
          <cell r="JY41">
            <v>10165</v>
          </cell>
          <cell r="JZ41">
            <v>14258</v>
          </cell>
          <cell r="KA41">
            <v>17655</v>
          </cell>
        </row>
        <row r="43"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M43">
            <v>20718</v>
          </cell>
          <cell r="JV43">
            <v>9255</v>
          </cell>
          <cell r="JW43">
            <v>7785</v>
          </cell>
          <cell r="JX43">
            <v>8399</v>
          </cell>
          <cell r="JY43">
            <v>10169</v>
          </cell>
          <cell r="JZ43">
            <v>14260</v>
          </cell>
          <cell r="KA43">
            <v>17657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30"/>
      <sheetData sheetId="31">
        <row r="4">
          <cell r="KA4">
            <v>84</v>
          </cell>
        </row>
        <row r="5">
          <cell r="KA5">
            <v>84</v>
          </cell>
        </row>
        <row r="8">
          <cell r="KA8"/>
        </row>
        <row r="9">
          <cell r="KA9"/>
        </row>
        <row r="19"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M19">
            <v>175</v>
          </cell>
          <cell r="JV19">
            <v>192</v>
          </cell>
          <cell r="JW19">
            <v>250</v>
          </cell>
          <cell r="JX19">
            <v>201</v>
          </cell>
          <cell r="JY19">
            <v>315</v>
          </cell>
          <cell r="JZ19">
            <v>270</v>
          </cell>
          <cell r="KA19">
            <v>168</v>
          </cell>
        </row>
        <row r="22">
          <cell r="KA22">
            <v>5129</v>
          </cell>
        </row>
        <row r="23">
          <cell r="KA23">
            <v>5035</v>
          </cell>
        </row>
        <row r="27">
          <cell r="KA27">
            <v>195</v>
          </cell>
        </row>
        <row r="28">
          <cell r="KA28">
            <v>228</v>
          </cell>
        </row>
        <row r="41"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M41">
            <v>11350</v>
          </cell>
          <cell r="JV41">
            <v>10849</v>
          </cell>
          <cell r="JW41">
            <v>14286</v>
          </cell>
          <cell r="JX41">
            <v>11703</v>
          </cell>
          <cell r="JY41">
            <v>18614</v>
          </cell>
          <cell r="JZ41">
            <v>16712</v>
          </cell>
          <cell r="KA41">
            <v>10164</v>
          </cell>
        </row>
        <row r="43"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M43">
            <v>11868</v>
          </cell>
          <cell r="JV43">
            <v>11352</v>
          </cell>
          <cell r="JW43">
            <v>15032</v>
          </cell>
          <cell r="JX43">
            <v>12351</v>
          </cell>
          <cell r="JY43">
            <v>19590</v>
          </cell>
          <cell r="JZ43">
            <v>17651</v>
          </cell>
          <cell r="KA43">
            <v>10587</v>
          </cell>
        </row>
        <row r="47">
          <cell r="KA47">
            <v>1082</v>
          </cell>
        </row>
        <row r="48">
          <cell r="KA48"/>
        </row>
        <row r="52">
          <cell r="KA52">
            <v>104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M64">
            <v>2785</v>
          </cell>
          <cell r="JV64">
            <v>2064</v>
          </cell>
          <cell r="JW64">
            <v>896</v>
          </cell>
          <cell r="JX64">
            <v>574</v>
          </cell>
          <cell r="JY64">
            <v>1253</v>
          </cell>
          <cell r="JZ64">
            <v>2805</v>
          </cell>
          <cell r="KA64">
            <v>1186</v>
          </cell>
        </row>
      </sheetData>
      <sheetData sheetId="32">
        <row r="23">
          <cell r="JV23"/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23">
          <cell r="JV23"/>
        </row>
      </sheetData>
      <sheetData sheetId="44">
        <row r="4">
          <cell r="KA4">
            <v>74</v>
          </cell>
        </row>
        <row r="5">
          <cell r="KA5">
            <v>75</v>
          </cell>
        </row>
        <row r="8">
          <cell r="KA8"/>
        </row>
        <row r="9">
          <cell r="KA9"/>
        </row>
        <row r="19"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M19">
            <v>119</v>
          </cell>
          <cell r="JV19">
            <v>54</v>
          </cell>
          <cell r="JW19">
            <v>50</v>
          </cell>
          <cell r="JX19">
            <v>71</v>
          </cell>
          <cell r="JY19">
            <v>87</v>
          </cell>
          <cell r="JZ19">
            <v>105</v>
          </cell>
          <cell r="KA19">
            <v>149</v>
          </cell>
        </row>
        <row r="22">
          <cell r="KA22">
            <v>4984</v>
          </cell>
        </row>
        <row r="23">
          <cell r="KA23">
            <v>4545</v>
          </cell>
        </row>
        <row r="27">
          <cell r="KA27">
            <v>119</v>
          </cell>
        </row>
        <row r="28">
          <cell r="KA28">
            <v>241</v>
          </cell>
        </row>
        <row r="41"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M41">
            <v>7105</v>
          </cell>
          <cell r="JV41">
            <v>3866</v>
          </cell>
          <cell r="JW41">
            <v>2445</v>
          </cell>
          <cell r="JX41">
            <v>4013</v>
          </cell>
          <cell r="JY41">
            <v>4794</v>
          </cell>
          <cell r="JZ41">
            <v>6444</v>
          </cell>
          <cell r="KA41">
            <v>9529</v>
          </cell>
        </row>
        <row r="43"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M43">
            <v>7393</v>
          </cell>
          <cell r="JV43">
            <v>4037</v>
          </cell>
          <cell r="JW43">
            <v>2539</v>
          </cell>
          <cell r="JX43">
            <v>4189</v>
          </cell>
          <cell r="JY43">
            <v>5037</v>
          </cell>
          <cell r="JZ43">
            <v>6714</v>
          </cell>
          <cell r="KA43">
            <v>9889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45">
        <row r="4">
          <cell r="KA4"/>
        </row>
        <row r="5">
          <cell r="KA5"/>
        </row>
        <row r="8">
          <cell r="KA8"/>
        </row>
        <row r="9">
          <cell r="KA9"/>
        </row>
        <row r="15">
          <cell r="JV15">
            <v>22</v>
          </cell>
          <cell r="JW15">
            <v>24</v>
          </cell>
          <cell r="JX15">
            <v>60</v>
          </cell>
          <cell r="JY15">
            <v>54</v>
          </cell>
          <cell r="JZ15">
            <v>44</v>
          </cell>
          <cell r="KA15">
            <v>51</v>
          </cell>
        </row>
        <row r="16">
          <cell r="JV16">
            <v>24</v>
          </cell>
          <cell r="JW16">
            <v>23</v>
          </cell>
          <cell r="JX16">
            <v>60</v>
          </cell>
          <cell r="JY16">
            <v>54</v>
          </cell>
          <cell r="JZ16">
            <v>45</v>
          </cell>
          <cell r="KA16">
            <v>51</v>
          </cell>
        </row>
        <row r="19"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M19">
            <v>65</v>
          </cell>
          <cell r="JV19">
            <v>46</v>
          </cell>
          <cell r="JW19">
            <v>47</v>
          </cell>
          <cell r="JX19">
            <v>120</v>
          </cell>
          <cell r="JY19">
            <v>108</v>
          </cell>
          <cell r="JZ19">
            <v>89</v>
          </cell>
          <cell r="KA19">
            <v>102</v>
          </cell>
        </row>
        <row r="22">
          <cell r="KA22"/>
        </row>
        <row r="23">
          <cell r="KA23"/>
        </row>
        <row r="27">
          <cell r="KA27"/>
        </row>
        <row r="28">
          <cell r="KA28"/>
        </row>
        <row r="32">
          <cell r="JV32">
            <v>1369</v>
          </cell>
          <cell r="JW32">
            <v>1106</v>
          </cell>
          <cell r="JX32">
            <v>3174</v>
          </cell>
          <cell r="JY32">
            <v>3290</v>
          </cell>
          <cell r="JZ32">
            <v>2217</v>
          </cell>
          <cell r="KA32">
            <v>3074</v>
          </cell>
        </row>
        <row r="33">
          <cell r="JV33">
            <v>1399</v>
          </cell>
          <cell r="JW33">
            <v>1226</v>
          </cell>
          <cell r="JX33">
            <v>3366</v>
          </cell>
          <cell r="JY33">
            <v>2694</v>
          </cell>
          <cell r="JZ33">
            <v>2562</v>
          </cell>
          <cell r="KA33">
            <v>3302</v>
          </cell>
        </row>
        <row r="37">
          <cell r="JV37">
            <v>24</v>
          </cell>
          <cell r="JW37">
            <v>41</v>
          </cell>
          <cell r="JX37">
            <v>52</v>
          </cell>
          <cell r="JY37">
            <v>104</v>
          </cell>
          <cell r="JZ37">
            <v>43</v>
          </cell>
          <cell r="KA37">
            <v>64</v>
          </cell>
        </row>
        <row r="38">
          <cell r="JV38">
            <v>44</v>
          </cell>
          <cell r="JW38">
            <v>37</v>
          </cell>
          <cell r="JX38">
            <v>69</v>
          </cell>
          <cell r="JY38">
            <v>81</v>
          </cell>
          <cell r="JZ38">
            <v>73</v>
          </cell>
          <cell r="KA38">
            <v>46</v>
          </cell>
        </row>
        <row r="41"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M41">
            <v>3977</v>
          </cell>
          <cell r="JV41">
            <v>2768</v>
          </cell>
          <cell r="JW41">
            <v>2332</v>
          </cell>
          <cell r="JX41">
            <v>6540</v>
          </cell>
          <cell r="JY41">
            <v>5984</v>
          </cell>
          <cell r="JZ41">
            <v>4779</v>
          </cell>
          <cell r="KA41">
            <v>6376</v>
          </cell>
        </row>
        <row r="43"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M43">
            <v>4045</v>
          </cell>
          <cell r="JV43">
            <v>2836</v>
          </cell>
          <cell r="JW43">
            <v>2410</v>
          </cell>
          <cell r="JX43">
            <v>6661</v>
          </cell>
          <cell r="JY43">
            <v>6169</v>
          </cell>
          <cell r="JZ43">
            <v>4895</v>
          </cell>
          <cell r="KA43">
            <v>6486</v>
          </cell>
        </row>
        <row r="47">
          <cell r="KA47">
            <v>11163.2</v>
          </cell>
        </row>
        <row r="48">
          <cell r="KA48"/>
        </row>
        <row r="52">
          <cell r="KA52">
            <v>9241.1</v>
          </cell>
        </row>
        <row r="53">
          <cell r="KA53"/>
        </row>
        <row r="57">
          <cell r="KA57"/>
        </row>
        <row r="58">
          <cell r="BF58"/>
        </row>
        <row r="64"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M64">
            <v>1271.2</v>
          </cell>
          <cell r="JV64">
            <v>6183.1</v>
          </cell>
          <cell r="JW64">
            <v>10049.5</v>
          </cell>
          <cell r="JX64">
            <v>21135.9</v>
          </cell>
          <cell r="JY64">
            <v>16327.300000000001</v>
          </cell>
          <cell r="JZ64">
            <v>760</v>
          </cell>
          <cell r="KA64">
            <v>20404.300000000003</v>
          </cell>
        </row>
      </sheetData>
      <sheetData sheetId="46">
        <row r="4">
          <cell r="KA4">
            <v>10</v>
          </cell>
        </row>
        <row r="5">
          <cell r="KA5">
            <v>11</v>
          </cell>
        </row>
        <row r="8">
          <cell r="KA8"/>
        </row>
        <row r="9">
          <cell r="KA9"/>
        </row>
        <row r="19"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M19">
            <v>78</v>
          </cell>
          <cell r="JV19">
            <v>92</v>
          </cell>
          <cell r="JW19">
            <v>63</v>
          </cell>
          <cell r="JX19">
            <v>48</v>
          </cell>
          <cell r="JY19">
            <v>96</v>
          </cell>
          <cell r="JZ19">
            <v>79</v>
          </cell>
          <cell r="KA19">
            <v>21</v>
          </cell>
        </row>
        <row r="22">
          <cell r="KA22">
            <v>637</v>
          </cell>
        </row>
        <row r="23">
          <cell r="KA23">
            <v>640</v>
          </cell>
        </row>
        <row r="27">
          <cell r="KA27">
            <v>22</v>
          </cell>
        </row>
        <row r="28">
          <cell r="KA28">
            <v>29</v>
          </cell>
        </row>
        <row r="41"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M41">
            <v>5420</v>
          </cell>
          <cell r="JV41">
            <v>5450</v>
          </cell>
          <cell r="JW41">
            <v>3218</v>
          </cell>
          <cell r="JX41">
            <v>3050</v>
          </cell>
          <cell r="JY41">
            <v>5723</v>
          </cell>
          <cell r="JZ41">
            <v>4767</v>
          </cell>
          <cell r="KA41">
            <v>1277</v>
          </cell>
        </row>
        <row r="43"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M43">
            <v>5581</v>
          </cell>
          <cell r="JV43">
            <v>5693</v>
          </cell>
          <cell r="JW43">
            <v>3395</v>
          </cell>
          <cell r="JX43">
            <v>3158</v>
          </cell>
          <cell r="JY43">
            <v>5914</v>
          </cell>
          <cell r="JZ43">
            <v>4972</v>
          </cell>
          <cell r="KA43">
            <v>1328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47"/>
      <sheetData sheetId="48"/>
      <sheetData sheetId="49">
        <row r="4">
          <cell r="KA4">
            <v>1062</v>
          </cell>
        </row>
        <row r="5">
          <cell r="KA5">
            <v>1057</v>
          </cell>
        </row>
        <row r="8">
          <cell r="KA8"/>
        </row>
        <row r="9">
          <cell r="KA9">
            <v>5</v>
          </cell>
        </row>
        <row r="15">
          <cell r="JV15">
            <v>32</v>
          </cell>
          <cell r="JW15">
            <v>28</v>
          </cell>
          <cell r="JX15">
            <v>29</v>
          </cell>
          <cell r="JY15">
            <v>48</v>
          </cell>
          <cell r="JZ15">
            <v>37</v>
          </cell>
          <cell r="KA15">
            <v>29</v>
          </cell>
        </row>
        <row r="16">
          <cell r="JV16">
            <v>32</v>
          </cell>
          <cell r="JW16">
            <v>27</v>
          </cell>
          <cell r="JX16">
            <v>31</v>
          </cell>
          <cell r="JY16">
            <v>49</v>
          </cell>
          <cell r="JZ16">
            <v>36</v>
          </cell>
          <cell r="KA16">
            <v>30</v>
          </cell>
        </row>
        <row r="19"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M19">
            <v>2002</v>
          </cell>
          <cell r="JV19">
            <v>3053</v>
          </cell>
          <cell r="JW19">
            <v>2178</v>
          </cell>
          <cell r="JX19">
            <v>2362</v>
          </cell>
          <cell r="JY19">
            <v>2176</v>
          </cell>
          <cell r="JZ19">
            <v>1951</v>
          </cell>
          <cell r="KA19">
            <v>2183</v>
          </cell>
        </row>
        <row r="22">
          <cell r="KA22">
            <v>65053</v>
          </cell>
        </row>
        <row r="23">
          <cell r="KA23">
            <v>64895</v>
          </cell>
        </row>
        <row r="27">
          <cell r="KA27">
            <v>1715</v>
          </cell>
        </row>
        <row r="28">
          <cell r="KA28">
            <v>1717</v>
          </cell>
        </row>
        <row r="32">
          <cell r="JV32">
            <v>1982</v>
          </cell>
          <cell r="JW32">
            <v>1654</v>
          </cell>
          <cell r="JX32">
            <v>1573</v>
          </cell>
          <cell r="JY32">
            <v>2765</v>
          </cell>
          <cell r="JZ32">
            <v>2095</v>
          </cell>
          <cell r="KA32">
            <v>1744</v>
          </cell>
        </row>
        <row r="33">
          <cell r="JV33">
            <v>1456</v>
          </cell>
          <cell r="JW33">
            <v>1114</v>
          </cell>
          <cell r="JX33">
            <v>2001</v>
          </cell>
          <cell r="JY33">
            <v>2925</v>
          </cell>
          <cell r="JZ33">
            <v>2206</v>
          </cell>
          <cell r="KA33">
            <v>1854</v>
          </cell>
        </row>
        <row r="37">
          <cell r="JV37">
            <v>25</v>
          </cell>
          <cell r="JW37">
            <v>23</v>
          </cell>
          <cell r="JX37">
            <v>39</v>
          </cell>
          <cell r="JY37">
            <v>60</v>
          </cell>
          <cell r="JZ37">
            <v>44</v>
          </cell>
          <cell r="KA37">
            <v>35</v>
          </cell>
        </row>
        <row r="38">
          <cell r="JV38">
            <v>23</v>
          </cell>
          <cell r="JW38">
            <v>31</v>
          </cell>
          <cell r="JX38">
            <v>26</v>
          </cell>
          <cell r="JY38">
            <v>63</v>
          </cell>
          <cell r="JZ38">
            <v>21</v>
          </cell>
          <cell r="KA38">
            <v>32</v>
          </cell>
        </row>
        <row r="41"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M41">
            <v>131467</v>
          </cell>
          <cell r="JV41">
            <v>169217</v>
          </cell>
          <cell r="JW41">
            <v>122813</v>
          </cell>
          <cell r="JX41">
            <v>142286</v>
          </cell>
          <cell r="JY41">
            <v>131874</v>
          </cell>
          <cell r="JZ41">
            <v>117339</v>
          </cell>
          <cell r="KA41">
            <v>133546</v>
          </cell>
        </row>
        <row r="43"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M43">
            <v>134325</v>
          </cell>
          <cell r="JV43">
            <v>174974</v>
          </cell>
          <cell r="JW43">
            <v>127293</v>
          </cell>
          <cell r="JX43">
            <v>147634</v>
          </cell>
          <cell r="JY43">
            <v>136347</v>
          </cell>
          <cell r="JZ43">
            <v>120493</v>
          </cell>
          <cell r="KA43">
            <v>137045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  <row r="70">
          <cell r="KA70">
            <v>23867.581409999999</v>
          </cell>
        </row>
        <row r="71">
          <cell r="KA71">
            <v>41027.418590000001</v>
          </cell>
        </row>
        <row r="73">
          <cell r="KA73">
            <v>681.87835640000003</v>
          </cell>
        </row>
        <row r="74">
          <cell r="KA74">
            <v>1172.1216440000001</v>
          </cell>
        </row>
      </sheetData>
      <sheetData sheetId="50">
        <row r="4">
          <cell r="KA4">
            <v>131</v>
          </cell>
        </row>
        <row r="5">
          <cell r="KA5">
            <v>131</v>
          </cell>
        </row>
        <row r="8">
          <cell r="KA8"/>
        </row>
        <row r="9">
          <cell r="KA9"/>
        </row>
        <row r="19"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M19">
            <v>74</v>
          </cell>
          <cell r="JV19">
            <v>166</v>
          </cell>
          <cell r="JW19">
            <v>153</v>
          </cell>
          <cell r="JX19">
            <v>157</v>
          </cell>
          <cell r="JY19">
            <v>218</v>
          </cell>
          <cell r="JZ19">
            <v>241</v>
          </cell>
          <cell r="KA19">
            <v>262</v>
          </cell>
        </row>
        <row r="22">
          <cell r="KA22">
            <v>7980</v>
          </cell>
        </row>
        <row r="23">
          <cell r="KA23">
            <v>7353</v>
          </cell>
        </row>
        <row r="27">
          <cell r="KA27">
            <v>198</v>
          </cell>
        </row>
        <row r="28">
          <cell r="KA28">
            <v>228</v>
          </cell>
        </row>
        <row r="41"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M41">
            <v>4548</v>
          </cell>
          <cell r="JV41">
            <v>8475</v>
          </cell>
          <cell r="JW41">
            <v>7531</v>
          </cell>
          <cell r="JX41">
            <v>9274</v>
          </cell>
          <cell r="JY41">
            <v>11642</v>
          </cell>
          <cell r="JZ41">
            <v>13887</v>
          </cell>
          <cell r="KA41">
            <v>15333</v>
          </cell>
        </row>
        <row r="43"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M43">
            <v>4625</v>
          </cell>
          <cell r="JV43">
            <v>8739</v>
          </cell>
          <cell r="JW43">
            <v>7787</v>
          </cell>
          <cell r="JX43">
            <v>9554</v>
          </cell>
          <cell r="JY43">
            <v>12032</v>
          </cell>
          <cell r="JZ43">
            <v>14325</v>
          </cell>
          <cell r="KA43">
            <v>15759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BG58"/>
        </row>
        <row r="64"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M64">
            <v>0</v>
          </cell>
          <cell r="JV64">
            <v>0</v>
          </cell>
          <cell r="JW64">
            <v>310</v>
          </cell>
          <cell r="JX64">
            <v>429</v>
          </cell>
          <cell r="JY64">
            <v>92</v>
          </cell>
          <cell r="JZ64">
            <v>0</v>
          </cell>
          <cell r="KA64">
            <v>0</v>
          </cell>
        </row>
      </sheetData>
      <sheetData sheetId="51">
        <row r="4">
          <cell r="KA4">
            <v>61</v>
          </cell>
        </row>
        <row r="5">
          <cell r="KA5">
            <v>61</v>
          </cell>
        </row>
        <row r="8">
          <cell r="KA8"/>
        </row>
        <row r="9">
          <cell r="KA9"/>
        </row>
        <row r="19"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M19">
            <v>213</v>
          </cell>
          <cell r="JV19">
            <v>104</v>
          </cell>
          <cell r="JW19">
            <v>95</v>
          </cell>
          <cell r="JX19">
            <v>178</v>
          </cell>
          <cell r="JY19">
            <v>83</v>
          </cell>
          <cell r="JZ19">
            <v>75</v>
          </cell>
          <cell r="KA19">
            <v>122</v>
          </cell>
        </row>
        <row r="22">
          <cell r="KA22">
            <v>3793</v>
          </cell>
        </row>
        <row r="23">
          <cell r="KA23">
            <v>3705</v>
          </cell>
        </row>
        <row r="27">
          <cell r="KA27">
            <v>247</v>
          </cell>
        </row>
        <row r="28">
          <cell r="KA28">
            <v>254</v>
          </cell>
        </row>
        <row r="41"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M41">
            <v>14325</v>
          </cell>
          <cell r="JV41">
            <v>5679</v>
          </cell>
          <cell r="JW41">
            <v>5446</v>
          </cell>
          <cell r="JX41">
            <v>10627</v>
          </cell>
          <cell r="JY41">
            <v>4089</v>
          </cell>
          <cell r="JZ41">
            <v>4275</v>
          </cell>
          <cell r="KA41">
            <v>7498</v>
          </cell>
        </row>
        <row r="43"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M43">
            <v>14803</v>
          </cell>
          <cell r="JV43">
            <v>5936</v>
          </cell>
          <cell r="JW43">
            <v>5647</v>
          </cell>
          <cell r="JX43">
            <v>11075</v>
          </cell>
          <cell r="JY43">
            <v>4279</v>
          </cell>
          <cell r="JZ43">
            <v>4469</v>
          </cell>
          <cell r="KA43">
            <v>7999</v>
          </cell>
        </row>
        <row r="47">
          <cell r="KA47">
            <v>230</v>
          </cell>
        </row>
        <row r="48">
          <cell r="KA48"/>
        </row>
        <row r="52">
          <cell r="KA52">
            <v>348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M64">
            <v>2665</v>
          </cell>
          <cell r="JV64">
            <v>95</v>
          </cell>
          <cell r="JW64">
            <v>680</v>
          </cell>
          <cell r="JX64">
            <v>1077</v>
          </cell>
          <cell r="JY64">
            <v>280</v>
          </cell>
          <cell r="JZ64">
            <v>13</v>
          </cell>
          <cell r="KA64">
            <v>578</v>
          </cell>
        </row>
      </sheetData>
      <sheetData sheetId="52">
        <row r="4">
          <cell r="KA4">
            <v>5</v>
          </cell>
        </row>
        <row r="5">
          <cell r="KA5">
            <v>5</v>
          </cell>
        </row>
        <row r="8">
          <cell r="KA8"/>
        </row>
        <row r="9">
          <cell r="KA9"/>
        </row>
        <row r="19"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M19">
            <v>116</v>
          </cell>
          <cell r="JV19">
            <v>143</v>
          </cell>
          <cell r="JW19">
            <v>150</v>
          </cell>
          <cell r="JX19">
            <v>224</v>
          </cell>
          <cell r="JY19">
            <v>226</v>
          </cell>
          <cell r="JZ19">
            <v>130</v>
          </cell>
          <cell r="KA19">
            <v>10</v>
          </cell>
        </row>
        <row r="22">
          <cell r="KA22">
            <v>256</v>
          </cell>
        </row>
        <row r="23">
          <cell r="KA23">
            <v>252</v>
          </cell>
        </row>
        <row r="27">
          <cell r="KA27">
            <v>11</v>
          </cell>
        </row>
        <row r="28">
          <cell r="KA28">
            <v>24</v>
          </cell>
        </row>
        <row r="41"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M41">
            <v>7621</v>
          </cell>
          <cell r="JV41">
            <v>8514</v>
          </cell>
          <cell r="JW41">
            <v>8262</v>
          </cell>
          <cell r="JX41">
            <v>14738</v>
          </cell>
          <cell r="JY41">
            <v>14288</v>
          </cell>
          <cell r="JZ41">
            <v>8656</v>
          </cell>
          <cell r="KA41">
            <v>508</v>
          </cell>
        </row>
        <row r="43"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M43">
            <v>7855</v>
          </cell>
          <cell r="JV43">
            <v>8870</v>
          </cell>
          <cell r="JW43">
            <v>8574</v>
          </cell>
          <cell r="JX43">
            <v>15141</v>
          </cell>
          <cell r="JY43">
            <v>14750</v>
          </cell>
          <cell r="JZ43">
            <v>8986</v>
          </cell>
          <cell r="KA43">
            <v>543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53"/>
      <sheetData sheetId="54">
        <row r="4">
          <cell r="KA4">
            <v>2451</v>
          </cell>
        </row>
        <row r="5">
          <cell r="KA5">
            <v>2447</v>
          </cell>
        </row>
        <row r="8">
          <cell r="KA8"/>
        </row>
        <row r="9">
          <cell r="KA9">
            <v>4</v>
          </cell>
        </row>
        <row r="15">
          <cell r="JV15">
            <v>142</v>
          </cell>
          <cell r="JW15">
            <v>128</v>
          </cell>
          <cell r="JX15">
            <v>140</v>
          </cell>
          <cell r="JY15">
            <v>142</v>
          </cell>
          <cell r="JZ15">
            <v>199</v>
          </cell>
          <cell r="KA15">
            <v>204</v>
          </cell>
        </row>
        <row r="16">
          <cell r="JV16">
            <v>141</v>
          </cell>
          <cell r="JW16">
            <v>128</v>
          </cell>
          <cell r="JX16">
            <v>139</v>
          </cell>
          <cell r="JY16">
            <v>141</v>
          </cell>
          <cell r="JZ16">
            <v>200</v>
          </cell>
          <cell r="KA16">
            <v>204</v>
          </cell>
        </row>
        <row r="19"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M19">
            <v>4497</v>
          </cell>
          <cell r="JV19">
            <v>4174</v>
          </cell>
          <cell r="JW19">
            <v>4560</v>
          </cell>
          <cell r="JX19">
            <v>5286</v>
          </cell>
          <cell r="JY19">
            <v>5549</v>
          </cell>
          <cell r="JZ19">
            <v>5932</v>
          </cell>
          <cell r="KA19">
            <v>5310</v>
          </cell>
        </row>
        <row r="22">
          <cell r="KA22">
            <v>144653</v>
          </cell>
        </row>
        <row r="23">
          <cell r="KA23">
            <v>146859</v>
          </cell>
        </row>
        <row r="27">
          <cell r="KA27">
            <v>4698</v>
          </cell>
        </row>
        <row r="28">
          <cell r="KA28">
            <v>4664</v>
          </cell>
        </row>
        <row r="32">
          <cell r="JV32">
            <v>9095</v>
          </cell>
          <cell r="JW32">
            <v>7576</v>
          </cell>
          <cell r="JX32">
            <v>8611</v>
          </cell>
          <cell r="JY32">
            <v>9070</v>
          </cell>
          <cell r="JZ32">
            <v>11906</v>
          </cell>
          <cell r="KA32">
            <v>12728</v>
          </cell>
        </row>
        <row r="33">
          <cell r="JV33">
            <v>8438</v>
          </cell>
          <cell r="JW33">
            <v>8025</v>
          </cell>
          <cell r="JX33">
            <v>9254</v>
          </cell>
          <cell r="JY33">
            <v>9313</v>
          </cell>
          <cell r="JZ33">
            <v>13242</v>
          </cell>
          <cell r="KA33">
            <v>13128</v>
          </cell>
        </row>
        <row r="37">
          <cell r="JV37">
            <v>153</v>
          </cell>
          <cell r="JW37">
            <v>137</v>
          </cell>
          <cell r="JX37">
            <v>127</v>
          </cell>
          <cell r="JY37">
            <v>145</v>
          </cell>
          <cell r="JZ37">
            <v>182</v>
          </cell>
          <cell r="KA37">
            <v>227</v>
          </cell>
        </row>
        <row r="38">
          <cell r="JV38">
            <v>128</v>
          </cell>
          <cell r="JW38">
            <v>123</v>
          </cell>
          <cell r="JX38">
            <v>141</v>
          </cell>
          <cell r="JY38">
            <v>138</v>
          </cell>
          <cell r="JZ38">
            <v>209</v>
          </cell>
          <cell r="KA38">
            <v>222</v>
          </cell>
        </row>
        <row r="41"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M41">
            <v>272998</v>
          </cell>
          <cell r="JV41">
            <v>196702</v>
          </cell>
          <cell r="JW41">
            <v>248599</v>
          </cell>
          <cell r="JX41">
            <v>283707</v>
          </cell>
          <cell r="JY41">
            <v>319513</v>
          </cell>
          <cell r="JZ41">
            <v>337706</v>
          </cell>
          <cell r="KA41">
            <v>317368</v>
          </cell>
        </row>
        <row r="43"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M43">
            <v>281075</v>
          </cell>
          <cell r="JV43">
            <v>203894</v>
          </cell>
          <cell r="JW43">
            <v>257345</v>
          </cell>
          <cell r="JX43">
            <v>293817</v>
          </cell>
          <cell r="JY43">
            <v>330943</v>
          </cell>
          <cell r="JZ43">
            <v>349331</v>
          </cell>
          <cell r="KA43">
            <v>327179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  <row r="70">
          <cell r="KA70">
            <v>46772.802770000002</v>
          </cell>
        </row>
        <row r="71">
          <cell r="KA71">
            <v>100086.1972</v>
          </cell>
        </row>
        <row r="73">
          <cell r="KA73">
            <v>4179.5156630000001</v>
          </cell>
        </row>
        <row r="74">
          <cell r="KA74">
            <v>8943.4843369999999</v>
          </cell>
        </row>
      </sheetData>
      <sheetData sheetId="55"/>
      <sheetData sheetId="56">
        <row r="4">
          <cell r="KA4">
            <v>1</v>
          </cell>
        </row>
        <row r="5">
          <cell r="KA5">
            <v>1</v>
          </cell>
        </row>
        <row r="8">
          <cell r="KA8"/>
        </row>
        <row r="9">
          <cell r="KA9"/>
        </row>
        <row r="19"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M19">
            <v>0</v>
          </cell>
          <cell r="JV19">
            <v>10</v>
          </cell>
          <cell r="JW19">
            <v>16</v>
          </cell>
          <cell r="JX19">
            <v>0</v>
          </cell>
          <cell r="JY19">
            <v>10</v>
          </cell>
          <cell r="JZ19">
            <v>2</v>
          </cell>
          <cell r="KA19">
            <v>2</v>
          </cell>
        </row>
        <row r="22">
          <cell r="KA22"/>
        </row>
        <row r="23">
          <cell r="KA23"/>
        </row>
        <row r="27">
          <cell r="KA27"/>
        </row>
        <row r="28">
          <cell r="KA28"/>
        </row>
        <row r="41"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M41">
            <v>0</v>
          </cell>
          <cell r="JV41">
            <v>579</v>
          </cell>
          <cell r="JW41">
            <v>828</v>
          </cell>
          <cell r="JX41">
            <v>0</v>
          </cell>
          <cell r="JY41">
            <v>369</v>
          </cell>
          <cell r="JZ41">
            <v>113</v>
          </cell>
          <cell r="KA41">
            <v>0</v>
          </cell>
        </row>
        <row r="43"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M43">
            <v>0</v>
          </cell>
          <cell r="JV43">
            <v>612</v>
          </cell>
          <cell r="JW43">
            <v>854</v>
          </cell>
          <cell r="JX43">
            <v>0</v>
          </cell>
          <cell r="JY43">
            <v>387</v>
          </cell>
          <cell r="JZ43">
            <v>115</v>
          </cell>
          <cell r="KA43">
            <v>0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1</v>
          </cell>
          <cell r="JW64">
            <v>0</v>
          </cell>
          <cell r="JX64">
            <v>0</v>
          </cell>
          <cell r="JY64">
            <v>15</v>
          </cell>
          <cell r="JZ64">
            <v>0</v>
          </cell>
          <cell r="KA64">
            <v>0</v>
          </cell>
        </row>
      </sheetData>
      <sheetData sheetId="57">
        <row r="23">
          <cell r="JV23"/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KA4"/>
        </row>
        <row r="5">
          <cell r="KA5"/>
        </row>
        <row r="22">
          <cell r="KA22"/>
        </row>
        <row r="23">
          <cell r="KA23"/>
        </row>
        <row r="32">
          <cell r="KA32"/>
        </row>
        <row r="33">
          <cell r="KA33"/>
        </row>
      </sheetData>
      <sheetData sheetId="65">
        <row r="4">
          <cell r="KA4"/>
        </row>
        <row r="5">
          <cell r="KA5"/>
        </row>
        <row r="22">
          <cell r="KA22"/>
        </row>
        <row r="23">
          <cell r="KA23"/>
        </row>
        <row r="32">
          <cell r="KA32"/>
        </row>
        <row r="33">
          <cell r="KA33"/>
        </row>
      </sheetData>
      <sheetData sheetId="66">
        <row r="4">
          <cell r="KA4"/>
        </row>
        <row r="5">
          <cell r="KA5"/>
        </row>
        <row r="15">
          <cell r="JV15"/>
          <cell r="JW15"/>
          <cell r="JX15"/>
          <cell r="JY15"/>
          <cell r="JZ15"/>
        </row>
        <row r="16">
          <cell r="JV16"/>
          <cell r="JW16"/>
          <cell r="JX16"/>
          <cell r="JY16"/>
          <cell r="JZ16"/>
        </row>
        <row r="22">
          <cell r="KA22"/>
        </row>
        <row r="23">
          <cell r="KA23"/>
        </row>
        <row r="28">
          <cell r="KA28"/>
        </row>
        <row r="32">
          <cell r="JV32"/>
          <cell r="JW32"/>
          <cell r="JX32"/>
          <cell r="JY32"/>
          <cell r="JZ32"/>
          <cell r="KA32"/>
        </row>
        <row r="33">
          <cell r="JV33"/>
          <cell r="JW33"/>
          <cell r="JX33"/>
          <cell r="JY33"/>
          <cell r="JZ33"/>
          <cell r="KA33"/>
        </row>
        <row r="37">
          <cell r="JV37"/>
          <cell r="JW37"/>
          <cell r="JX37"/>
          <cell r="JY37"/>
          <cell r="JZ37"/>
          <cell r="KA37"/>
        </row>
        <row r="38">
          <cell r="JV38"/>
          <cell r="JW38"/>
          <cell r="JX38"/>
          <cell r="JY38"/>
          <cell r="JZ38"/>
          <cell r="KA38"/>
        </row>
      </sheetData>
      <sheetData sheetId="67">
        <row r="4">
          <cell r="KA4">
            <v>1</v>
          </cell>
        </row>
        <row r="5">
          <cell r="KA5">
            <v>2</v>
          </cell>
        </row>
        <row r="8">
          <cell r="KA8"/>
        </row>
        <row r="9">
          <cell r="KA9"/>
        </row>
        <row r="15">
          <cell r="JV15">
            <v>1</v>
          </cell>
          <cell r="JW15"/>
          <cell r="JX15"/>
          <cell r="JY15"/>
          <cell r="JZ15"/>
        </row>
        <row r="16">
          <cell r="JV16"/>
          <cell r="JW16"/>
          <cell r="JX16"/>
          <cell r="JY16"/>
          <cell r="JZ16"/>
        </row>
        <row r="22">
          <cell r="KA22">
            <v>176</v>
          </cell>
        </row>
        <row r="23">
          <cell r="KA23">
            <v>176</v>
          </cell>
        </row>
        <row r="28">
          <cell r="KA28"/>
        </row>
        <row r="32">
          <cell r="JV32">
            <v>60</v>
          </cell>
          <cell r="JW32"/>
          <cell r="JX32"/>
          <cell r="JY32"/>
          <cell r="JZ32"/>
          <cell r="KA32"/>
        </row>
        <row r="33">
          <cell r="JV33"/>
          <cell r="JW33"/>
          <cell r="JX33"/>
          <cell r="JY33"/>
          <cell r="JZ33"/>
          <cell r="KA33"/>
        </row>
        <row r="37">
          <cell r="JV37"/>
          <cell r="JW37"/>
          <cell r="JX37"/>
          <cell r="JY37"/>
          <cell r="JZ37"/>
          <cell r="KA37"/>
        </row>
        <row r="38">
          <cell r="JV38"/>
          <cell r="JW38"/>
          <cell r="JX38"/>
          <cell r="JY38"/>
          <cell r="JZ38"/>
          <cell r="KA38"/>
        </row>
      </sheetData>
      <sheetData sheetId="68">
        <row r="4">
          <cell r="KA4"/>
        </row>
        <row r="5">
          <cell r="KA5"/>
        </row>
        <row r="19"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V19">
            <v>0</v>
          </cell>
          <cell r="JW19">
            <v>4</v>
          </cell>
          <cell r="JX19">
            <v>2</v>
          </cell>
          <cell r="JY19">
            <v>2</v>
          </cell>
          <cell r="JZ19">
            <v>2</v>
          </cell>
          <cell r="KA19">
            <v>0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23625</v>
          </cell>
          <cell r="JX64">
            <v>39496</v>
          </cell>
          <cell r="JY64">
            <v>28054</v>
          </cell>
          <cell r="JZ64">
            <v>59843</v>
          </cell>
          <cell r="KA64">
            <v>0</v>
          </cell>
        </row>
      </sheetData>
      <sheetData sheetId="69">
        <row r="4">
          <cell r="KA4">
            <v>80</v>
          </cell>
        </row>
        <row r="5">
          <cell r="KA5">
            <v>80</v>
          </cell>
        </row>
        <row r="8">
          <cell r="KA8"/>
        </row>
        <row r="9">
          <cell r="KA9"/>
        </row>
        <row r="19"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  <cell r="JM19">
            <v>226</v>
          </cell>
          <cell r="JV19">
            <v>112</v>
          </cell>
          <cell r="JW19">
            <v>156</v>
          </cell>
          <cell r="JX19">
            <v>164</v>
          </cell>
          <cell r="JY19">
            <v>170</v>
          </cell>
          <cell r="JZ19">
            <v>152</v>
          </cell>
          <cell r="KA19">
            <v>160</v>
          </cell>
        </row>
        <row r="47">
          <cell r="KA47">
            <v>2096853</v>
          </cell>
        </row>
        <row r="48">
          <cell r="KA48"/>
        </row>
        <row r="52">
          <cell r="KA52">
            <v>2600314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  <cell r="JM64">
            <v>5632748</v>
          </cell>
          <cell r="JV64">
            <v>5192488</v>
          </cell>
          <cell r="JW64">
            <v>4234993</v>
          </cell>
          <cell r="JX64">
            <v>4059156</v>
          </cell>
          <cell r="JY64">
            <v>4575732</v>
          </cell>
          <cell r="JZ64">
            <v>3949307</v>
          </cell>
          <cell r="KA64">
            <v>4697167</v>
          </cell>
        </row>
      </sheetData>
      <sheetData sheetId="70">
        <row r="4">
          <cell r="KA4">
            <v>1</v>
          </cell>
        </row>
        <row r="5">
          <cell r="KA5">
            <v>1</v>
          </cell>
        </row>
        <row r="19"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  <cell r="JM19">
            <v>4</v>
          </cell>
          <cell r="JV19">
            <v>36</v>
          </cell>
          <cell r="JW19">
            <v>42</v>
          </cell>
          <cell r="JX19">
            <v>2</v>
          </cell>
          <cell r="JY19">
            <v>2</v>
          </cell>
          <cell r="JZ19">
            <v>4</v>
          </cell>
          <cell r="KA19">
            <v>2</v>
          </cell>
        </row>
        <row r="47">
          <cell r="KA47">
            <v>39061</v>
          </cell>
        </row>
        <row r="48">
          <cell r="KA48"/>
        </row>
        <row r="52">
          <cell r="KA52">
            <v>49119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  <cell r="JM64">
            <v>222378</v>
          </cell>
          <cell r="JV64">
            <v>1115206</v>
          </cell>
          <cell r="JW64">
            <v>1367423</v>
          </cell>
          <cell r="JX64">
            <v>85997</v>
          </cell>
          <cell r="JY64">
            <v>85999</v>
          </cell>
          <cell r="JZ64">
            <v>330867</v>
          </cell>
          <cell r="KA64">
            <v>88180</v>
          </cell>
        </row>
      </sheetData>
      <sheetData sheetId="71">
        <row r="4">
          <cell r="KA4">
            <v>20</v>
          </cell>
        </row>
        <row r="5">
          <cell r="KA5">
            <v>20</v>
          </cell>
        </row>
        <row r="8">
          <cell r="KA8"/>
        </row>
        <row r="9">
          <cell r="KA9"/>
        </row>
        <row r="19"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  <cell r="JM19">
            <v>0</v>
          </cell>
          <cell r="JV19">
            <v>2</v>
          </cell>
          <cell r="JW19">
            <v>0</v>
          </cell>
          <cell r="JX19">
            <v>24</v>
          </cell>
          <cell r="JY19">
            <v>42</v>
          </cell>
          <cell r="JZ19">
            <v>34</v>
          </cell>
          <cell r="KA19">
            <v>40</v>
          </cell>
        </row>
        <row r="47">
          <cell r="KA47">
            <v>693929</v>
          </cell>
        </row>
        <row r="48">
          <cell r="KA48"/>
        </row>
        <row r="52">
          <cell r="KA52">
            <v>585595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  <cell r="JM64">
            <v>0</v>
          </cell>
          <cell r="JV64">
            <v>66634</v>
          </cell>
          <cell r="JW64">
            <v>0</v>
          </cell>
          <cell r="JX64">
            <v>658009</v>
          </cell>
          <cell r="JY64">
            <v>1354248</v>
          </cell>
          <cell r="JZ64">
            <v>1205445</v>
          </cell>
          <cell r="KA64">
            <v>1279524</v>
          </cell>
        </row>
      </sheetData>
      <sheetData sheetId="72"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73">
        <row r="4">
          <cell r="KA4"/>
        </row>
        <row r="5">
          <cell r="KA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74">
        <row r="4">
          <cell r="KA4">
            <v>44</v>
          </cell>
        </row>
        <row r="5">
          <cell r="KA5">
            <v>44</v>
          </cell>
        </row>
        <row r="19"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  <cell r="JM19">
            <v>78</v>
          </cell>
          <cell r="JV19">
            <v>74</v>
          </cell>
          <cell r="JW19">
            <v>76</v>
          </cell>
          <cell r="JX19">
            <v>78</v>
          </cell>
          <cell r="JY19">
            <v>80</v>
          </cell>
          <cell r="JZ19">
            <v>78</v>
          </cell>
          <cell r="KA19">
            <v>88</v>
          </cell>
        </row>
        <row r="47">
          <cell r="KA47">
            <v>106894</v>
          </cell>
        </row>
        <row r="48">
          <cell r="KA48"/>
        </row>
        <row r="52">
          <cell r="KA52">
            <v>61234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  <cell r="JM64">
            <v>89227</v>
          </cell>
          <cell r="JV64">
            <v>133234</v>
          </cell>
          <cell r="JW64">
            <v>137146</v>
          </cell>
          <cell r="JX64">
            <v>146076</v>
          </cell>
          <cell r="JY64">
            <v>149952</v>
          </cell>
          <cell r="JZ64">
            <v>147366</v>
          </cell>
          <cell r="KA64">
            <v>168128</v>
          </cell>
        </row>
      </sheetData>
      <sheetData sheetId="75">
        <row r="4">
          <cell r="KA4"/>
        </row>
        <row r="5">
          <cell r="KA5"/>
        </row>
        <row r="12">
          <cell r="KA12">
            <v>0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76">
        <row r="4">
          <cell r="KA4">
            <v>2</v>
          </cell>
        </row>
        <row r="5">
          <cell r="KA5">
            <v>2</v>
          </cell>
        </row>
        <row r="15">
          <cell r="KA15">
            <v>1</v>
          </cell>
        </row>
        <row r="16">
          <cell r="KA16">
            <v>1</v>
          </cell>
        </row>
        <row r="19"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  <cell r="JM19">
            <v>38</v>
          </cell>
          <cell r="JV19">
            <v>0</v>
          </cell>
          <cell r="JW19">
            <v>2</v>
          </cell>
          <cell r="JX19">
            <v>20</v>
          </cell>
          <cell r="JY19">
            <v>2</v>
          </cell>
          <cell r="JZ19">
            <v>2</v>
          </cell>
          <cell r="KA19">
            <v>6</v>
          </cell>
        </row>
        <row r="47">
          <cell r="KA47">
            <v>98156</v>
          </cell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  <cell r="JM64">
            <v>901092</v>
          </cell>
          <cell r="JV64">
            <v>0</v>
          </cell>
          <cell r="JW64">
            <v>101146</v>
          </cell>
          <cell r="JX64">
            <v>499831</v>
          </cell>
          <cell r="JY64">
            <v>28563</v>
          </cell>
          <cell r="JZ64">
            <v>25309</v>
          </cell>
          <cell r="KA64">
            <v>98156</v>
          </cell>
        </row>
      </sheetData>
      <sheetData sheetId="77">
        <row r="4">
          <cell r="KA4"/>
        </row>
        <row r="5">
          <cell r="KA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78"/>
      <sheetData sheetId="79">
        <row r="4">
          <cell r="KA4"/>
        </row>
        <row r="5">
          <cell r="KA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80"/>
      <sheetData sheetId="81"/>
      <sheetData sheetId="82">
        <row r="4">
          <cell r="KA4">
            <v>77</v>
          </cell>
        </row>
        <row r="5">
          <cell r="KA5">
            <v>77</v>
          </cell>
        </row>
        <row r="19"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  <cell r="JM19">
            <v>132</v>
          </cell>
          <cell r="JV19">
            <v>140</v>
          </cell>
          <cell r="JW19">
            <v>144</v>
          </cell>
          <cell r="JX19">
            <v>156</v>
          </cell>
          <cell r="JY19">
            <v>162</v>
          </cell>
          <cell r="JZ19">
            <v>152</v>
          </cell>
          <cell r="KA19">
            <v>154</v>
          </cell>
        </row>
        <row r="47">
          <cell r="KA47">
            <v>5487258</v>
          </cell>
        </row>
        <row r="48">
          <cell r="KA48"/>
        </row>
        <row r="52">
          <cell r="KA52">
            <v>5043403</v>
          </cell>
        </row>
        <row r="53">
          <cell r="KA53"/>
        </row>
        <row r="57">
          <cell r="KA57"/>
        </row>
        <row r="58">
          <cell r="KA58"/>
        </row>
        <row r="64"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  <cell r="JM64">
            <v>9942841</v>
          </cell>
          <cell r="JV64">
            <v>9025186</v>
          </cell>
          <cell r="JW64">
            <v>9457068</v>
          </cell>
          <cell r="JX64">
            <v>10352479</v>
          </cell>
          <cell r="JY64">
            <v>10758582</v>
          </cell>
          <cell r="JZ64">
            <v>10196893</v>
          </cell>
          <cell r="KA64">
            <v>10530661</v>
          </cell>
        </row>
      </sheetData>
      <sheetData sheetId="83">
        <row r="4">
          <cell r="KA4">
            <v>21</v>
          </cell>
        </row>
        <row r="5">
          <cell r="KA5">
            <v>21</v>
          </cell>
        </row>
        <row r="19"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  <cell r="JM19">
            <v>40</v>
          </cell>
          <cell r="JV19">
            <v>38</v>
          </cell>
          <cell r="JW19">
            <v>36</v>
          </cell>
          <cell r="JX19">
            <v>38</v>
          </cell>
          <cell r="JY19">
            <v>40</v>
          </cell>
          <cell r="JZ19">
            <v>42</v>
          </cell>
          <cell r="KA19">
            <v>42</v>
          </cell>
        </row>
        <row r="47">
          <cell r="KA47"/>
        </row>
        <row r="48">
          <cell r="KA48">
            <v>56296</v>
          </cell>
        </row>
        <row r="52">
          <cell r="KA52"/>
        </row>
        <row r="53">
          <cell r="KA53">
            <v>85501</v>
          </cell>
        </row>
        <row r="57">
          <cell r="KA57"/>
        </row>
        <row r="58">
          <cell r="KA58"/>
        </row>
        <row r="64"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  <cell r="JM64">
            <v>144611</v>
          </cell>
          <cell r="JV64">
            <v>114133</v>
          </cell>
          <cell r="JW64">
            <v>109052</v>
          </cell>
          <cell r="JX64">
            <v>105017</v>
          </cell>
          <cell r="JY64">
            <v>138622</v>
          </cell>
          <cell r="JZ64">
            <v>140264</v>
          </cell>
          <cell r="KA64">
            <v>141797</v>
          </cell>
        </row>
      </sheetData>
      <sheetData sheetId="84">
        <row r="4">
          <cell r="KA4">
            <v>17</v>
          </cell>
        </row>
        <row r="5">
          <cell r="KA5">
            <v>17</v>
          </cell>
        </row>
        <row r="19"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  <cell r="JM19">
            <v>32</v>
          </cell>
          <cell r="JV19">
            <v>24</v>
          </cell>
          <cell r="JW19">
            <v>32</v>
          </cell>
          <cell r="JX19">
            <v>32</v>
          </cell>
          <cell r="JY19">
            <v>34</v>
          </cell>
          <cell r="JZ19">
            <v>32</v>
          </cell>
          <cell r="KA19">
            <v>34</v>
          </cell>
        </row>
        <row r="47">
          <cell r="KA47">
            <v>66393</v>
          </cell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  <cell r="JM64">
            <v>67146</v>
          </cell>
          <cell r="JV64">
            <v>43240</v>
          </cell>
          <cell r="JW64">
            <v>0</v>
          </cell>
          <cell r="JX64">
            <v>0</v>
          </cell>
          <cell r="JY64">
            <v>17297</v>
          </cell>
          <cell r="JZ64">
            <v>65090</v>
          </cell>
          <cell r="KA64">
            <v>66393</v>
          </cell>
        </row>
      </sheetData>
      <sheetData sheetId="85">
        <row r="4">
          <cell r="KA4">
            <v>106</v>
          </cell>
        </row>
        <row r="5">
          <cell r="KA5">
            <v>88</v>
          </cell>
        </row>
        <row r="16">
          <cell r="KA16">
            <v>18</v>
          </cell>
        </row>
        <row r="19"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  <cell r="JM19">
            <v>215</v>
          </cell>
          <cell r="JV19">
            <v>182</v>
          </cell>
          <cell r="JW19">
            <v>192</v>
          </cell>
          <cell r="JX19">
            <v>205</v>
          </cell>
          <cell r="JY19">
            <v>213</v>
          </cell>
          <cell r="JZ19">
            <v>208</v>
          </cell>
          <cell r="KA19">
            <v>212</v>
          </cell>
        </row>
        <row r="47">
          <cell r="KA47">
            <v>4781971</v>
          </cell>
        </row>
        <row r="48">
          <cell r="KA48">
            <v>3033033</v>
          </cell>
        </row>
        <row r="52">
          <cell r="KA52">
            <v>3526720</v>
          </cell>
        </row>
        <row r="53">
          <cell r="KA53">
            <v>2570295</v>
          </cell>
        </row>
        <row r="57">
          <cell r="KA57"/>
        </row>
        <row r="58">
          <cell r="KA58"/>
        </row>
        <row r="64"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  <cell r="JM64">
            <v>13423810</v>
          </cell>
          <cell r="JV64">
            <v>12797108</v>
          </cell>
          <cell r="JW64">
            <v>12121617</v>
          </cell>
          <cell r="JX64">
            <v>13766889</v>
          </cell>
          <cell r="JY64">
            <v>14566517</v>
          </cell>
          <cell r="JZ64">
            <v>14246545</v>
          </cell>
          <cell r="KA64">
            <v>13912019</v>
          </cell>
        </row>
      </sheetData>
      <sheetData sheetId="86"/>
      <sheetData sheetId="87"/>
      <sheetData sheetId="88"/>
      <sheetData sheetId="89"/>
      <sheetData sheetId="90">
        <row r="4">
          <cell r="KA4">
            <v>127</v>
          </cell>
        </row>
        <row r="5">
          <cell r="KA5">
            <v>127</v>
          </cell>
        </row>
        <row r="19"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  <cell r="JM19">
            <v>282</v>
          </cell>
          <cell r="JV19">
            <v>256</v>
          </cell>
          <cell r="JW19">
            <v>224</v>
          </cell>
          <cell r="JX19">
            <v>334</v>
          </cell>
          <cell r="JY19">
            <v>260</v>
          </cell>
          <cell r="JZ19">
            <v>234</v>
          </cell>
          <cell r="KA19">
            <v>254</v>
          </cell>
        </row>
      </sheetData>
      <sheetData sheetId="91">
        <row r="4">
          <cell r="KA4"/>
        </row>
        <row r="5">
          <cell r="KA5"/>
        </row>
        <row r="8">
          <cell r="KA8"/>
        </row>
        <row r="9">
          <cell r="KA9"/>
        </row>
        <row r="19"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V19">
            <v>0</v>
          </cell>
          <cell r="JW19">
            <v>0</v>
          </cell>
          <cell r="JX19">
            <v>9</v>
          </cell>
          <cell r="JY19">
            <v>5</v>
          </cell>
          <cell r="JZ19">
            <v>0</v>
          </cell>
          <cell r="KA19">
            <v>0</v>
          </cell>
        </row>
        <row r="47">
          <cell r="KA47"/>
        </row>
        <row r="48">
          <cell r="KA48"/>
        </row>
        <row r="52">
          <cell r="KA52"/>
        </row>
        <row r="53">
          <cell r="KA53"/>
        </row>
        <row r="57">
          <cell r="KA57"/>
        </row>
        <row r="58">
          <cell r="KA58"/>
        </row>
        <row r="64"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</row>
      </sheetData>
      <sheetData sheetId="92">
        <row r="4">
          <cell r="KA4">
            <v>49</v>
          </cell>
        </row>
        <row r="5">
          <cell r="KA5">
            <v>47</v>
          </cell>
        </row>
      </sheetData>
      <sheetData sheetId="93">
        <row r="4">
          <cell r="KA4">
            <v>854</v>
          </cell>
        </row>
        <row r="5">
          <cell r="KA5">
            <v>854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998727</v>
          </cell>
        </row>
      </sheetData>
      <sheetData sheetId="1"/>
      <sheetData sheetId="2"/>
      <sheetData sheetId="3"/>
      <sheetData sheetId="4"/>
      <sheetData sheetId="5">
        <row r="21">
          <cell r="B21">
            <v>165270</v>
          </cell>
          <cell r="C21">
            <v>158940</v>
          </cell>
          <cell r="L21">
            <v>1216641</v>
          </cell>
          <cell r="M21">
            <v>1246382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311790</v>
          </cell>
          <cell r="I21">
            <v>2244518</v>
          </cell>
          <cell r="N21">
            <v>2556308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987957</v>
          </cell>
        </row>
      </sheetData>
      <sheetData sheetId="1"/>
      <sheetData sheetId="2"/>
      <sheetData sheetId="3"/>
      <sheetData sheetId="4"/>
      <sheetData sheetId="5">
        <row r="22">
          <cell r="B22">
            <v>153288</v>
          </cell>
          <cell r="C22">
            <v>156814</v>
          </cell>
          <cell r="L22">
            <v>1207091</v>
          </cell>
          <cell r="M22">
            <v>1236722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330848</v>
          </cell>
          <cell r="I22">
            <v>2156895</v>
          </cell>
          <cell r="N22">
            <v>2487743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1239037</v>
          </cell>
        </row>
      </sheetData>
      <sheetData sheetId="1"/>
      <sheetData sheetId="2"/>
      <sheetData sheetId="3"/>
      <sheetData sheetId="4"/>
      <sheetData sheetId="5">
        <row r="23">
          <cell r="B23">
            <v>194492</v>
          </cell>
          <cell r="C23">
            <v>204456</v>
          </cell>
          <cell r="L23">
            <v>1491424</v>
          </cell>
          <cell r="M23">
            <v>1528083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445342</v>
          </cell>
          <cell r="I23">
            <v>2782115</v>
          </cell>
          <cell r="N23">
            <v>3227457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K13" sqref="K13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10.28515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1" width="10" customWidth="1"/>
    <col min="12" max="12" width="9.7109375" customWidth="1"/>
    <col min="14" max="14" width="9.7109375" customWidth="1"/>
    <col min="15" max="15" width="11.42578125" customWidth="1"/>
    <col min="16" max="16" width="13.7109375" style="379" bestFit="1" customWidth="1"/>
  </cols>
  <sheetData>
    <row r="1" spans="1:18" hidden="1" x14ac:dyDescent="0.2"/>
    <row r="2" spans="1:18" ht="12.75" customHeight="1" x14ac:dyDescent="0.2">
      <c r="A2" s="384">
        <v>46174</v>
      </c>
      <c r="B2" s="10"/>
      <c r="C2" s="10"/>
      <c r="D2" s="455" t="s">
        <v>226</v>
      </c>
      <c r="E2" s="455" t="s">
        <v>216</v>
      </c>
      <c r="F2" s="5"/>
      <c r="G2" s="5"/>
      <c r="H2" s="5"/>
      <c r="I2" s="5"/>
      <c r="J2" s="5"/>
    </row>
    <row r="3" spans="1:18" ht="13.5" thickBot="1" x14ac:dyDescent="0.25">
      <c r="A3" s="275"/>
      <c r="B3" s="5" t="s">
        <v>0</v>
      </c>
      <c r="C3" s="5" t="s">
        <v>1</v>
      </c>
      <c r="D3" s="456"/>
      <c r="E3" s="456"/>
      <c r="F3" s="5" t="s">
        <v>2</v>
      </c>
      <c r="G3" s="5" t="s">
        <v>227</v>
      </c>
      <c r="H3" s="5" t="s">
        <v>217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9">
        <f>'Major Airline Stats'!J4</f>
        <v>1399104</v>
      </c>
      <c r="C5" s="10">
        <f>'Major Airline Stats'!J5</f>
        <v>1387495</v>
      </c>
      <c r="D5" s="2">
        <f>'Major Airline Stats'!J6</f>
        <v>2786599</v>
      </c>
      <c r="E5" s="2">
        <f>'[1]Monthly Summary'!D5</f>
        <v>2886590</v>
      </c>
      <c r="F5" s="3">
        <f>(D5-E5)/E5</f>
        <v>-3.4639834545259283E-2</v>
      </c>
      <c r="G5" s="2">
        <f>+'[2]Monthly Summary'!$G$5+D5</f>
        <v>13823306</v>
      </c>
      <c r="H5" s="2">
        <f>'[1]Monthly Summary'!G5</f>
        <v>14586108</v>
      </c>
      <c r="I5" s="63">
        <f>(G5-H5)/H5</f>
        <v>-5.2296472780813084E-2</v>
      </c>
      <c r="J5" s="2"/>
    </row>
    <row r="6" spans="1:18" x14ac:dyDescent="0.2">
      <c r="A6" s="48" t="s">
        <v>5</v>
      </c>
      <c r="B6" s="209">
        <f>'Regional Major'!K5</f>
        <v>250031</v>
      </c>
      <c r="C6" s="209">
        <f>'Regional Major'!K6</f>
        <v>251568</v>
      </c>
      <c r="D6" s="2">
        <f>B6+C6</f>
        <v>501599</v>
      </c>
      <c r="E6" s="2">
        <f>'[1]Monthly Summary'!D6</f>
        <v>458811</v>
      </c>
      <c r="F6" s="3">
        <f>(D6-E6)/E6</f>
        <v>9.3258444108794247E-2</v>
      </c>
      <c r="G6" s="2">
        <f>'[2]Monthly Summary'!$G$6+D6</f>
        <v>2846964</v>
      </c>
      <c r="H6" s="2">
        <f>'[1]Monthly Summary'!G6</f>
        <v>2548911</v>
      </c>
      <c r="I6" s="63">
        <f>(G6-H6)/H6</f>
        <v>0.11693346688056193</v>
      </c>
    </row>
    <row r="7" spans="1:18" x14ac:dyDescent="0.2">
      <c r="A7" s="48" t="s">
        <v>6</v>
      </c>
      <c r="B7" s="2">
        <f>Charter!H5</f>
        <v>176</v>
      </c>
      <c r="C7" s="209">
        <f>Charter!H6</f>
        <v>176</v>
      </c>
      <c r="D7" s="2">
        <f>B7+C7</f>
        <v>352</v>
      </c>
      <c r="E7" s="2">
        <f>'[1]Monthly Summary'!D7</f>
        <v>133</v>
      </c>
      <c r="F7" s="3">
        <f>IFERROR((D7-E7)/E7,0)</f>
        <v>1.6466165413533835</v>
      </c>
      <c r="G7" s="2">
        <f>'[2]Monthly Summary'!$G$7+D7</f>
        <v>412</v>
      </c>
      <c r="H7" s="2">
        <f>'[1]Monthly Summary'!G7</f>
        <v>468</v>
      </c>
      <c r="I7" s="63">
        <f>IFERROR((G7-H7)/H7,0)</f>
        <v>-0.11965811965811966</v>
      </c>
    </row>
    <row r="8" spans="1:18" x14ac:dyDescent="0.2">
      <c r="A8" s="50" t="s">
        <v>7</v>
      </c>
      <c r="B8" s="113">
        <f>SUM(B5:B7)</f>
        <v>1649311</v>
      </c>
      <c r="C8" s="113">
        <f>SUM(C5:C7)</f>
        <v>1639239</v>
      </c>
      <c r="D8" s="113">
        <f>SUM(D5:D7)</f>
        <v>3288550</v>
      </c>
      <c r="E8" s="113">
        <f>SUM(E5:E7)</f>
        <v>3345534</v>
      </c>
      <c r="F8" s="69">
        <f>(D8-E8)/E8</f>
        <v>-1.7032856339227159E-2</v>
      </c>
      <c r="G8" s="113">
        <f>SUM(G5:G7)</f>
        <v>16670682</v>
      </c>
      <c r="H8" s="113">
        <f>SUM(H5:H7)</f>
        <v>17135487</v>
      </c>
      <c r="I8" s="68">
        <f>(G8-H8)/H8</f>
        <v>-2.7125286838944232E-2</v>
      </c>
    </row>
    <row r="9" spans="1:18" x14ac:dyDescent="0.2">
      <c r="A9" s="48"/>
      <c r="B9" s="89"/>
      <c r="C9" s="89"/>
      <c r="D9" s="89"/>
      <c r="E9" s="89"/>
      <c r="F9" s="4"/>
      <c r="G9" s="89"/>
      <c r="H9" s="89"/>
      <c r="I9" s="63"/>
      <c r="Q9" s="422"/>
    </row>
    <row r="10" spans="1:18" x14ac:dyDescent="0.2">
      <c r="A10" s="48" t="s">
        <v>8</v>
      </c>
      <c r="B10" s="429">
        <f>'Major Airline Stats'!J9+'Regional Major'!K10</f>
        <v>50798</v>
      </c>
      <c r="C10" s="430">
        <f>'Major Airline Stats'!J10+'Regional Major'!K11</f>
        <v>51444</v>
      </c>
      <c r="D10" s="431">
        <f>SUM(B10:C10)</f>
        <v>102242</v>
      </c>
      <c r="E10" s="390">
        <f>'[1]Monthly Summary'!D10</f>
        <v>98346</v>
      </c>
      <c r="F10" s="432">
        <f>(D10-E10)/E10</f>
        <v>3.9615236003497853E-2</v>
      </c>
      <c r="G10" s="390">
        <f>+'[2]Monthly Summary'!$G$10+D10</f>
        <v>554228</v>
      </c>
      <c r="H10" s="390">
        <f>'[1]Monthly Summary'!G10</f>
        <v>532804</v>
      </c>
      <c r="I10" s="433">
        <f>(G10-H10)/H10</f>
        <v>4.0209908334021514E-2</v>
      </c>
      <c r="J10" s="163"/>
    </row>
    <row r="11" spans="1:18" ht="15.75" thickBot="1" x14ac:dyDescent="0.3">
      <c r="A11" s="49" t="s">
        <v>13</v>
      </c>
      <c r="B11" s="189">
        <f>B10+B8</f>
        <v>1700109</v>
      </c>
      <c r="C11" s="189">
        <f>C10+C8</f>
        <v>1690683</v>
      </c>
      <c r="D11" s="189">
        <f>D10+D8</f>
        <v>3390792</v>
      </c>
      <c r="E11" s="189">
        <f>E10+E8</f>
        <v>3443880</v>
      </c>
      <c r="F11" s="70">
        <f>(D11-E11)/E11</f>
        <v>-1.5415171260322659E-2</v>
      </c>
      <c r="G11" s="189">
        <f>G8+G10</f>
        <v>17224910</v>
      </c>
      <c r="H11" s="189">
        <f>H8+H10</f>
        <v>17668291</v>
      </c>
      <c r="I11" s="72">
        <f>(G11-H11)/H11</f>
        <v>-2.5094730441104916E-2</v>
      </c>
      <c r="Q11" s="422"/>
    </row>
    <row r="12" spans="1:18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Q12" s="422"/>
    </row>
    <row r="13" spans="1:18" ht="16.5" customHeight="1" x14ac:dyDescent="0.2">
      <c r="B13" s="10"/>
      <c r="C13" s="10"/>
      <c r="D13" s="455" t="s">
        <v>226</v>
      </c>
      <c r="E13" s="455" t="s">
        <v>216</v>
      </c>
      <c r="F13" s="5"/>
      <c r="G13" s="5"/>
      <c r="H13" s="5"/>
      <c r="I13" s="5"/>
      <c r="Q13" s="422"/>
    </row>
    <row r="14" spans="1:18" ht="13.5" thickBot="1" x14ac:dyDescent="0.25">
      <c r="A14" s="9"/>
      <c r="B14" s="5" t="s">
        <v>212</v>
      </c>
      <c r="C14" s="5" t="s">
        <v>213</v>
      </c>
      <c r="D14" s="456"/>
      <c r="E14" s="456"/>
      <c r="F14" s="5" t="s">
        <v>2</v>
      </c>
      <c r="G14" s="5" t="s">
        <v>227</v>
      </c>
      <c r="H14" s="5" t="s">
        <v>217</v>
      </c>
      <c r="I14" s="5" t="s">
        <v>2</v>
      </c>
      <c r="N14" s="330"/>
      <c r="Q14" s="422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0"/>
      <c r="Q15" s="422"/>
      <c r="R15" s="221"/>
    </row>
    <row r="16" spans="1:18" x14ac:dyDescent="0.2">
      <c r="A16" s="48" t="s">
        <v>4</v>
      </c>
      <c r="B16" s="218">
        <f>'Major Airline Stats'!J15+'Major Airline Stats'!J19</f>
        <v>9819</v>
      </c>
      <c r="C16" s="218">
        <f>'Major Airline Stats'!J16+'Major Airline Stats'!J20</f>
        <v>9807</v>
      </c>
      <c r="D16" s="30">
        <f>SUM(B16:C16)</f>
        <v>19626</v>
      </c>
      <c r="E16" s="2">
        <f>'[1]Monthly Summary'!D16</f>
        <v>20371</v>
      </c>
      <c r="F16" s="71">
        <f t="shared" ref="F16:F22" si="0">(D16-E16)/E16</f>
        <v>-3.6571596877914683E-2</v>
      </c>
      <c r="G16" s="2">
        <f>+'[2]Monthly Summary'!$G$16+D16</f>
        <v>100902</v>
      </c>
      <c r="H16" s="2">
        <f>'[1]Monthly Summary'!G16</f>
        <v>107354</v>
      </c>
      <c r="I16" s="185">
        <f t="shared" ref="I16:I22" si="1">(G16-H16)/H16</f>
        <v>-6.010022914842484E-2</v>
      </c>
      <c r="N16" s="330"/>
      <c r="Q16" s="422"/>
    </row>
    <row r="17" spans="1:17" x14ac:dyDescent="0.2">
      <c r="A17" s="48" t="s">
        <v>5</v>
      </c>
      <c r="B17" s="30">
        <f>'Regional Major'!K15+'Regional Major'!K18</f>
        <v>4163</v>
      </c>
      <c r="C17" s="30">
        <f>'Regional Major'!K16+'Regional Major'!K19</f>
        <v>4166</v>
      </c>
      <c r="D17" s="30">
        <f>SUM(B17:C17)</f>
        <v>8329</v>
      </c>
      <c r="E17" s="2">
        <f>'[1]Monthly Summary'!D17</f>
        <v>7339</v>
      </c>
      <c r="F17" s="71">
        <f t="shared" si="0"/>
        <v>0.13489576236544487</v>
      </c>
      <c r="G17" s="2">
        <f>+'[2]Monthly Summary'!$G$17+D17</f>
        <v>50314</v>
      </c>
      <c r="H17" s="2">
        <f>'[1]Monthly Summary'!G17</f>
        <v>45388</v>
      </c>
      <c r="I17" s="185">
        <f t="shared" si="1"/>
        <v>0.10853088922182075</v>
      </c>
      <c r="K17" s="2"/>
      <c r="L17" s="2"/>
      <c r="M17" s="2"/>
      <c r="N17" s="330"/>
      <c r="Q17" s="422"/>
    </row>
    <row r="18" spans="1:17" x14ac:dyDescent="0.2">
      <c r="A18" s="48" t="s">
        <v>10</v>
      </c>
      <c r="B18" s="30">
        <f>Charter!H10</f>
        <v>1</v>
      </c>
      <c r="C18" s="30">
        <f>Charter!H11</f>
        <v>2</v>
      </c>
      <c r="D18" s="30">
        <f t="shared" ref="D18:D21" si="2">SUM(B18:C18)</f>
        <v>3</v>
      </c>
      <c r="E18" s="2">
        <f>'[1]Monthly Summary'!D18</f>
        <v>2</v>
      </c>
      <c r="F18" s="71">
        <f>IFERROR((D18-E18)/E18,0)</f>
        <v>0.5</v>
      </c>
      <c r="G18" s="2">
        <f>+'[2]Monthly Summary'!$G$18+D18</f>
        <v>4</v>
      </c>
      <c r="H18" s="2">
        <f>'[1]Monthly Summary'!G18</f>
        <v>10</v>
      </c>
      <c r="I18" s="185">
        <f>IFERROR((G18-H18)/H18,0)</f>
        <v>-0.6</v>
      </c>
      <c r="N18" s="330"/>
      <c r="Q18" s="422"/>
    </row>
    <row r="19" spans="1:17" x14ac:dyDescent="0.2">
      <c r="A19" s="48" t="s">
        <v>11</v>
      </c>
      <c r="B19" s="30">
        <f>Cargo!S4+Cargo!S8</f>
        <v>496</v>
      </c>
      <c r="C19" s="30">
        <f>Cargo!S5+Cargo!S9</f>
        <v>496</v>
      </c>
      <c r="D19" s="30">
        <f t="shared" si="2"/>
        <v>992</v>
      </c>
      <c r="E19" s="2">
        <f>'[1]Monthly Summary'!D19</f>
        <v>1047</v>
      </c>
      <c r="F19" s="71">
        <f t="shared" si="0"/>
        <v>-5.253104106972302E-2</v>
      </c>
      <c r="G19" s="2">
        <f>+'[2]Monthly Summary'!$G$19+D19</f>
        <v>5776</v>
      </c>
      <c r="H19" s="2">
        <f>'[1]Monthly Summary'!G19</f>
        <v>6233</v>
      </c>
      <c r="I19" s="185">
        <f t="shared" si="1"/>
        <v>-7.3319428846462378E-2</v>
      </c>
      <c r="M19" s="422"/>
      <c r="N19" s="330"/>
      <c r="Q19" s="422"/>
    </row>
    <row r="20" spans="1:17" x14ac:dyDescent="0.2">
      <c r="A20" s="48" t="s">
        <v>145</v>
      </c>
      <c r="B20" s="30">
        <f>'[3]General Avation'!$KA$4</f>
        <v>854</v>
      </c>
      <c r="C20" s="30">
        <f>'[3]General Avation'!$KA$5</f>
        <v>854</v>
      </c>
      <c r="D20" s="30">
        <f t="shared" si="2"/>
        <v>1708</v>
      </c>
      <c r="E20" s="2">
        <f>'[1]Monthly Summary'!D20</f>
        <v>1977</v>
      </c>
      <c r="F20" s="71">
        <f t="shared" si="0"/>
        <v>-0.13606474456246839</v>
      </c>
      <c r="G20" s="2">
        <f>+'[2]Monthly Summary'!$G$20+D20</f>
        <v>8484</v>
      </c>
      <c r="H20" s="2">
        <f>'[1]Monthly Summary'!G20</f>
        <v>8433</v>
      </c>
      <c r="I20" s="185">
        <f t="shared" si="1"/>
        <v>6.0476698683742443E-3</v>
      </c>
      <c r="M20" s="2"/>
      <c r="N20" s="330"/>
      <c r="Q20" s="422"/>
    </row>
    <row r="21" spans="1:17" ht="12.75" customHeight="1" x14ac:dyDescent="0.2">
      <c r="A21" s="48" t="s">
        <v>12</v>
      </c>
      <c r="B21" s="434">
        <f>'[3]Military '!$KA$4</f>
        <v>49</v>
      </c>
      <c r="C21" s="435">
        <f>'[3]Military '!$KA$5</f>
        <v>47</v>
      </c>
      <c r="D21" s="435">
        <f t="shared" si="2"/>
        <v>96</v>
      </c>
      <c r="E21" s="390">
        <f>'[1]Monthly Summary'!D21</f>
        <v>77</v>
      </c>
      <c r="F21" s="436">
        <f t="shared" si="0"/>
        <v>0.24675324675324675</v>
      </c>
      <c r="G21" s="390">
        <f>'[2]Monthly Summary'!$G$21+D21</f>
        <v>485</v>
      </c>
      <c r="H21" s="390">
        <f>'[1]Monthly Summary'!G21</f>
        <v>498</v>
      </c>
      <c r="I21" s="437">
        <f t="shared" si="1"/>
        <v>-2.6104417670682729E-2</v>
      </c>
      <c r="K21" s="89"/>
      <c r="N21" s="330"/>
      <c r="Q21" s="422"/>
    </row>
    <row r="22" spans="1:17" ht="15.75" thickBot="1" x14ac:dyDescent="0.3">
      <c r="A22" s="49" t="s">
        <v>28</v>
      </c>
      <c r="B22" s="190">
        <f>SUM(B16:B21)</f>
        <v>15382</v>
      </c>
      <c r="C22" s="190">
        <f>SUM(C16:C21)</f>
        <v>15372</v>
      </c>
      <c r="D22" s="190">
        <f>SUM(D16:D21)</f>
        <v>30754</v>
      </c>
      <c r="E22" s="190">
        <f>SUM(E16:E21)</f>
        <v>30813</v>
      </c>
      <c r="F22" s="187">
        <f t="shared" si="0"/>
        <v>-1.9147762308116703E-3</v>
      </c>
      <c r="G22" s="190">
        <f>SUM(G16:G21)</f>
        <v>165965</v>
      </c>
      <c r="H22" s="190">
        <f>SUM(H16:H21)</f>
        <v>167916</v>
      </c>
      <c r="I22" s="188">
        <f t="shared" si="1"/>
        <v>-1.1618904690440458E-2</v>
      </c>
      <c r="N22" s="323"/>
      <c r="Q22" s="422"/>
    </row>
    <row r="23" spans="1:17" x14ac:dyDescent="0.2">
      <c r="B23" s="89"/>
      <c r="C23" s="89"/>
      <c r="L23" s="2"/>
      <c r="N23" s="330"/>
      <c r="Q23" s="422"/>
    </row>
    <row r="24" spans="1:17" ht="12.75" customHeight="1" x14ac:dyDescent="0.2">
      <c r="B24" s="10"/>
      <c r="C24" s="10"/>
      <c r="D24" s="455" t="s">
        <v>226</v>
      </c>
      <c r="E24" s="455" t="s">
        <v>216</v>
      </c>
      <c r="F24" s="5"/>
      <c r="G24" s="5"/>
      <c r="H24" s="5"/>
      <c r="I24" s="5"/>
      <c r="N24" s="330"/>
      <c r="Q24" s="422"/>
    </row>
    <row r="25" spans="1:17" ht="13.5" thickBot="1" x14ac:dyDescent="0.25">
      <c r="B25" s="5" t="s">
        <v>0</v>
      </c>
      <c r="C25" s="5" t="s">
        <v>1</v>
      </c>
      <c r="D25" s="456"/>
      <c r="E25" s="456"/>
      <c r="F25" s="5" t="s">
        <v>2</v>
      </c>
      <c r="G25" s="5" t="s">
        <v>227</v>
      </c>
      <c r="H25" s="5" t="s">
        <v>217</v>
      </c>
      <c r="I25" s="5" t="s">
        <v>2</v>
      </c>
      <c r="N25" s="330"/>
      <c r="Q25" s="422"/>
    </row>
    <row r="26" spans="1:17" ht="15" x14ac:dyDescent="0.25">
      <c r="A26" s="46" t="s">
        <v>124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Stats'!J28+'Regional Major'!K25)*0.00045359237</f>
        <v>8945.2810674065295</v>
      </c>
      <c r="C27" s="12">
        <f>(Cargo!S21+'Major Airline Stats'!J33+'Regional Major'!K30)*0.00045359237</f>
        <v>6838.3318535294065</v>
      </c>
      <c r="D27" s="12">
        <f>SUM(B27:C27)</f>
        <v>15783.612920935935</v>
      </c>
      <c r="E27" s="2">
        <f>'[1]Monthly Summary'!D27</f>
        <v>14982.260398063574</v>
      </c>
      <c r="F27" s="73">
        <f>(D27-E27)/E27</f>
        <v>5.3486757110157705E-2</v>
      </c>
      <c r="G27" s="2">
        <f>+'[2]Monthly Summary'!$G$27+D27</f>
        <v>86447.947671051792</v>
      </c>
      <c r="H27" s="2">
        <f>'[1]Monthly Summary'!G27</f>
        <v>86136.065745689266</v>
      </c>
      <c r="I27" s="74">
        <f>(G27-H27)/H27</f>
        <v>3.6208053230958534E-3</v>
      </c>
      <c r="N27" s="89"/>
    </row>
    <row r="28" spans="1:17" x14ac:dyDescent="0.2">
      <c r="A28" s="43" t="s">
        <v>16</v>
      </c>
      <c r="B28" s="440">
        <f>(Cargo!S17+'Major Airline Stats'!J29+'Regional Major'!K26)*0.00045359237</f>
        <v>1476.1388038697301</v>
      </c>
      <c r="C28" s="441">
        <f>(Cargo!S22+'Major Airline Stats'!J34+'Regional Major'!K31)*0.00045359237</f>
        <v>1210.1159507121299</v>
      </c>
      <c r="D28" s="441">
        <f>SUM(B28:C28)</f>
        <v>2686.2547545818597</v>
      </c>
      <c r="E28" s="390">
        <f>'[1]Monthly Summary'!D28</f>
        <v>2572.9074644272996</v>
      </c>
      <c r="F28" s="442">
        <f>(D28-E28)/E28</f>
        <v>4.4054165072660308E-2</v>
      </c>
      <c r="G28" s="390">
        <f>+'[2]Monthly Summary'!$G$28+D28</f>
        <v>17525.429802402828</v>
      </c>
      <c r="H28" s="390">
        <f>'[1]Monthly Summary'!G28</f>
        <v>12797.903242206386</v>
      </c>
      <c r="I28" s="443">
        <f>(G28-H28)/H28</f>
        <v>0.36939852339291529</v>
      </c>
    </row>
    <row r="29" spans="1:17" ht="15.75" thickBot="1" x14ac:dyDescent="0.3">
      <c r="A29" s="44" t="s">
        <v>61</v>
      </c>
      <c r="B29" s="438">
        <f>SUM(B27:B28)</f>
        <v>10421.419871276259</v>
      </c>
      <c r="C29" s="438">
        <f>SUM(C27:C28)</f>
        <v>8048.4478042415367</v>
      </c>
      <c r="D29" s="438">
        <f>SUM(D27:D28)</f>
        <v>18469.867675517795</v>
      </c>
      <c r="E29" s="438">
        <f>SUM(E27:E28)</f>
        <v>17555.167862490875</v>
      </c>
      <c r="F29" s="70">
        <f>(D29-E29)/E29</f>
        <v>5.2104304566708656E-2</v>
      </c>
      <c r="G29" s="438">
        <f>SUM(G27:G28)</f>
        <v>103973.37747345462</v>
      </c>
      <c r="H29" s="438">
        <f>SUM(H27:H28)</f>
        <v>98933.968987895656</v>
      </c>
      <c r="I29" s="439">
        <f>(G29-H29)/H29</f>
        <v>5.0937090031994176E-2</v>
      </c>
    </row>
    <row r="30" spans="1:17" ht="4.5" customHeight="1" thickBot="1" x14ac:dyDescent="0.3">
      <c r="A30" s="40"/>
      <c r="B30" s="276"/>
      <c r="C30" s="276"/>
      <c r="D30" s="276"/>
      <c r="E30" s="276"/>
      <c r="F30" s="191"/>
      <c r="G30" s="276"/>
      <c r="H30" s="276"/>
      <c r="I30" s="191"/>
    </row>
    <row r="31" spans="1:17" ht="13.5" thickBot="1" x14ac:dyDescent="0.25">
      <c r="B31" s="454" t="s">
        <v>141</v>
      </c>
      <c r="C31" s="453"/>
      <c r="D31" s="454" t="s">
        <v>148</v>
      </c>
      <c r="E31" s="453"/>
      <c r="F31" s="298"/>
      <c r="G31" s="299"/>
    </row>
    <row r="32" spans="1:17" x14ac:dyDescent="0.2">
      <c r="A32" s="280" t="s">
        <v>142</v>
      </c>
      <c r="B32" s="281">
        <f>C8-B33</f>
        <v>1073538.1478289999</v>
      </c>
      <c r="C32" s="282">
        <f>B32/C8</f>
        <v>0.65490032132532228</v>
      </c>
      <c r="D32" s="283">
        <f>'[2]Monthly Summary'!$D$32+B32</f>
        <v>5727550.1478289999</v>
      </c>
      <c r="E32" s="284">
        <f>+D32/D34</f>
        <v>0.6896764079666049</v>
      </c>
      <c r="G32" s="2"/>
      <c r="H32" s="388"/>
      <c r="I32" s="297"/>
    </row>
    <row r="33" spans="1:14" ht="13.5" thickBot="1" x14ac:dyDescent="0.25">
      <c r="A33" s="285" t="s">
        <v>143</v>
      </c>
      <c r="B33" s="286">
        <f>'Major Airline Stats'!J51+'Regional Major'!K45</f>
        <v>565700.85217100009</v>
      </c>
      <c r="C33" s="287">
        <f>+B33/C8</f>
        <v>0.34509967867467778</v>
      </c>
      <c r="D33" s="288">
        <f>+'[2]Monthly Summary'!$D$33+B33</f>
        <v>2577141.8521710001</v>
      </c>
      <c r="E33" s="289">
        <f>+D33/D34</f>
        <v>0.3103235920333951</v>
      </c>
      <c r="G33" s="221"/>
      <c r="H33" s="388"/>
      <c r="I33" s="297"/>
    </row>
    <row r="34" spans="1:14" ht="13.5" thickBot="1" x14ac:dyDescent="0.25">
      <c r="B34" s="221"/>
      <c r="D34" s="290">
        <f>SUM(D32:D33)</f>
        <v>8304692</v>
      </c>
      <c r="H34" s="388"/>
    </row>
    <row r="35" spans="1:14" ht="13.5" thickBot="1" x14ac:dyDescent="0.25">
      <c r="B35" s="452" t="s">
        <v>242</v>
      </c>
      <c r="C35" s="453"/>
      <c r="D35" s="454" t="s">
        <v>228</v>
      </c>
      <c r="E35" s="453"/>
    </row>
    <row r="36" spans="1:14" x14ac:dyDescent="0.2">
      <c r="A36" s="280" t="s">
        <v>142</v>
      </c>
      <c r="B36" s="281">
        <f>'[1]Monthly Summary'!$B$32</f>
        <v>1102500</v>
      </c>
      <c r="C36" s="282">
        <f>+B36/B38</f>
        <v>0.66172935539457978</v>
      </c>
      <c r="D36" s="283">
        <f>+'[1]Monthly Summary'!$D$32</f>
        <v>5843312</v>
      </c>
      <c r="E36" s="284">
        <f>+D36/D38</f>
        <v>0.68647037145074818</v>
      </c>
    </row>
    <row r="37" spans="1:14" ht="13.5" thickBot="1" x14ac:dyDescent="0.25">
      <c r="A37" s="285" t="s">
        <v>143</v>
      </c>
      <c r="B37" s="286">
        <f>'[1]Monthly Summary'!$B$33</f>
        <v>563589</v>
      </c>
      <c r="C37" s="289">
        <f>+B37/B38</f>
        <v>0.33827064460542022</v>
      </c>
      <c r="D37" s="288">
        <f>+'[1]Monthly Summary'!$D$33</f>
        <v>2668799</v>
      </c>
      <c r="E37" s="289">
        <f>+D37/D38</f>
        <v>0.31352962854925176</v>
      </c>
      <c r="G37" s="221"/>
      <c r="M37" s="1"/>
    </row>
    <row r="38" spans="1:14" x14ac:dyDescent="0.2">
      <c r="B38" s="302">
        <f>+SUM(B36:B37)</f>
        <v>1666089</v>
      </c>
      <c r="D38" s="290">
        <f>SUM(D36:D37)</f>
        <v>8512111</v>
      </c>
      <c r="K38" s="295"/>
    </row>
    <row r="39" spans="1:14" x14ac:dyDescent="0.2">
      <c r="A39" s="294" t="s">
        <v>144</v>
      </c>
    </row>
    <row r="40" spans="1:14" x14ac:dyDescent="0.2">
      <c r="A40" s="164" t="s">
        <v>146</v>
      </c>
      <c r="I40" s="2"/>
    </row>
    <row r="41" spans="1:14" x14ac:dyDescent="0.2">
      <c r="N41" s="295"/>
    </row>
    <row r="42" spans="1:14" x14ac:dyDescent="0.2">
      <c r="G42" s="2"/>
      <c r="N42" s="295"/>
    </row>
    <row r="43" spans="1:14" x14ac:dyDescent="0.2">
      <c r="B43" s="221"/>
      <c r="J43" s="2"/>
      <c r="N43" s="295"/>
    </row>
    <row r="44" spans="1:14" x14ac:dyDescent="0.2">
      <c r="B44" s="221"/>
      <c r="D44" s="89"/>
      <c r="N44" s="295"/>
    </row>
    <row r="45" spans="1:14" x14ac:dyDescent="0.2">
      <c r="J45" s="2"/>
      <c r="N45" s="295"/>
    </row>
    <row r="46" spans="1:14" x14ac:dyDescent="0.2">
      <c r="B46" s="2"/>
      <c r="F46" s="221"/>
    </row>
    <row r="47" spans="1:14" x14ac:dyDescent="0.2">
      <c r="N47" s="295"/>
    </row>
    <row r="51" spans="12:12" x14ac:dyDescent="0.2">
      <c r="L51" s="29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E2 D4:D12">
    <cfRule type="expression" dxfId="6" priority="40" stopIfTrue="1">
      <formula>"*.*"</formula>
    </cfRule>
  </conditionalFormatting>
  <conditionalFormatting sqref="B4:E13">
    <cfRule type="expression" dxfId="5" priority="35" stopIfTrue="1">
      <formula>"*.*"</formula>
    </cfRule>
  </conditionalFormatting>
  <conditionalFormatting sqref="B24:E24">
    <cfRule type="expression" dxfId="4" priority="4" stopIfTrue="1">
      <formula>"*.*"</formula>
    </cfRule>
  </conditionalFormatting>
  <conditionalFormatting sqref="B15:I22">
    <cfRule type="expression" dxfId="3" priority="5" stopIfTrue="1">
      <formula>"*.*"</formula>
    </cfRule>
  </conditionalFormatting>
  <conditionalFormatting sqref="B26:I30">
    <cfRule type="expression" dxfId="2" priority="8" stopIfTrue="1">
      <formula>"*.*"</formula>
    </cfRule>
  </conditionalFormatting>
  <conditionalFormatting sqref="F2:I14">
    <cfRule type="expression" dxfId="1" priority="13" stopIfTrue="1">
      <formula>"*.*"</formula>
    </cfRule>
  </conditionalFormatting>
  <conditionalFormatting sqref="F24:I25">
    <cfRule type="expression" dxfId="0" priority="3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2026</oddHeader>
    <oddFooter>&amp;LPrinted on &amp;D&amp;RPage &amp;P of &amp;N</oddFooter>
  </headerFooter>
  <ignoredErrors>
    <ignoredError sqref="F22 F29 F18 F7:F8 I18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8"/>
  <sheetViews>
    <sheetView zoomScaleNormal="100" zoomScaleSheetLayoutView="100" workbookViewId="0">
      <selection activeCell="I8" sqref="I8"/>
    </sheetView>
  </sheetViews>
  <sheetFormatPr defaultRowHeight="12.75" x14ac:dyDescent="0.2"/>
  <cols>
    <col min="1" max="1" width="24.28515625" bestFit="1" customWidth="1"/>
    <col min="2" max="2" width="11.5703125" bestFit="1" customWidth="1"/>
    <col min="3" max="3" width="11.7109375" bestFit="1" customWidth="1"/>
    <col min="4" max="5" width="11.28515625" customWidth="1"/>
    <col min="6" max="6" width="11.7109375" bestFit="1" customWidth="1"/>
    <col min="7" max="14" width="11.28515625" customWidth="1"/>
    <col min="15" max="15" width="9.5703125" bestFit="1" customWidth="1"/>
    <col min="16" max="16" width="13.7109375" customWidth="1"/>
  </cols>
  <sheetData>
    <row r="1" spans="1:18" ht="39" thickBot="1" x14ac:dyDescent="0.25">
      <c r="A1" s="384">
        <v>46174</v>
      </c>
      <c r="B1" s="315" t="s">
        <v>18</v>
      </c>
      <c r="C1" s="352" t="s">
        <v>153</v>
      </c>
      <c r="D1" s="315" t="s">
        <v>157</v>
      </c>
      <c r="E1" s="315" t="s">
        <v>208</v>
      </c>
      <c r="F1" s="315" t="s">
        <v>49</v>
      </c>
      <c r="G1" s="315" t="s">
        <v>112</v>
      </c>
      <c r="H1" s="315" t="s">
        <v>176</v>
      </c>
      <c r="I1" s="315" t="s">
        <v>214</v>
      </c>
      <c r="J1" s="315" t="s">
        <v>211</v>
      </c>
      <c r="K1" s="315" t="s">
        <v>177</v>
      </c>
      <c r="L1" s="315" t="s">
        <v>182</v>
      </c>
      <c r="M1" s="315" t="s">
        <v>152</v>
      </c>
      <c r="N1" s="315" t="s">
        <v>47</v>
      </c>
      <c r="O1" s="315" t="s">
        <v>136</v>
      </c>
      <c r="P1" s="315" t="s">
        <v>21</v>
      </c>
    </row>
    <row r="2" spans="1:18" ht="15" x14ac:dyDescent="0.25">
      <c r="A2" s="487" t="s">
        <v>137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9"/>
    </row>
    <row r="3" spans="1:18" x14ac:dyDescent="0.2">
      <c r="A3" s="43" t="s">
        <v>29</v>
      </c>
      <c r="P3" s="37"/>
    </row>
    <row r="4" spans="1:18" x14ac:dyDescent="0.2">
      <c r="A4" s="43" t="s">
        <v>30</v>
      </c>
      <c r="B4" s="11">
        <f>[3]Delta!$KA$32</f>
        <v>95053</v>
      </c>
      <c r="C4" s="11">
        <f>[3]Pinnacle!$KA$32</f>
        <v>1744</v>
      </c>
      <c r="D4" s="11">
        <f>'[3]Sky West'!$KA$32</f>
        <v>12728</v>
      </c>
      <c r="E4" s="11">
        <f>[3]WestJet!$KA$32</f>
        <v>8277</v>
      </c>
      <c r="F4" s="11">
        <f>'[3]Sun Country'!$KA$32</f>
        <v>3340</v>
      </c>
      <c r="G4" s="11">
        <f>[3]Icelandair!$KA$32</f>
        <v>4607</v>
      </c>
      <c r="H4" s="11">
        <f>[3]KLM!$KA$32</f>
        <v>3488</v>
      </c>
      <c r="I4" s="11">
        <f>[3]Lufthansa!$KA$32</f>
        <v>2776</v>
      </c>
      <c r="J4" s="11">
        <f>[3]Jazz_AC!$KA$32</f>
        <v>3074</v>
      </c>
      <c r="K4" s="11">
        <f>'[3]Sky Regional'!$KA$32</f>
        <v>0</v>
      </c>
      <c r="L4" s="11">
        <f>'[3]Aer Lingus'!$KA$32</f>
        <v>4420</v>
      </c>
      <c r="M4" s="11">
        <f>'[3]Air France'!$KA$32</f>
        <v>6977</v>
      </c>
      <c r="N4" s="11">
        <f>[3]Frontier!$KA$32</f>
        <v>0</v>
      </c>
      <c r="O4" s="11">
        <f>'[3]Charter Misc'!$KA$32+[3]Ryan!$KA$32+[3]Omni!$KA$32</f>
        <v>0</v>
      </c>
      <c r="P4" s="197">
        <f>SUM(B4:O4)</f>
        <v>146484</v>
      </c>
    </row>
    <row r="5" spans="1:18" x14ac:dyDescent="0.2">
      <c r="A5" s="43" t="s">
        <v>31</v>
      </c>
      <c r="B5" s="7">
        <f>[3]Delta!$KA$33</f>
        <v>100572</v>
      </c>
      <c r="C5" s="7">
        <f>[3]Pinnacle!$KA$33</f>
        <v>1854</v>
      </c>
      <c r="D5" s="7">
        <f>'[3]Sky West'!$KA$33</f>
        <v>13128</v>
      </c>
      <c r="E5" s="7">
        <f>[3]WestJet!$KA$33</f>
        <v>9378</v>
      </c>
      <c r="F5" s="7">
        <f>'[3]Sun Country'!$KA$33</f>
        <v>3717</v>
      </c>
      <c r="G5" s="7">
        <f>[3]Icelandair!$KA$33</f>
        <v>4668</v>
      </c>
      <c r="H5" s="7">
        <f>[3]KLM!$KA$33</f>
        <v>4136</v>
      </c>
      <c r="I5" s="7">
        <f>[3]Lufthansa!$KA$33</f>
        <v>3354</v>
      </c>
      <c r="J5" s="7">
        <f>[3]Jazz_AC!$KA$33</f>
        <v>3302</v>
      </c>
      <c r="K5" s="7">
        <f>'[3]Sky Regional'!$KA$33</f>
        <v>0</v>
      </c>
      <c r="L5" s="7">
        <f>'[3]Aer Lingus'!$KA$33</f>
        <v>3195</v>
      </c>
      <c r="M5" s="7">
        <f>'[3]Air France'!$KA$33</f>
        <v>8434</v>
      </c>
      <c r="N5" s="7">
        <f>[3]Frontier!$KA$33</f>
        <v>0</v>
      </c>
      <c r="O5" s="7">
        <f>'[3]Charter Misc'!$KA$33++[3]Ryan!$KA$33+[3]Omni!$KA$33</f>
        <v>0</v>
      </c>
      <c r="P5" s="198">
        <f>SUM(B5:O5)</f>
        <v>155738</v>
      </c>
    </row>
    <row r="6" spans="1:18" ht="15" x14ac:dyDescent="0.25">
      <c r="A6" s="41" t="s">
        <v>7</v>
      </c>
      <c r="B6" s="23">
        <f t="shared" ref="B6:O6" si="0">SUM(B4:B5)</f>
        <v>195625</v>
      </c>
      <c r="C6" s="23">
        <f t="shared" si="0"/>
        <v>3598</v>
      </c>
      <c r="D6" s="23">
        <f t="shared" si="0"/>
        <v>25856</v>
      </c>
      <c r="E6" s="23">
        <f t="shared" ref="E6" si="1">SUM(E4:E5)</f>
        <v>17655</v>
      </c>
      <c r="F6" s="23">
        <f t="shared" si="0"/>
        <v>7057</v>
      </c>
      <c r="G6" s="23">
        <f t="shared" si="0"/>
        <v>9275</v>
      </c>
      <c r="H6" s="23">
        <f t="shared" ref="H6:I6" si="2">SUM(H4:H5)</f>
        <v>7624</v>
      </c>
      <c r="I6" s="23">
        <f t="shared" si="2"/>
        <v>6130</v>
      </c>
      <c r="J6" s="23">
        <f t="shared" si="0"/>
        <v>6376</v>
      </c>
      <c r="K6" s="23">
        <f t="shared" ref="K6" si="3">SUM(K4:K5)</f>
        <v>0</v>
      </c>
      <c r="L6" s="23">
        <f t="shared" ref="L6" si="4">SUM(L4:L5)</f>
        <v>7615</v>
      </c>
      <c r="M6" s="23">
        <f t="shared" si="0"/>
        <v>15411</v>
      </c>
      <c r="N6" s="23">
        <f t="shared" si="0"/>
        <v>0</v>
      </c>
      <c r="O6" s="23">
        <f t="shared" si="0"/>
        <v>0</v>
      </c>
      <c r="P6" s="199">
        <f>SUM(B6:O6)</f>
        <v>302222</v>
      </c>
    </row>
    <row r="7" spans="1:18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97"/>
    </row>
    <row r="8" spans="1:18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97">
        <f>SUM(B8:O8)</f>
        <v>0</v>
      </c>
    </row>
    <row r="9" spans="1:18" x14ac:dyDescent="0.2">
      <c r="A9" s="43" t="s">
        <v>30</v>
      </c>
      <c r="B9" s="11">
        <f>[3]Delta!$KA$37</f>
        <v>2981</v>
      </c>
      <c r="C9" s="11">
        <f>[3]Pinnacle!$KA$37</f>
        <v>35</v>
      </c>
      <c r="D9" s="11">
        <f>'[3]Sky West'!$KA$37</f>
        <v>227</v>
      </c>
      <c r="E9" s="11">
        <f>[3]WestJet!$KA$37</f>
        <v>1</v>
      </c>
      <c r="F9" s="11">
        <f>'[3]Sun Country'!$KA$37</f>
        <v>75</v>
      </c>
      <c r="G9" s="11">
        <f>[3]Icelandair!$KA$37</f>
        <v>16</v>
      </c>
      <c r="H9" s="11">
        <f>[3]KLM!$KA$37</f>
        <v>0</v>
      </c>
      <c r="I9" s="11">
        <f>[3]Lufthansa!$KA$37</f>
        <v>30</v>
      </c>
      <c r="J9" s="11">
        <f>[3]Jazz_AC!$KA$37</f>
        <v>64</v>
      </c>
      <c r="K9" s="11">
        <f>'[3]Sky Regional'!$KA$37</f>
        <v>0</v>
      </c>
      <c r="L9" s="11">
        <f>'[3]Aer Lingus'!$KA$37</f>
        <v>20</v>
      </c>
      <c r="M9" s="11">
        <f>'[3]Air France'!$KA$37</f>
        <v>12</v>
      </c>
      <c r="N9" s="11">
        <f>[3]Frontier!$KA$37</f>
        <v>0</v>
      </c>
      <c r="O9" s="11">
        <f>'[3]Charter Misc'!$KA$37+[3]Ryan!$KA$37+[3]Omni!$KA$37</f>
        <v>0</v>
      </c>
      <c r="P9" s="197">
        <f>SUM(B9:O9)</f>
        <v>3461</v>
      </c>
    </row>
    <row r="10" spans="1:18" x14ac:dyDescent="0.2">
      <c r="A10" s="43" t="s">
        <v>33</v>
      </c>
      <c r="B10" s="7">
        <f>[3]Delta!$KA$38</f>
        <v>3071</v>
      </c>
      <c r="C10" s="7">
        <f>[3]Pinnacle!$KA$38</f>
        <v>32</v>
      </c>
      <c r="D10" s="7">
        <f>'[3]Sky West'!$KA$38</f>
        <v>222</v>
      </c>
      <c r="E10" s="7">
        <f>[3]WestJet!$KA$38</f>
        <v>1</v>
      </c>
      <c r="F10" s="7">
        <f>'[3]Sun Country'!$KA$38</f>
        <v>92</v>
      </c>
      <c r="G10" s="7">
        <f>[3]Icelandair!$KA$38</f>
        <v>14</v>
      </c>
      <c r="H10" s="7">
        <f>[3]KLM!$KA$38</f>
        <v>19</v>
      </c>
      <c r="I10" s="7">
        <f>[3]Lufthansa!$KA$38</f>
        <v>29</v>
      </c>
      <c r="J10" s="7">
        <f>[3]Jazz_AC!$KA$38</f>
        <v>46</v>
      </c>
      <c r="K10" s="7">
        <f>'[3]Sky Regional'!$KA$38</f>
        <v>0</v>
      </c>
      <c r="L10" s="7">
        <f>'[3]Aer Lingus'!$KA$38</f>
        <v>12</v>
      </c>
      <c r="M10" s="7">
        <f>'[3]Air France'!$KA$38</f>
        <v>9</v>
      </c>
      <c r="N10" s="7">
        <f>[3]Frontier!$KA$38</f>
        <v>0</v>
      </c>
      <c r="O10" s="7">
        <f>'[3]Charter Misc'!$KA$38+[3]Ryan!$KA$38+[3]Omni!$KA$38</f>
        <v>0</v>
      </c>
      <c r="P10" s="198">
        <f>SUM(B10:O10)</f>
        <v>3547</v>
      </c>
    </row>
    <row r="11" spans="1:18" ht="15.75" thickBot="1" x14ac:dyDescent="0.3">
      <c r="A11" s="44" t="s">
        <v>34</v>
      </c>
      <c r="B11" s="200">
        <f t="shared" ref="B11:F11" si="5">SUM(B9:B10)</f>
        <v>6052</v>
      </c>
      <c r="C11" s="200">
        <f t="shared" si="5"/>
        <v>67</v>
      </c>
      <c r="D11" s="200">
        <f t="shared" si="5"/>
        <v>449</v>
      </c>
      <c r="E11" s="200">
        <f t="shared" ref="E11" si="6">SUM(E9:E10)</f>
        <v>2</v>
      </c>
      <c r="F11" s="200">
        <f t="shared" si="5"/>
        <v>167</v>
      </c>
      <c r="G11" s="200">
        <f t="shared" ref="G11:O11" si="7">SUM(G9:G10)</f>
        <v>30</v>
      </c>
      <c r="H11" s="200">
        <f t="shared" ref="H11:I11" si="8">SUM(H9:H10)</f>
        <v>19</v>
      </c>
      <c r="I11" s="200">
        <f t="shared" si="8"/>
        <v>59</v>
      </c>
      <c r="J11" s="200">
        <f t="shared" si="7"/>
        <v>110</v>
      </c>
      <c r="K11" s="200">
        <f t="shared" ref="K11" si="9">SUM(K9:K10)</f>
        <v>0</v>
      </c>
      <c r="L11" s="200">
        <f t="shared" ref="L11" si="10">SUM(L9:L10)</f>
        <v>32</v>
      </c>
      <c r="M11" s="200">
        <f t="shared" si="7"/>
        <v>21</v>
      </c>
      <c r="N11" s="200">
        <f t="shared" si="7"/>
        <v>0</v>
      </c>
      <c r="O11" s="200">
        <f t="shared" si="7"/>
        <v>0</v>
      </c>
      <c r="P11" s="201">
        <f>SUM(B11:O11)</f>
        <v>7008</v>
      </c>
      <c r="R11" s="221"/>
    </row>
    <row r="12" spans="1:18" ht="15" x14ac:dyDescent="0.25">
      <c r="A12" s="274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1"/>
    </row>
    <row r="13" spans="1:18" ht="39" thickBot="1" x14ac:dyDescent="0.25">
      <c r="B13" s="316" t="s">
        <v>18</v>
      </c>
      <c r="C13" s="352" t="s">
        <v>153</v>
      </c>
      <c r="D13" s="315" t="s">
        <v>157</v>
      </c>
      <c r="E13" s="315" t="s">
        <v>208</v>
      </c>
      <c r="F13" s="315" t="s">
        <v>49</v>
      </c>
      <c r="G13" s="315" t="s">
        <v>112</v>
      </c>
      <c r="H13" s="315" t="s">
        <v>176</v>
      </c>
      <c r="I13" s="315" t="s">
        <v>214</v>
      </c>
      <c r="J13" s="315" t="s">
        <v>211</v>
      </c>
      <c r="K13" s="315" t="s">
        <v>177</v>
      </c>
      <c r="L13" s="315" t="s">
        <v>182</v>
      </c>
      <c r="M13" s="315" t="s">
        <v>152</v>
      </c>
      <c r="N13" s="315" t="s">
        <v>47</v>
      </c>
      <c r="O13" s="315" t="s">
        <v>136</v>
      </c>
      <c r="P13" s="315" t="s">
        <v>21</v>
      </c>
    </row>
    <row r="14" spans="1:18" ht="15" x14ac:dyDescent="0.25">
      <c r="A14" s="490" t="s">
        <v>138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2"/>
    </row>
    <row r="15" spans="1:18" x14ac:dyDescent="0.2">
      <c r="A15" s="43" t="s">
        <v>29</v>
      </c>
      <c r="P15" s="37"/>
    </row>
    <row r="16" spans="1:18" x14ac:dyDescent="0.2">
      <c r="A16" s="43"/>
      <c r="P16" s="37"/>
    </row>
    <row r="17" spans="1:19" x14ac:dyDescent="0.2">
      <c r="A17" s="43" t="s">
        <v>30</v>
      </c>
      <c r="B17" s="11">
        <f>SUM([3]Delta!$JV$32:$KA$32)</f>
        <v>620021</v>
      </c>
      <c r="C17" s="11">
        <f>SUM([3]Pinnacle!$JV$32:$KA$32)</f>
        <v>11813</v>
      </c>
      <c r="D17" s="11">
        <f>SUM('[3]Sky West'!$JV$32:$KA$32)</f>
        <v>58986</v>
      </c>
      <c r="E17" s="11">
        <f>SUM([3]WestJet!$JV$32:$KA$32)</f>
        <v>31600</v>
      </c>
      <c r="F17" s="11">
        <f>SUM('[3]Sun Country'!$JV$32:$KA$32)</f>
        <v>129170</v>
      </c>
      <c r="G17" s="11">
        <f>SUM([3]Icelandair!$JV$32:$KA$32)</f>
        <v>17037</v>
      </c>
      <c r="H17" s="11">
        <f>SUM([3]KLM!$JV$32:$KA$32)</f>
        <v>10223</v>
      </c>
      <c r="I17" s="11">
        <f>SUM([3]Lufthansa!$JV$32:$KA$32)</f>
        <v>4605</v>
      </c>
      <c r="J17" s="11">
        <f>SUM([3]Jazz_AC!$JV$32:$KA$32)</f>
        <v>14230</v>
      </c>
      <c r="K17" s="11">
        <f>SUM('[3]Sky Regional'!$JV$32:$KA$32)</f>
        <v>0</v>
      </c>
      <c r="L17" s="11">
        <f>SUM('[3]Aer Lingus'!$JV$32:$KA$32)</f>
        <v>16038</v>
      </c>
      <c r="M17" s="11">
        <f>SUM('[3]Air France'!$JV$32:$KA$32)</f>
        <v>12243</v>
      </c>
      <c r="N17" s="11">
        <f>SUM([3]Frontier!$JV$32:$KA$32)</f>
        <v>0</v>
      </c>
      <c r="O17" s="11">
        <f>SUM('[3]Charter Misc'!$JV$32:$KA$32)+SUM([3]Ryan!$JV$32:$KA$32)+SUM([3]Omni!$JV$32:$KA$32)</f>
        <v>60</v>
      </c>
      <c r="P17" s="197">
        <f>SUM(B17:O17)</f>
        <v>926026</v>
      </c>
    </row>
    <row r="18" spans="1:19" x14ac:dyDescent="0.2">
      <c r="A18" s="43" t="s">
        <v>31</v>
      </c>
      <c r="B18" s="7">
        <f>SUM([3]Delta!$JV$33:$KA$33)</f>
        <v>624768</v>
      </c>
      <c r="C18" s="7">
        <f>SUM([3]Pinnacle!$JV$33:$KA$33)</f>
        <v>11556</v>
      </c>
      <c r="D18" s="7">
        <f>SUM('[3]Sky West'!$JV$33:$KA$33)</f>
        <v>61400</v>
      </c>
      <c r="E18" s="7">
        <f>SUM([3]WestJet!$JV$33:$KA$33)</f>
        <v>35913</v>
      </c>
      <c r="F18" s="7">
        <f>SUM('[3]Sun Country'!$JV$33:$KA$33)</f>
        <v>125348</v>
      </c>
      <c r="G18" s="7">
        <f>SUM([3]Icelandair!$JV$33:$KA$33)</f>
        <v>18190</v>
      </c>
      <c r="H18" s="7">
        <f>SUM([3]KLM!$JV$33:$KA$33)</f>
        <v>10941</v>
      </c>
      <c r="I18" s="7">
        <f>SUM([3]Lufthansa!$JV$33:$KA$33)</f>
        <v>5591</v>
      </c>
      <c r="J18" s="7">
        <f>SUM([3]Jazz_AC!$JV$33:$KA$33)</f>
        <v>14549</v>
      </c>
      <c r="K18" s="7">
        <f>SUM('[3]Sky Regional'!$JV$33:$KA$33)</f>
        <v>0</v>
      </c>
      <c r="L18" s="7">
        <f>SUM('[3]Aer Lingus'!$JV$33:$KA$33)</f>
        <v>14187</v>
      </c>
      <c r="M18" s="7">
        <f>SUM('[3]Air France'!$JV$33:$KA$33)</f>
        <v>15358</v>
      </c>
      <c r="N18" s="7">
        <f>SUM([3]Frontier!$JV$33:$KA$33)</f>
        <v>0</v>
      </c>
      <c r="O18" s="7">
        <f>SUM('[3]Charter Misc'!$JV$33:$KA$33)++SUM([3]Ryan!$JV$33:$KA$33)+SUM([3]Omni!$JV$33:$KA$33)</f>
        <v>0</v>
      </c>
      <c r="P18" s="198">
        <f>SUM(B18:O18)</f>
        <v>937801</v>
      </c>
    </row>
    <row r="19" spans="1:19" ht="15" x14ac:dyDescent="0.25">
      <c r="A19" s="41" t="s">
        <v>7</v>
      </c>
      <c r="B19" s="23">
        <f t="shared" ref="B19:O19" si="11">SUM(B17:B18)</f>
        <v>1244789</v>
      </c>
      <c r="C19" s="23">
        <f t="shared" si="11"/>
        <v>23369</v>
      </c>
      <c r="D19" s="23">
        <f t="shared" si="11"/>
        <v>120386</v>
      </c>
      <c r="E19" s="23">
        <f t="shared" ref="E19" si="12">SUM(E17:E18)</f>
        <v>67513</v>
      </c>
      <c r="F19" s="23">
        <f t="shared" si="11"/>
        <v>254518</v>
      </c>
      <c r="G19" s="23">
        <f t="shared" si="11"/>
        <v>35227</v>
      </c>
      <c r="H19" s="23">
        <f t="shared" ref="H19:I19" si="13">SUM(H17:H18)</f>
        <v>21164</v>
      </c>
      <c r="I19" s="23">
        <f t="shared" si="13"/>
        <v>10196</v>
      </c>
      <c r="J19" s="23">
        <f t="shared" si="11"/>
        <v>28779</v>
      </c>
      <c r="K19" s="23">
        <f t="shared" ref="K19" si="14">SUM(K17:K18)</f>
        <v>0</v>
      </c>
      <c r="L19" s="23">
        <f t="shared" ref="L19" si="15">SUM(L17:L18)</f>
        <v>30225</v>
      </c>
      <c r="M19" s="23">
        <f t="shared" si="11"/>
        <v>27601</v>
      </c>
      <c r="N19" s="23">
        <f t="shared" si="11"/>
        <v>0</v>
      </c>
      <c r="O19" s="23">
        <f t="shared" si="11"/>
        <v>60</v>
      </c>
      <c r="P19" s="199">
        <f>SUM(B19:O19)</f>
        <v>1863827</v>
      </c>
      <c r="S19" s="221"/>
    </row>
    <row r="20" spans="1:19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97"/>
      <c r="S20" s="89"/>
    </row>
    <row r="21" spans="1:19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97">
        <f>SUM(B21:O21)</f>
        <v>0</v>
      </c>
    </row>
    <row r="22" spans="1:19" x14ac:dyDescent="0.2">
      <c r="A22" s="43" t="s">
        <v>30</v>
      </c>
      <c r="B22" s="11">
        <f>SUM([3]Delta!$JV$37:$KA$37)</f>
        <v>18976</v>
      </c>
      <c r="C22" s="11">
        <f>SUM([3]Pinnacle!$JV$37:$KA$37)</f>
        <v>226</v>
      </c>
      <c r="D22" s="11">
        <f>SUM('[3]Sky West'!$JV$37:$KA$37)</f>
        <v>971</v>
      </c>
      <c r="E22" s="11">
        <f>SUM([3]WestJet!$JV$37:$KA$37)</f>
        <v>6</v>
      </c>
      <c r="F22" s="11">
        <f>SUM('[3]Sun Country'!$JV$37:$KA$37)</f>
        <v>2212</v>
      </c>
      <c r="G22" s="11">
        <f>SUM([3]Icelandair!$JV$37:$KA$37)</f>
        <v>201</v>
      </c>
      <c r="H22" s="11">
        <f>SUM([3]KLM!$JV$37:$KA$37)</f>
        <v>8</v>
      </c>
      <c r="I22" s="11">
        <f>SUM([3]Lufthansa!$JV$37:$KA$37)</f>
        <v>59</v>
      </c>
      <c r="J22" s="11">
        <f>SUM([3]Jazz_AC!$JV$37:$KA$37)</f>
        <v>328</v>
      </c>
      <c r="K22" s="11">
        <f>SUM('[3]Sky Regional'!$JV$37:$KA$37)</f>
        <v>0</v>
      </c>
      <c r="L22" s="11">
        <f>SUM('[3]Aer Lingus'!$JV$37:$KA$37)</f>
        <v>75</v>
      </c>
      <c r="M22" s="11">
        <f>SUM('[3]Air France'!$JV$37:$KA$37)</f>
        <v>20</v>
      </c>
      <c r="N22" s="11">
        <f>SUM([3]Frontier!$JV$37:$KA$37)</f>
        <v>0</v>
      </c>
      <c r="O22" s="11">
        <f>SUM('[3]Charter Misc'!$JV$37:$KA$37)++SUM([3]Ryan!$JV$37:$KA$37)+SUM([3]Omni!$JV$37:$KA$37)</f>
        <v>0</v>
      </c>
      <c r="P22" s="197">
        <f>SUM(B22:O22)</f>
        <v>23082</v>
      </c>
    </row>
    <row r="23" spans="1:19" x14ac:dyDescent="0.2">
      <c r="A23" s="43" t="s">
        <v>33</v>
      </c>
      <c r="B23" s="7">
        <f>SUM([3]Delta!$JV$38:$KA$38)</f>
        <v>19092</v>
      </c>
      <c r="C23" s="7">
        <f>SUM([3]Pinnacle!$JV$38:$KA$38)</f>
        <v>196</v>
      </c>
      <c r="D23" s="7">
        <f>SUM('[3]Sky West'!$JV$38:$KA$38)</f>
        <v>961</v>
      </c>
      <c r="E23" s="7">
        <f>SUM([3]WestJet!$JV$38:$KA$38)</f>
        <v>6</v>
      </c>
      <c r="F23" s="7">
        <f>SUM('[3]Sun Country'!$JV$38:$KA$38)</f>
        <v>2151</v>
      </c>
      <c r="G23" s="7">
        <f>SUM([3]Icelandair!$JV$38:$KA$38)</f>
        <v>184</v>
      </c>
      <c r="H23" s="7">
        <f>SUM([3]KLM!$JV$38:$KA$38)</f>
        <v>37</v>
      </c>
      <c r="I23" s="7">
        <f>SUM([3]Lufthansa!$JV$38:$KA$38)</f>
        <v>63</v>
      </c>
      <c r="J23" s="7">
        <f>SUM([3]Jazz_AC!$JV$38:$KA$38)</f>
        <v>350</v>
      </c>
      <c r="K23" s="7">
        <f>SUM('[3]Sky Regional'!$JV$38:$KA$38)</f>
        <v>0</v>
      </c>
      <c r="L23" s="7">
        <f>SUM('[3]Aer Lingus'!$JV$38:$KA$38)</f>
        <v>68</v>
      </c>
      <c r="M23" s="7">
        <f>SUM('[3]Air France'!$JV$38:$KA$38)</f>
        <v>9</v>
      </c>
      <c r="N23" s="7">
        <f>SUM([3]Frontier!$JV$38:$KA$38)</f>
        <v>0</v>
      </c>
      <c r="O23" s="7">
        <f>SUM('[3]Charter Misc'!$JV$38:$KA$38)++SUM([3]Ryan!$JV$38:$KA$38)+SUM([3]Omni!$JV$38:$KA$38)</f>
        <v>0</v>
      </c>
      <c r="P23" s="198">
        <f>SUM(B23:O23)</f>
        <v>23117</v>
      </c>
    </row>
    <row r="24" spans="1:19" ht="15.75" thickBot="1" x14ac:dyDescent="0.3">
      <c r="A24" s="44" t="s">
        <v>34</v>
      </c>
      <c r="B24" s="200">
        <f t="shared" ref="B24:O24" si="16">SUM(B22:B23)</f>
        <v>38068</v>
      </c>
      <c r="C24" s="200">
        <f t="shared" si="16"/>
        <v>422</v>
      </c>
      <c r="D24" s="200">
        <f t="shared" si="16"/>
        <v>1932</v>
      </c>
      <c r="E24" s="200">
        <f t="shared" ref="E24" si="17">SUM(E22:E23)</f>
        <v>12</v>
      </c>
      <c r="F24" s="200">
        <f t="shared" si="16"/>
        <v>4363</v>
      </c>
      <c r="G24" s="200">
        <f t="shared" si="16"/>
        <v>385</v>
      </c>
      <c r="H24" s="200">
        <f t="shared" ref="H24:I24" si="18">SUM(H22:H23)</f>
        <v>45</v>
      </c>
      <c r="I24" s="200">
        <f t="shared" si="18"/>
        <v>122</v>
      </c>
      <c r="J24" s="200">
        <f t="shared" si="16"/>
        <v>678</v>
      </c>
      <c r="K24" s="200">
        <f t="shared" ref="K24" si="19">SUM(K22:K23)</f>
        <v>0</v>
      </c>
      <c r="L24" s="200">
        <f t="shared" ref="L24" si="20">SUM(L22:L23)</f>
        <v>143</v>
      </c>
      <c r="M24" s="200">
        <f t="shared" si="16"/>
        <v>29</v>
      </c>
      <c r="N24" s="200">
        <f t="shared" si="16"/>
        <v>0</v>
      </c>
      <c r="O24" s="200">
        <f t="shared" si="16"/>
        <v>0</v>
      </c>
      <c r="P24" s="201">
        <f>SUM(B24:O24)</f>
        <v>46199</v>
      </c>
    </row>
    <row r="26" spans="1:19" ht="39" thickBot="1" x14ac:dyDescent="0.25">
      <c r="B26" s="316" t="s">
        <v>18</v>
      </c>
      <c r="C26" s="352" t="s">
        <v>153</v>
      </c>
      <c r="D26" s="315" t="s">
        <v>157</v>
      </c>
      <c r="E26" s="315" t="s">
        <v>208</v>
      </c>
      <c r="F26" s="315" t="s">
        <v>49</v>
      </c>
      <c r="G26" s="315" t="s">
        <v>112</v>
      </c>
      <c r="H26" s="315" t="s">
        <v>176</v>
      </c>
      <c r="I26" s="315" t="s">
        <v>214</v>
      </c>
      <c r="J26" s="315" t="s">
        <v>211</v>
      </c>
      <c r="K26" s="315" t="s">
        <v>177</v>
      </c>
      <c r="L26" s="315" t="s">
        <v>182</v>
      </c>
      <c r="M26" s="315" t="s">
        <v>152</v>
      </c>
      <c r="N26" s="315" t="s">
        <v>47</v>
      </c>
      <c r="O26" s="315" t="s">
        <v>136</v>
      </c>
      <c r="P26" s="315" t="s">
        <v>21</v>
      </c>
    </row>
    <row r="27" spans="1:19" ht="15" x14ac:dyDescent="0.25">
      <c r="A27" s="493" t="s">
        <v>139</v>
      </c>
      <c r="B27" s="494"/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4"/>
      <c r="O27" s="494"/>
      <c r="P27" s="495"/>
    </row>
    <row r="28" spans="1:19" x14ac:dyDescent="0.2">
      <c r="A28" s="43" t="s">
        <v>22</v>
      </c>
      <c r="B28" s="11">
        <f>[3]Delta!$KA$15</f>
        <v>493</v>
      </c>
      <c r="C28" s="11">
        <f>[3]Pinnacle!$KA$15</f>
        <v>29</v>
      </c>
      <c r="D28" s="11">
        <f>'[3]Sky West'!$KA$15</f>
        <v>204</v>
      </c>
      <c r="E28" s="11">
        <f>[3]WestJet!$KA$15</f>
        <v>101</v>
      </c>
      <c r="F28" s="11">
        <f>'[3]Sun Country'!$KA$15</f>
        <v>28</v>
      </c>
      <c r="G28" s="11">
        <f>[3]Icelandair!$KA$15</f>
        <v>30</v>
      </c>
      <c r="H28" s="11">
        <f>[3]KLM!$KA$15</f>
        <v>19</v>
      </c>
      <c r="I28" s="11">
        <f>[3]Lufthansa!$KA$15</f>
        <v>14</v>
      </c>
      <c r="J28" s="11">
        <f>[3]Jazz_AC!$KA$15</f>
        <v>51</v>
      </c>
      <c r="K28" s="11">
        <f>'[3]Sky Regional'!$KA$15</f>
        <v>0</v>
      </c>
      <c r="L28" s="11">
        <f>'[3]Aer Lingus'!$KA$15</f>
        <v>30</v>
      </c>
      <c r="M28" s="11">
        <f>'[3]Air France'!$KA$15</f>
        <v>29</v>
      </c>
      <c r="N28" s="11">
        <f>[3]Frontier!$KA$15</f>
        <v>0</v>
      </c>
      <c r="O28" s="11">
        <f>'[3]Charter Misc'!$KA$15+[3]Ryan!$KA$15+[3]Omni!$KA$15</f>
        <v>0</v>
      </c>
      <c r="P28" s="197">
        <f>SUM(B28:O28)</f>
        <v>1028</v>
      </c>
    </row>
    <row r="29" spans="1:19" x14ac:dyDescent="0.2">
      <c r="A29" s="43" t="s">
        <v>23</v>
      </c>
      <c r="B29" s="11">
        <f>[3]Delta!$KA$16</f>
        <v>485</v>
      </c>
      <c r="C29" s="11">
        <f>[3]Pinnacle!$KA$16</f>
        <v>30</v>
      </c>
      <c r="D29" s="11">
        <f>'[3]Sky West'!$KA$16</f>
        <v>204</v>
      </c>
      <c r="E29" s="11">
        <f>[3]WestJet!$KA$16</f>
        <v>101</v>
      </c>
      <c r="F29" s="11">
        <f>'[3]Sun Country'!$KA$16</f>
        <v>26</v>
      </c>
      <c r="G29" s="11">
        <f>[3]Icelandair!$KA$16</f>
        <v>30</v>
      </c>
      <c r="H29" s="11">
        <f>[3]KLM!$KA$16</f>
        <v>19</v>
      </c>
      <c r="I29" s="11">
        <f>[3]Lufthansa!$KA$16</f>
        <v>14</v>
      </c>
      <c r="J29" s="11">
        <f>[3]Jazz_AC!$KA$16</f>
        <v>51</v>
      </c>
      <c r="K29" s="11">
        <f>'[3]Sky Regional'!$KA$16</f>
        <v>0</v>
      </c>
      <c r="L29" s="11">
        <f>'[3]Aer Lingus'!$KA$16</f>
        <v>30</v>
      </c>
      <c r="M29" s="11">
        <f>'[3]Air France'!$KA$16</f>
        <v>29</v>
      </c>
      <c r="N29" s="11">
        <f>[3]Frontier!$KA$16</f>
        <v>0</v>
      </c>
      <c r="O29" s="11">
        <f>'[3]Charter Misc'!$KA$16+[3]Ryan!$KA$16+[3]Omni!$KA$16</f>
        <v>0</v>
      </c>
      <c r="P29" s="197">
        <f>SUM(B29:O29)</f>
        <v>1019</v>
      </c>
    </row>
    <row r="30" spans="1:19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97"/>
    </row>
    <row r="31" spans="1:19" ht="15.75" thickBot="1" x14ac:dyDescent="0.3">
      <c r="A31" s="44" t="s">
        <v>28</v>
      </c>
      <c r="B31" s="272">
        <f t="shared" ref="B31:J31" si="21">SUM(B28:B29)</f>
        <v>978</v>
      </c>
      <c r="C31" s="272">
        <f t="shared" si="21"/>
        <v>59</v>
      </c>
      <c r="D31" s="272">
        <f>SUM(D28:D29)</f>
        <v>408</v>
      </c>
      <c r="E31" s="272">
        <f>SUM(E28:E29)</f>
        <v>202</v>
      </c>
      <c r="F31" s="272">
        <f t="shared" si="21"/>
        <v>54</v>
      </c>
      <c r="G31" s="272">
        <f t="shared" si="21"/>
        <v>60</v>
      </c>
      <c r="H31" s="272">
        <f t="shared" ref="H31:I31" si="22">SUM(H28:H29)</f>
        <v>38</v>
      </c>
      <c r="I31" s="272">
        <f t="shared" si="22"/>
        <v>28</v>
      </c>
      <c r="J31" s="272">
        <f t="shared" si="21"/>
        <v>102</v>
      </c>
      <c r="K31" s="272">
        <f t="shared" ref="K31" si="23">SUM(K28:K29)</f>
        <v>0</v>
      </c>
      <c r="L31" s="272">
        <f>SUM(L28:L29)</f>
        <v>60</v>
      </c>
      <c r="M31" s="272">
        <f>SUM(M28:M29)</f>
        <v>58</v>
      </c>
      <c r="N31" s="272">
        <f t="shared" ref="N31" si="24">SUM(N28:N29)</f>
        <v>0</v>
      </c>
      <c r="O31" s="272">
        <f>SUM(O28:O29)</f>
        <v>0</v>
      </c>
      <c r="P31" s="273">
        <f>SUM(B31:O31)</f>
        <v>2047</v>
      </c>
    </row>
    <row r="32" spans="1:19" ht="15" x14ac:dyDescent="0.25">
      <c r="A32" s="274"/>
    </row>
    <row r="33" spans="1:16" ht="39" thickBot="1" x14ac:dyDescent="0.25">
      <c r="B33" s="316" t="s">
        <v>18</v>
      </c>
      <c r="C33" s="352" t="s">
        <v>153</v>
      </c>
      <c r="D33" s="315" t="s">
        <v>157</v>
      </c>
      <c r="E33" s="315" t="s">
        <v>208</v>
      </c>
      <c r="F33" s="315" t="s">
        <v>49</v>
      </c>
      <c r="G33" s="315" t="s">
        <v>112</v>
      </c>
      <c r="H33" s="315" t="s">
        <v>176</v>
      </c>
      <c r="I33" s="315" t="s">
        <v>214</v>
      </c>
      <c r="J33" s="315" t="s">
        <v>211</v>
      </c>
      <c r="K33" s="315" t="s">
        <v>177</v>
      </c>
      <c r="L33" s="315" t="s">
        <v>182</v>
      </c>
      <c r="M33" s="315" t="s">
        <v>152</v>
      </c>
      <c r="N33" s="315" t="s">
        <v>47</v>
      </c>
      <c r="O33" s="315" t="s">
        <v>136</v>
      </c>
      <c r="P33" s="315" t="s">
        <v>21</v>
      </c>
    </row>
    <row r="34" spans="1:16" ht="15" x14ac:dyDescent="0.25">
      <c r="A34" s="496" t="s">
        <v>140</v>
      </c>
      <c r="B34" s="497"/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8"/>
    </row>
    <row r="35" spans="1:16" x14ac:dyDescent="0.2">
      <c r="A35" s="43" t="s">
        <v>22</v>
      </c>
      <c r="B35" s="11">
        <f>SUM([3]Delta!$JV$15:$KA$15)</f>
        <v>3567</v>
      </c>
      <c r="C35" s="11">
        <f>SUM([3]Pinnacle!$JV$15:$KA$15)</f>
        <v>203</v>
      </c>
      <c r="D35" s="11">
        <f>SUM('[3]Sky West'!$JV$15:$KA$15)</f>
        <v>955</v>
      </c>
      <c r="E35" s="11">
        <f>SUM([3]WestJet!$JV$15:$KA$15)</f>
        <v>445</v>
      </c>
      <c r="F35" s="11">
        <f>SUM('[3]Sun Country'!$JV$15:$KA$15)</f>
        <v>896</v>
      </c>
      <c r="G35" s="11">
        <f>SUM([3]Icelandair!$JV$15:$KA$15)</f>
        <v>130</v>
      </c>
      <c r="H35" s="11">
        <f>SUM([3]KLM!$JV$15:$KA$15)</f>
        <v>49</v>
      </c>
      <c r="I35" s="11">
        <f>SUM([3]Lufthansa!$JV$15:$KA$15)</f>
        <v>24</v>
      </c>
      <c r="J35" s="11">
        <f>SUM([3]Jazz_AC!$JV$15:$KA$15)</f>
        <v>255</v>
      </c>
      <c r="K35" s="11">
        <f>SUM('[3]Sky Regional'!$JV$15:$KA$15)</f>
        <v>0</v>
      </c>
      <c r="L35" s="11">
        <f>SUM('[3]Aer Lingus'!$JV$15:$KA$15)</f>
        <v>143</v>
      </c>
      <c r="M35" s="11">
        <f>SUM('[3]Air France'!$JV$15:$KA$15)</f>
        <v>56</v>
      </c>
      <c r="N35" s="11">
        <f>SUM([3]Frontier!$JV$15:$KA$15)</f>
        <v>0</v>
      </c>
      <c r="O35" s="11">
        <f>SUM('[3]Charter Misc'!$JV$15:$KA$15)+SUM([3]Ryan!$JV$15:$KA$15)+SUM([3]Omni!$JV$15:$KA$15)</f>
        <v>1</v>
      </c>
      <c r="P35" s="197">
        <f>SUM(B35:O35)</f>
        <v>6724</v>
      </c>
    </row>
    <row r="36" spans="1:16" x14ac:dyDescent="0.2">
      <c r="A36" s="43" t="s">
        <v>23</v>
      </c>
      <c r="B36" s="11">
        <f>SUM([3]Delta!$JV$16:$KA$16)</f>
        <v>3558</v>
      </c>
      <c r="C36" s="11">
        <f>SUM([3]Pinnacle!$JV$16:$KA$16)</f>
        <v>205</v>
      </c>
      <c r="D36" s="11">
        <f>SUM('[3]Sky West'!$JV$16:$KA$16)</f>
        <v>953</v>
      </c>
      <c r="E36" s="11">
        <f>SUM([3]WestJet!$JV$16:$KA$16)</f>
        <v>445</v>
      </c>
      <c r="F36" s="11">
        <f>SUM('[3]Sun Country'!$JV$16:$KA$16)</f>
        <v>894</v>
      </c>
      <c r="G36" s="11">
        <f>SUM([3]Icelandair!$JV$16:$KA$16)</f>
        <v>130</v>
      </c>
      <c r="H36" s="11">
        <f>SUM([3]KLM!$JV$16:$KA$16)</f>
        <v>49</v>
      </c>
      <c r="I36" s="11">
        <f>SUM([3]Lufthansa!$JV$16:$KA$16)</f>
        <v>24</v>
      </c>
      <c r="J36" s="11">
        <f>SUM([3]Jazz_AC!$JV$16:$KA$16)</f>
        <v>257</v>
      </c>
      <c r="K36" s="11">
        <f>SUM('[3]Sky Regional'!$JV$16:$KA$16)</f>
        <v>0</v>
      </c>
      <c r="L36" s="11">
        <f>SUM('[3]Aer Lingus'!$JV$16:$KA$16)</f>
        <v>143</v>
      </c>
      <c r="M36" s="11">
        <f>SUM('[3]Air France'!$JV$16:$KA$16)</f>
        <v>56</v>
      </c>
      <c r="N36" s="11">
        <f>SUM([3]Frontier!$JV$16:$KA$16)</f>
        <v>0</v>
      </c>
      <c r="O36" s="11">
        <f>SUM('[3]Charter Misc'!$JV$16:$KA$16)+SUM([3]Ryan!$JV$16:$KA$16)+SUM([3]Omni!$JV$16:$KA$16)</f>
        <v>0</v>
      </c>
      <c r="P36" s="197">
        <f>SUM(B36:O36)</f>
        <v>6714</v>
      </c>
    </row>
    <row r="37" spans="1:16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97"/>
    </row>
    <row r="38" spans="1:16" ht="15.75" thickBot="1" x14ac:dyDescent="0.3">
      <c r="A38" s="44" t="s">
        <v>28</v>
      </c>
      <c r="B38" s="272">
        <f t="shared" ref="B38:J38" si="25">+SUM(B35:B36)</f>
        <v>7125</v>
      </c>
      <c r="C38" s="272">
        <f t="shared" si="25"/>
        <v>408</v>
      </c>
      <c r="D38" s="272">
        <f>+SUM(D35:D36)</f>
        <v>1908</v>
      </c>
      <c r="E38" s="272">
        <f>+SUM(E35:E36)</f>
        <v>890</v>
      </c>
      <c r="F38" s="272">
        <f t="shared" si="25"/>
        <v>1790</v>
      </c>
      <c r="G38" s="272">
        <f t="shared" si="25"/>
        <v>260</v>
      </c>
      <c r="H38" s="272">
        <f t="shared" ref="H38:I38" si="26">+SUM(H35:H36)</f>
        <v>98</v>
      </c>
      <c r="I38" s="272">
        <f t="shared" si="26"/>
        <v>48</v>
      </c>
      <c r="J38" s="272">
        <f t="shared" si="25"/>
        <v>512</v>
      </c>
      <c r="K38" s="272">
        <f t="shared" ref="K38" si="27">+SUM(K35:K36)</f>
        <v>0</v>
      </c>
      <c r="L38" s="272">
        <f>+SUM(L35:L36)</f>
        <v>286</v>
      </c>
      <c r="M38" s="272">
        <f>+SUM(M35:M36)</f>
        <v>112</v>
      </c>
      <c r="N38" s="272">
        <f t="shared" ref="N38" si="28">+SUM(N35:N36)</f>
        <v>0</v>
      </c>
      <c r="O38" s="272">
        <f>+SUM(O35:O36)</f>
        <v>1</v>
      </c>
      <c r="P38" s="273">
        <f>SUM(B38:O38)</f>
        <v>13438</v>
      </c>
    </row>
  </sheetData>
  <mergeCells count="4">
    <mergeCell ref="A2:P2"/>
    <mergeCell ref="A14:P14"/>
    <mergeCell ref="A27:P27"/>
    <mergeCell ref="A34:P34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&amp;"Arial,Bold"June 2026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5"/>
  <sheetViews>
    <sheetView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28515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7109375" style="3" bestFit="1" customWidth="1"/>
    <col min="10" max="10" width="4.28515625" style="3" customWidth="1"/>
    <col min="11" max="11" width="14.42578125" style="166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7109375" bestFit="1" customWidth="1"/>
    <col min="24" max="25" width="10.7109375" bestFit="1" customWidth="1"/>
    <col min="26" max="26" width="9.42578125" bestFit="1" customWidth="1"/>
    <col min="27" max="27" width="11.7109375" bestFit="1" customWidth="1"/>
    <col min="28" max="28" width="5.28515625" customWidth="1"/>
    <col min="29" max="29" width="14.42578125" bestFit="1" customWidth="1"/>
    <col min="30" max="31" width="9.71093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02" t="s">
        <v>129</v>
      </c>
      <c r="B1" s="503"/>
      <c r="C1" s="394" t="s">
        <v>229</v>
      </c>
      <c r="D1" s="394" t="s">
        <v>220</v>
      </c>
      <c r="E1" s="393" t="s">
        <v>94</v>
      </c>
      <c r="F1" s="395" t="s">
        <v>230</v>
      </c>
      <c r="G1" s="394" t="s">
        <v>221</v>
      </c>
      <c r="H1" s="396" t="s">
        <v>95</v>
      </c>
      <c r="I1" s="393" t="s">
        <v>234</v>
      </c>
      <c r="J1" s="506" t="s">
        <v>133</v>
      </c>
      <c r="K1" s="507"/>
      <c r="L1" s="397" t="s">
        <v>236</v>
      </c>
      <c r="M1" s="397" t="s">
        <v>237</v>
      </c>
      <c r="N1" s="398" t="s">
        <v>94</v>
      </c>
      <c r="O1" s="399" t="s">
        <v>230</v>
      </c>
      <c r="P1" s="399" t="s">
        <v>221</v>
      </c>
      <c r="Q1" s="400" t="s">
        <v>95</v>
      </c>
      <c r="R1" s="401" t="s">
        <v>234</v>
      </c>
      <c r="S1" s="513" t="s">
        <v>195</v>
      </c>
      <c r="T1" s="514"/>
      <c r="U1" s="402" t="s">
        <v>235</v>
      </c>
      <c r="V1" s="402" t="s">
        <v>222</v>
      </c>
      <c r="W1" s="403" t="s">
        <v>95</v>
      </c>
      <c r="X1" s="404" t="s">
        <v>238</v>
      </c>
      <c r="Y1" s="404" t="s">
        <v>223</v>
      </c>
      <c r="Z1" s="405" t="s">
        <v>95</v>
      </c>
      <c r="AA1" s="406" t="s">
        <v>234</v>
      </c>
      <c r="AB1" s="508" t="s">
        <v>13</v>
      </c>
      <c r="AC1" s="509"/>
      <c r="AD1" s="424" t="s">
        <v>235</v>
      </c>
      <c r="AE1" s="424" t="s">
        <v>222</v>
      </c>
      <c r="AF1" s="425" t="s">
        <v>95</v>
      </c>
      <c r="AG1" s="426" t="s">
        <v>238</v>
      </c>
      <c r="AH1" s="426" t="s">
        <v>223</v>
      </c>
      <c r="AI1" s="427" t="s">
        <v>95</v>
      </c>
      <c r="AJ1" s="428" t="s">
        <v>234</v>
      </c>
    </row>
    <row r="2" spans="1:36" s="9" customFormat="1" ht="13.5" customHeight="1" thickBot="1" x14ac:dyDescent="0.25">
      <c r="A2" s="482">
        <v>46174</v>
      </c>
      <c r="B2" s="483"/>
      <c r="C2" s="504" t="s">
        <v>9</v>
      </c>
      <c r="D2" s="505"/>
      <c r="E2" s="505"/>
      <c r="F2" s="505"/>
      <c r="G2" s="505"/>
      <c r="H2" s="505"/>
      <c r="I2" s="322"/>
      <c r="J2" s="482">
        <f>+A2</f>
        <v>46174</v>
      </c>
      <c r="K2" s="483"/>
      <c r="L2" s="499" t="s">
        <v>135</v>
      </c>
      <c r="M2" s="500"/>
      <c r="N2" s="500"/>
      <c r="O2" s="500"/>
      <c r="P2" s="500"/>
      <c r="Q2" s="500"/>
      <c r="R2" s="501"/>
      <c r="S2" s="482">
        <f>+J2</f>
        <v>46174</v>
      </c>
      <c r="T2" s="483"/>
      <c r="U2" s="515" t="s">
        <v>196</v>
      </c>
      <c r="V2" s="516"/>
      <c r="W2" s="516"/>
      <c r="X2" s="516"/>
      <c r="Y2" s="516"/>
      <c r="Z2" s="516"/>
      <c r="AA2" s="517"/>
      <c r="AB2" s="482">
        <f>+S2</f>
        <v>46174</v>
      </c>
      <c r="AC2" s="483"/>
      <c r="AD2" s="510" t="s">
        <v>13</v>
      </c>
      <c r="AE2" s="511"/>
      <c r="AF2" s="511"/>
      <c r="AG2" s="511"/>
      <c r="AH2" s="511"/>
      <c r="AI2" s="511"/>
      <c r="AJ2" s="512"/>
    </row>
    <row r="3" spans="1:36" x14ac:dyDescent="0.2">
      <c r="A3" s="241"/>
      <c r="B3" s="242"/>
      <c r="C3" s="243"/>
      <c r="D3" s="244"/>
      <c r="E3" s="245"/>
      <c r="F3" s="300"/>
      <c r="G3" s="244"/>
      <c r="H3" s="338"/>
      <c r="I3" s="245"/>
      <c r="J3" s="246"/>
      <c r="K3" s="242"/>
      <c r="L3" s="253"/>
      <c r="N3" s="63"/>
      <c r="O3" s="241"/>
      <c r="P3" s="247"/>
      <c r="Q3" s="247"/>
      <c r="R3" s="242"/>
      <c r="S3" s="246"/>
      <c r="T3" s="242"/>
      <c r="U3" s="253"/>
      <c r="V3" s="2"/>
      <c r="W3" s="63"/>
      <c r="X3" s="241"/>
      <c r="Y3" s="247"/>
      <c r="Z3" s="247"/>
      <c r="AA3" s="242"/>
      <c r="AB3" s="246"/>
      <c r="AC3" s="242"/>
      <c r="AD3" s="253"/>
      <c r="AE3" s="2"/>
      <c r="AF3" s="63"/>
      <c r="AG3" s="241"/>
      <c r="AH3" s="247"/>
      <c r="AI3" s="247"/>
      <c r="AJ3" s="242"/>
    </row>
    <row r="4" spans="1:36" ht="14.1" customHeight="1" x14ac:dyDescent="0.2">
      <c r="A4" s="248" t="s">
        <v>97</v>
      </c>
      <c r="B4" s="37"/>
      <c r="C4" s="249">
        <f>SUM(C5:C6)</f>
        <v>211</v>
      </c>
      <c r="D4" s="251">
        <f>SUM(D5:D6)</f>
        <v>185</v>
      </c>
      <c r="E4" s="252">
        <f>(C4-D4)/D4</f>
        <v>0.14054054054054055</v>
      </c>
      <c r="F4" s="249">
        <f>SUM(F5:F6)</f>
        <v>753</v>
      </c>
      <c r="G4" s="251">
        <f>SUM(G5:G6)</f>
        <v>1031</v>
      </c>
      <c r="H4" s="250">
        <f>(F4-G4)/G4</f>
        <v>-0.2696411251212415</v>
      </c>
      <c r="I4" s="252">
        <f>F4/$F$56</f>
        <v>4.9796317849962971E-3</v>
      </c>
      <c r="J4" s="248" t="s">
        <v>97</v>
      </c>
      <c r="K4" s="37"/>
      <c r="L4" s="249">
        <f>SUM(L5:L6)</f>
        <v>17172</v>
      </c>
      <c r="M4" s="251">
        <f>SUM(M5:M6)</f>
        <v>15532</v>
      </c>
      <c r="N4" s="252">
        <f>(L4-M4)/M4</f>
        <v>0.10558846252897244</v>
      </c>
      <c r="O4" s="249">
        <f>SUM(O5:O6)</f>
        <v>47899</v>
      </c>
      <c r="P4" s="251">
        <f>SUM(P5:P6)</f>
        <v>57679</v>
      </c>
      <c r="Q4" s="250">
        <f>(O4-P4)/P4</f>
        <v>-0.16955911163508383</v>
      </c>
      <c r="R4" s="252">
        <f>O4/$O$56</f>
        <v>2.8733187884779311E-3</v>
      </c>
      <c r="S4" s="248" t="s">
        <v>97</v>
      </c>
      <c r="T4" s="37"/>
      <c r="U4" s="249">
        <f>SUM(U5:U6)</f>
        <v>21555.100000000002</v>
      </c>
      <c r="V4" s="251">
        <f>SUM(V5:V6)</f>
        <v>2726.2</v>
      </c>
      <c r="W4" s="252">
        <f>(U4-V4)/V4</f>
        <v>6.9066466143349725</v>
      </c>
      <c r="X4" s="249">
        <f>SUM(X5:X6)</f>
        <v>87082.6</v>
      </c>
      <c r="Y4" s="251">
        <f>SUM(Y5:Y6)</f>
        <v>74323.100000000006</v>
      </c>
      <c r="Z4" s="250">
        <f>(X4-Y4)/Y4</f>
        <v>0.17167610070085881</v>
      </c>
      <c r="AA4" s="252">
        <f>X4/$X$56</f>
        <v>1.7272367909868984E-3</v>
      </c>
      <c r="AB4" s="248" t="s">
        <v>97</v>
      </c>
      <c r="AC4" s="37"/>
      <c r="AD4" s="249">
        <f>SUM(AD5:AD6)</f>
        <v>17429</v>
      </c>
      <c r="AE4" s="251">
        <f>SUM(AE5:AE6)</f>
        <v>15785</v>
      </c>
      <c r="AF4" s="252">
        <f>(AD4-AE4)/AE4</f>
        <v>0.1041495090275578</v>
      </c>
      <c r="AG4" s="249">
        <f>SUM(AG5:AG6)</f>
        <v>48973</v>
      </c>
      <c r="AH4" s="251">
        <f>SUM(AH5:AH6)</f>
        <v>58822</v>
      </c>
      <c r="AI4" s="250">
        <f>(AG4-AH4)/AH4</f>
        <v>-0.16743735337118765</v>
      </c>
      <c r="AJ4" s="252">
        <f>AG4/$AG$56</f>
        <v>2.8432178400787066E-3</v>
      </c>
    </row>
    <row r="5" spans="1:36" ht="14.1" customHeight="1" x14ac:dyDescent="0.2">
      <c r="A5" s="248"/>
      <c r="B5" s="37" t="s">
        <v>97</v>
      </c>
      <c r="C5" s="253">
        <f>[3]AirCanada!$KA$19</f>
        <v>109</v>
      </c>
      <c r="D5" s="2">
        <f>[3]AirCanada!$JM$19</f>
        <v>120</v>
      </c>
      <c r="E5" s="63">
        <f t="shared" ref="E5" si="0">(C5-D5)/D5</f>
        <v>-9.166666666666666E-2</v>
      </c>
      <c r="F5" s="2">
        <f>SUM([3]AirCanada!$JV$19:$KA$19)</f>
        <v>241</v>
      </c>
      <c r="G5" s="2">
        <f>SUM([3]AirCanada!$JH$19:$JM$19)</f>
        <v>241</v>
      </c>
      <c r="H5" s="3">
        <f t="shared" ref="H5" si="1">(F5-G5)/G5</f>
        <v>0</v>
      </c>
      <c r="I5" s="63">
        <f>F5/$F$56</f>
        <v>1.5937466934715903E-3</v>
      </c>
      <c r="J5" s="248"/>
      <c r="K5" s="37" t="s">
        <v>97</v>
      </c>
      <c r="L5" s="253">
        <f>[3]AirCanada!$KA$41</f>
        <v>10796</v>
      </c>
      <c r="M5" s="2">
        <f>[3]AirCanada!$JM$41</f>
        <v>11555</v>
      </c>
      <c r="N5" s="63">
        <f t="shared" ref="N5" si="2">(L5-M5)/M5</f>
        <v>-6.5685850281263516E-2</v>
      </c>
      <c r="O5" s="253">
        <f>SUM([3]AirCanada!$JV$41:$KA$41)</f>
        <v>19120</v>
      </c>
      <c r="P5" s="2">
        <f>SUM([3]AirCanada!$JH$41:$JM$41)</f>
        <v>20874</v>
      </c>
      <c r="Q5" s="3">
        <f t="shared" ref="Q5" si="3">(O5-P5)/P5</f>
        <v>-8.4027977388138358E-2</v>
      </c>
      <c r="R5" s="63">
        <f>O5/$O$56</f>
        <v>1.1469520289713363E-3</v>
      </c>
      <c r="S5" s="248"/>
      <c r="T5" s="37" t="s">
        <v>97</v>
      </c>
      <c r="U5" s="253">
        <f>[3]AirCanada!$KA$64</f>
        <v>1150.8</v>
      </c>
      <c r="V5" s="2">
        <f>[3]AirCanada!$JM$64</f>
        <v>1455</v>
      </c>
      <c r="W5" s="63">
        <f t="shared" ref="W5" si="4">(U5-V5)/V5</f>
        <v>-0.20907216494845363</v>
      </c>
      <c r="X5" s="253">
        <f>SUM([3]AirCanada!$JV$64:$KA$64)</f>
        <v>12222.5</v>
      </c>
      <c r="Y5" s="2">
        <f>SUM([3]AirCanada!$JH$64:$JM$64)</f>
        <v>3166</v>
      </c>
      <c r="Z5" s="3">
        <f t="shared" ref="Z5" si="5">(X5-Y5)/Y5</f>
        <v>2.8605495893872392</v>
      </c>
      <c r="AA5" s="63">
        <f>X5/$X$56</f>
        <v>2.4242674975066621E-4</v>
      </c>
      <c r="AB5" s="248"/>
      <c r="AC5" s="37" t="s">
        <v>97</v>
      </c>
      <c r="AD5" s="253">
        <f>[3]AirCanada!$KA$43</f>
        <v>10943</v>
      </c>
      <c r="AE5" s="2">
        <f>[3]AirCanada!$JM$43</f>
        <v>11740</v>
      </c>
      <c r="AF5" s="63">
        <f t="shared" ref="AF5" si="6">(AD5-AE5)/AE5</f>
        <v>-6.7887563884156732E-2</v>
      </c>
      <c r="AG5" s="253">
        <f>SUM([3]AirCanada!$JV$43:$KA$43)</f>
        <v>19516</v>
      </c>
      <c r="AH5" s="2">
        <f>SUM([3]AirCanada!$JH$43:$JM$43)</f>
        <v>21241</v>
      </c>
      <c r="AI5" s="3">
        <f t="shared" ref="AI5" si="7">(AG5-AH5)/AH5</f>
        <v>-8.1210865778447341E-2</v>
      </c>
      <c r="AJ5" s="63">
        <f>AG5/$AG$56</f>
        <v>1.1330373750224826E-3</v>
      </c>
    </row>
    <row r="6" spans="1:36" ht="14.1" customHeight="1" x14ac:dyDescent="0.2">
      <c r="A6" s="248"/>
      <c r="B6" s="308" t="s">
        <v>203</v>
      </c>
      <c r="C6" s="253">
        <f>[3]Jazz_AC!$KA$19</f>
        <v>102</v>
      </c>
      <c r="D6" s="2">
        <f>[3]Jazz_AC!$JM$19</f>
        <v>65</v>
      </c>
      <c r="E6" s="63">
        <f t="shared" ref="E6" si="8">(C6-D6)/D6</f>
        <v>0.56923076923076921</v>
      </c>
      <c r="F6" s="2">
        <f>SUM([3]Jazz_AC!$JV$19:$KA$19)</f>
        <v>512</v>
      </c>
      <c r="G6" s="2">
        <f>SUM([3]Jazz_AC!$JH$19:$JM$19)</f>
        <v>790</v>
      </c>
      <c r="H6" s="3">
        <f t="shared" ref="H6" si="9">(F6-G6)/G6</f>
        <v>-0.35189873417721518</v>
      </c>
      <c r="I6" s="63">
        <f>F6/$F$56</f>
        <v>3.3858850915247066E-3</v>
      </c>
      <c r="J6" s="248"/>
      <c r="K6" s="308" t="s">
        <v>203</v>
      </c>
      <c r="L6" s="253">
        <f>[3]Jazz_AC!$KA$41</f>
        <v>6376</v>
      </c>
      <c r="M6" s="2">
        <f>[3]Jazz_AC!$JM$41</f>
        <v>3977</v>
      </c>
      <c r="N6" s="63">
        <f t="shared" ref="N6" si="10">(L6-M6)/M6</f>
        <v>0.60321850641186825</v>
      </c>
      <c r="O6" s="253">
        <f>SUM([3]Jazz_AC!$JV$41:$KA$41)</f>
        <v>28779</v>
      </c>
      <c r="P6" s="2">
        <f>SUM([3]Jazz_AC!$JH$41:$JM$41)</f>
        <v>36805</v>
      </c>
      <c r="Q6" s="3">
        <f t="shared" ref="Q6" si="11">(O6-P6)/P6</f>
        <v>-0.21806819725580764</v>
      </c>
      <c r="R6" s="63">
        <f>O6/$O$56</f>
        <v>1.7263667595065948E-3</v>
      </c>
      <c r="S6" s="248"/>
      <c r="T6" s="308" t="s">
        <v>203</v>
      </c>
      <c r="U6" s="253">
        <f>[3]Jazz_AC!$KA$64</f>
        <v>20404.300000000003</v>
      </c>
      <c r="V6" s="2">
        <f>[3]Jazz_AC!$JM$64</f>
        <v>1271.2</v>
      </c>
      <c r="W6" s="63">
        <f t="shared" ref="W6" si="12">(U6-V6)/V6</f>
        <v>15.051211453744495</v>
      </c>
      <c r="X6" s="253">
        <f>SUM([3]Jazz_AC!$JV$64:$KA$64)</f>
        <v>74860.100000000006</v>
      </c>
      <c r="Y6" s="2">
        <f>SUM([3]Jazz_AC!$JH$64:$JM$64)</f>
        <v>71157.100000000006</v>
      </c>
      <c r="Z6" s="3">
        <f t="shared" ref="Z6" si="13">(X6-Y6)/Y6</f>
        <v>5.203978239697795E-2</v>
      </c>
      <c r="AA6" s="63">
        <f>X6/$X$56</f>
        <v>1.4848100412362323E-3</v>
      </c>
      <c r="AB6" s="248"/>
      <c r="AC6" s="308" t="s">
        <v>203</v>
      </c>
      <c r="AD6" s="253">
        <f>[3]Jazz_AC!$KA$43</f>
        <v>6486</v>
      </c>
      <c r="AE6" s="2">
        <f>[3]Jazz_AC!$JM$43</f>
        <v>4045</v>
      </c>
      <c r="AF6" s="63">
        <f t="shared" ref="AF6" si="14">(AD6-AE6)/AE6</f>
        <v>0.60346106304079106</v>
      </c>
      <c r="AG6" s="253">
        <f>SUM([3]Jazz_AC!$JV$43:$KA$43)</f>
        <v>29457</v>
      </c>
      <c r="AH6" s="2">
        <f>SUM([3]Jazz_AC!$JH$43:$JM$43)</f>
        <v>37581</v>
      </c>
      <c r="AI6" s="3">
        <f t="shared" ref="AI6" si="15">(AG6-AH6)/AH6</f>
        <v>-0.21617306617705756</v>
      </c>
      <c r="AJ6" s="63">
        <f>AG6/$AG$56</f>
        <v>1.7101804650562239E-3</v>
      </c>
    </row>
    <row r="7" spans="1:36" ht="14.1" customHeight="1" x14ac:dyDescent="0.2">
      <c r="A7" s="248"/>
      <c r="B7" s="37"/>
      <c r="C7" s="249"/>
      <c r="D7" s="251"/>
      <c r="E7" s="252"/>
      <c r="F7" s="251"/>
      <c r="G7" s="251"/>
      <c r="H7" s="250"/>
      <c r="I7" s="252"/>
      <c r="J7" s="248"/>
      <c r="K7" s="37"/>
      <c r="L7" s="253"/>
      <c r="N7" s="63"/>
      <c r="O7" s="253"/>
      <c r="P7" s="2"/>
      <c r="Q7" s="3"/>
      <c r="R7" s="63"/>
      <c r="S7" s="248"/>
      <c r="T7" s="37"/>
      <c r="U7" s="253"/>
      <c r="V7" s="2"/>
      <c r="W7" s="63"/>
      <c r="X7" s="253"/>
      <c r="Y7" s="2"/>
      <c r="Z7" s="3"/>
      <c r="AA7" s="63"/>
      <c r="AB7" s="248"/>
      <c r="AC7" s="37"/>
      <c r="AD7" s="253"/>
      <c r="AE7" s="2"/>
      <c r="AF7" s="63"/>
      <c r="AG7" s="253"/>
      <c r="AH7" s="2"/>
      <c r="AI7" s="3"/>
      <c r="AJ7" s="63"/>
    </row>
    <row r="8" spans="1:36" ht="14.1" customHeight="1" x14ac:dyDescent="0.2">
      <c r="A8" s="248" t="s">
        <v>152</v>
      </c>
      <c r="B8" s="37"/>
      <c r="C8" s="249">
        <f>'[3]Air France'!$KA$19</f>
        <v>58</v>
      </c>
      <c r="D8" s="251">
        <f>'[3]Air France'!$JM$19</f>
        <v>58</v>
      </c>
      <c r="E8" s="252">
        <f>IFERROR((C8-D8)/D8,0)</f>
        <v>0</v>
      </c>
      <c r="F8" s="251">
        <f>SUM('[3]Air France'!$JV$19:$KA$19)</f>
        <v>112</v>
      </c>
      <c r="G8" s="251">
        <f>SUM('[3]Air France'!$JH$19:$JM$19)</f>
        <v>114</v>
      </c>
      <c r="H8" s="250">
        <f>IFERROR((F8-G8)/G8,0)</f>
        <v>-1.7543859649122806E-2</v>
      </c>
      <c r="I8" s="252">
        <f>F8/$F$56</f>
        <v>7.4066236377102947E-4</v>
      </c>
      <c r="J8" s="248" t="s">
        <v>152</v>
      </c>
      <c r="K8" s="37"/>
      <c r="L8" s="249">
        <f>'[3]Air France'!$KA$41</f>
        <v>15411</v>
      </c>
      <c r="M8" s="251">
        <f>'[3]Air France'!$JM$41</f>
        <v>14479</v>
      </c>
      <c r="N8" s="252">
        <f>IFERROR((L8-M8)/M8,0)</f>
        <v>6.4369086262863459E-2</v>
      </c>
      <c r="O8" s="249">
        <f>SUM('[3]Air France'!$JV$41:$KA$41)</f>
        <v>27601</v>
      </c>
      <c r="P8" s="251">
        <f>SUM('[3]Air France'!$JH$41:$JM$41)</f>
        <v>27941</v>
      </c>
      <c r="Q8" s="250">
        <f>IFERROR((O8-P8)/P8,0)</f>
        <v>-1.2168497906302566E-2</v>
      </c>
      <c r="R8" s="252">
        <f>O8/$O$56</f>
        <v>1.6557020372195532E-3</v>
      </c>
      <c r="S8" s="248" t="s">
        <v>152</v>
      </c>
      <c r="T8" s="37"/>
      <c r="U8" s="249">
        <f>'[3]Air France'!$KA$64</f>
        <v>376704</v>
      </c>
      <c r="V8" s="251">
        <f>'[3]Air France'!$JM$64</f>
        <v>483999</v>
      </c>
      <c r="W8" s="252">
        <f>IFERROR((U8-V8)/V8,0)</f>
        <v>-0.22168434232302134</v>
      </c>
      <c r="X8" s="249">
        <f>SUM('[3]Air France'!$JV$64:$KA$64)</f>
        <v>604546</v>
      </c>
      <c r="Y8" s="251">
        <f>SUM('[3]Air France'!$JH$64:$JM$64)</f>
        <v>915724</v>
      </c>
      <c r="Z8" s="250">
        <f>IFERROR((X8-Y8)/Y8,0)</f>
        <v>-0.33981636388256725</v>
      </c>
      <c r="AA8" s="252">
        <f>X8/$X$56</f>
        <v>1.199084654160493E-2</v>
      </c>
      <c r="AB8" s="248" t="s">
        <v>152</v>
      </c>
      <c r="AC8" s="37"/>
      <c r="AD8" s="249">
        <f>'[3]Air France'!$KA$43</f>
        <v>15432</v>
      </c>
      <c r="AE8" s="251">
        <f>'[3]Air France'!$JM$43</f>
        <v>14479</v>
      </c>
      <c r="AF8" s="252">
        <f>IFERROR((AD8-AE8)/AE8,0)</f>
        <v>6.5819462670073894E-2</v>
      </c>
      <c r="AG8" s="249">
        <f>SUM('[3]Air France'!$JV$43:$KA$43)</f>
        <v>27630</v>
      </c>
      <c r="AH8" s="251">
        <f>SUM('[3]Air France'!$JH$43:$JM$43)</f>
        <v>27941</v>
      </c>
      <c r="AI8" s="250">
        <f>IFERROR((AG8-AH8)/AH8,0)</f>
        <v>-1.1130596614294407E-2</v>
      </c>
      <c r="AJ8" s="252">
        <f>AG8/$AG$56</f>
        <v>1.6041106103643775E-3</v>
      </c>
    </row>
    <row r="9" spans="1:36" ht="14.1" customHeight="1" x14ac:dyDescent="0.2">
      <c r="A9" s="248"/>
      <c r="B9" s="37"/>
      <c r="C9" s="249"/>
      <c r="D9" s="251"/>
      <c r="E9" s="252"/>
      <c r="F9" s="251"/>
      <c r="G9" s="251"/>
      <c r="H9" s="250"/>
      <c r="I9" s="252"/>
      <c r="J9" s="248"/>
      <c r="K9" s="37"/>
      <c r="L9" s="253"/>
      <c r="N9" s="63"/>
      <c r="O9" s="253"/>
      <c r="P9" s="2"/>
      <c r="Q9" s="3"/>
      <c r="R9" s="63"/>
      <c r="S9" s="248"/>
      <c r="T9" s="37"/>
      <c r="U9" s="253"/>
      <c r="V9" s="2"/>
      <c r="W9" s="63"/>
      <c r="X9" s="253"/>
      <c r="Y9" s="2"/>
      <c r="Z9" s="3"/>
      <c r="AA9" s="63"/>
      <c r="AB9" s="248"/>
      <c r="AC9" s="37"/>
      <c r="AD9" s="253"/>
      <c r="AE9" s="2"/>
      <c r="AF9" s="63"/>
      <c r="AG9" s="253"/>
      <c r="AH9" s="2"/>
      <c r="AI9" s="3"/>
      <c r="AJ9" s="63"/>
    </row>
    <row r="10" spans="1:36" ht="14.1" customHeight="1" x14ac:dyDescent="0.2">
      <c r="A10" s="248" t="s">
        <v>182</v>
      </c>
      <c r="B10" s="37"/>
      <c r="C10" s="249">
        <f>'[3]Aer Lingus'!$KA$19</f>
        <v>60</v>
      </c>
      <c r="D10" s="251">
        <f>'[3]Aer Lingus'!$JM$19</f>
        <v>52</v>
      </c>
      <c r="E10" s="252">
        <f>IFERROR((C10-D10)/D10,0)</f>
        <v>0.15384615384615385</v>
      </c>
      <c r="F10" s="251">
        <f>SUM('[3]Aer Lingus'!$JV$19:$KA$19)</f>
        <v>286</v>
      </c>
      <c r="G10" s="251">
        <f>SUM('[3]Aer Lingus'!$JH$19:$JM$19)</f>
        <v>156</v>
      </c>
      <c r="H10" s="250">
        <f>IFERROR((F10-G10)/G10,0)</f>
        <v>0.83333333333333337</v>
      </c>
      <c r="I10" s="252">
        <f>F10/$F$56</f>
        <v>1.891334250343879E-3</v>
      </c>
      <c r="J10" s="248" t="s">
        <v>182</v>
      </c>
      <c r="K10" s="37"/>
      <c r="L10" s="249">
        <f>'[3]Aer Lingus'!$KA$41</f>
        <v>7615</v>
      </c>
      <c r="M10" s="251">
        <f>'[3]Aer Lingus'!$JM$41</f>
        <v>7330</v>
      </c>
      <c r="N10" s="252">
        <f>IFERROR((L10-M10)/M10,0)</f>
        <v>3.8881309686221006E-2</v>
      </c>
      <c r="O10" s="249">
        <f>SUM('[3]Aer Lingus'!$JV$41:$KA$41)</f>
        <v>30225</v>
      </c>
      <c r="P10" s="251">
        <f>SUM('[3]Aer Lingus'!$JH$41:$JM$41)</f>
        <v>18712</v>
      </c>
      <c r="Q10" s="250">
        <f>IFERROR((O10-P10)/P10,0)</f>
        <v>0.61527362120564344</v>
      </c>
      <c r="R10" s="252">
        <f>O10/$O$56</f>
        <v>1.8131080060490921E-3</v>
      </c>
      <c r="S10" s="248" t="s">
        <v>182</v>
      </c>
      <c r="T10" s="37"/>
      <c r="U10" s="249">
        <f>'[3]Aer Lingus'!$KA$64</f>
        <v>0</v>
      </c>
      <c r="V10" s="251">
        <f>'[3]Aer Lingus'!$JM$64</f>
        <v>0</v>
      </c>
      <c r="W10" s="252">
        <f>IFERROR((U10-V10)/V10,0)</f>
        <v>0</v>
      </c>
      <c r="X10" s="249">
        <f>SUM('[3]Aer Lingus'!$JV$64:$KA$64)</f>
        <v>9942.83</v>
      </c>
      <c r="Y10" s="251">
        <f>SUM('[3]Aer Lingus'!$JH$64:$JM$64)</f>
        <v>0</v>
      </c>
      <c r="Z10" s="250">
        <f>IFERROR((X10-Y10)/Y10,0)</f>
        <v>0</v>
      </c>
      <c r="AA10" s="252">
        <f>X10/$X$56</f>
        <v>1.9721071468385489E-4</v>
      </c>
      <c r="AB10" s="248" t="s">
        <v>182</v>
      </c>
      <c r="AC10" s="37"/>
      <c r="AD10" s="249">
        <f>'[3]Aer Lingus'!$KA$43</f>
        <v>7647</v>
      </c>
      <c r="AE10" s="251">
        <f>'[3]Aer Lingus'!$JM$43</f>
        <v>7371</v>
      </c>
      <c r="AF10" s="252">
        <f>IFERROR((AD10-AE10)/AE10,0)</f>
        <v>3.7444037444037445E-2</v>
      </c>
      <c r="AG10" s="249">
        <f>SUM('[3]Aer Lingus'!$JV$43:$KA$43)</f>
        <v>30368</v>
      </c>
      <c r="AH10" s="251">
        <f>SUM('[3]Aer Lingus'!$JH$43:$JM$43)</f>
        <v>18813</v>
      </c>
      <c r="AI10" s="250">
        <f>IFERROR((AG10-AH10)/AH10,0)</f>
        <v>0.61420294477223192</v>
      </c>
      <c r="AJ10" s="252">
        <f>AG10/$AG$56</f>
        <v>1.7630702502911841E-3</v>
      </c>
    </row>
    <row r="11" spans="1:36" ht="14.1" customHeight="1" x14ac:dyDescent="0.2">
      <c r="A11" s="248"/>
      <c r="B11" s="37"/>
      <c r="C11" s="249"/>
      <c r="D11" s="251"/>
      <c r="E11" s="252"/>
      <c r="F11" s="251"/>
      <c r="G11" s="251"/>
      <c r="H11" s="250"/>
      <c r="I11" s="252"/>
      <c r="J11" s="248"/>
      <c r="K11" s="37"/>
      <c r="L11" s="253"/>
      <c r="N11" s="63"/>
      <c r="O11" s="253"/>
      <c r="P11" s="2"/>
      <c r="Q11" s="3"/>
      <c r="R11" s="63"/>
      <c r="S11" s="248"/>
      <c r="T11" s="37"/>
      <c r="U11" s="253"/>
      <c r="V11" s="2"/>
      <c r="W11" s="63"/>
      <c r="X11" s="253"/>
      <c r="Y11" s="2"/>
      <c r="Z11" s="3"/>
      <c r="AA11" s="63"/>
      <c r="AB11" s="248"/>
      <c r="AC11" s="37"/>
      <c r="AD11" s="253"/>
      <c r="AE11" s="2"/>
      <c r="AF11" s="63"/>
      <c r="AG11" s="253"/>
      <c r="AH11" s="2"/>
      <c r="AI11" s="3"/>
      <c r="AJ11" s="63"/>
    </row>
    <row r="12" spans="1:36" ht="14.1" customHeight="1" x14ac:dyDescent="0.2">
      <c r="A12" s="248" t="s">
        <v>204</v>
      </c>
      <c r="B12" s="37"/>
      <c r="C12" s="253">
        <f>'[3]Allegiant '!$KA$19</f>
        <v>0</v>
      </c>
      <c r="D12" s="2">
        <f>'[3]Allegiant '!$JM$19</f>
        <v>36</v>
      </c>
      <c r="E12" s="252">
        <f t="shared" ref="E12" si="16">(C12-D12)/D12</f>
        <v>-1</v>
      </c>
      <c r="F12" s="2">
        <f>SUM('[3]Allegiant '!$JV$19:$KA$19)</f>
        <v>0</v>
      </c>
      <c r="G12" s="2">
        <f>SUM('[3]Allegiant '!$JH$19:$JM$19)</f>
        <v>306</v>
      </c>
      <c r="H12" s="250">
        <f t="shared" ref="H12" si="17">(F12-G12)/G12</f>
        <v>-1</v>
      </c>
      <c r="I12" s="252">
        <f>F12/$F$56</f>
        <v>0</v>
      </c>
      <c r="J12" s="248" t="s">
        <v>204</v>
      </c>
      <c r="K12" s="37"/>
      <c r="L12" s="253">
        <f>'[3]Allegiant '!$KA$41</f>
        <v>0</v>
      </c>
      <c r="M12" s="2">
        <f>'[3]Allegiant '!$JM$41</f>
        <v>5606</v>
      </c>
      <c r="N12" s="252">
        <f t="shared" ref="N12" si="18">(L12-M12)/M12</f>
        <v>-1</v>
      </c>
      <c r="O12" s="253">
        <f>SUM('[3]Allegiant '!$JV$41:$KA$41)</f>
        <v>0</v>
      </c>
      <c r="P12" s="2">
        <f>SUM('[3]Allegiant '!$JH$41:$JM$41)</f>
        <v>44266</v>
      </c>
      <c r="Q12" s="250">
        <f t="shared" ref="Q12" si="19">(O12-P12)/P12</f>
        <v>-1</v>
      </c>
      <c r="R12" s="252">
        <f>O12/$O$56</f>
        <v>0</v>
      </c>
      <c r="S12" s="248" t="s">
        <v>204</v>
      </c>
      <c r="T12" s="37"/>
      <c r="U12" s="253">
        <f>'[3]Allegiant '!$KA$64</f>
        <v>0</v>
      </c>
      <c r="V12" s="2">
        <f>'[3]Allegiant '!$JM$64</f>
        <v>0</v>
      </c>
      <c r="W12" s="252">
        <f>IFERROR((U12-V12)/V12,0)</f>
        <v>0</v>
      </c>
      <c r="X12" s="253">
        <f>SUM('[3]Allegiant '!$JV$64:$KA$64)</f>
        <v>0</v>
      </c>
      <c r="Y12" s="2">
        <f>SUM('[3]Allegiant '!$JH$64:$JM$64)</f>
        <v>0</v>
      </c>
      <c r="Z12" s="250">
        <f>IFERROR((X12-Y12)/Y12,0)</f>
        <v>0</v>
      </c>
      <c r="AA12" s="252">
        <f>X12/$X$56</f>
        <v>0</v>
      </c>
      <c r="AB12" s="248" t="s">
        <v>204</v>
      </c>
      <c r="AC12" s="37"/>
      <c r="AD12" s="253">
        <f>'[3]Allegiant '!$KA$43</f>
        <v>0</v>
      </c>
      <c r="AE12" s="2">
        <f>'[3]Allegiant '!$JM$43</f>
        <v>5606</v>
      </c>
      <c r="AF12" s="252">
        <f t="shared" ref="AF12" si="20">(AD12-AE12)/AE12</f>
        <v>-1</v>
      </c>
      <c r="AG12" s="253">
        <f>SUM('[3]Allegiant '!$JV$43:$KA$43)</f>
        <v>0</v>
      </c>
      <c r="AH12" s="2">
        <f>SUM('[3]Allegiant '!$JH$43:$JM$43)</f>
        <v>44266</v>
      </c>
      <c r="AI12" s="250">
        <f t="shared" ref="AI12" si="21">(AG12-AH12)/AH12</f>
        <v>-1</v>
      </c>
      <c r="AJ12" s="252">
        <f>AG12/$AG$56</f>
        <v>0</v>
      </c>
    </row>
    <row r="13" spans="1:36" ht="14.1" customHeight="1" x14ac:dyDescent="0.2">
      <c r="A13" s="248"/>
      <c r="B13" s="37"/>
      <c r="C13" s="249"/>
      <c r="D13" s="251"/>
      <c r="E13" s="252"/>
      <c r="F13" s="251"/>
      <c r="G13" s="251"/>
      <c r="H13" s="250"/>
      <c r="I13" s="252"/>
      <c r="J13" s="248"/>
      <c r="K13" s="37"/>
      <c r="L13" s="253"/>
      <c r="N13" s="63"/>
      <c r="O13" s="253"/>
      <c r="P13" s="2"/>
      <c r="Q13" s="3"/>
      <c r="R13" s="63"/>
      <c r="S13" s="248"/>
      <c r="T13" s="37"/>
      <c r="U13" s="253"/>
      <c r="V13" s="2"/>
      <c r="W13" s="63"/>
      <c r="X13" s="253"/>
      <c r="Y13" s="2"/>
      <c r="Z13" s="3"/>
      <c r="AA13" s="63"/>
      <c r="AB13" s="248"/>
      <c r="AC13" s="37"/>
      <c r="AD13" s="253"/>
      <c r="AE13" s="2"/>
      <c r="AF13" s="63"/>
      <c r="AG13" s="253"/>
      <c r="AH13" s="2"/>
      <c r="AI13" s="3"/>
      <c r="AJ13" s="63"/>
    </row>
    <row r="14" spans="1:36" ht="14.1" customHeight="1" x14ac:dyDescent="0.2">
      <c r="A14" s="248" t="s">
        <v>126</v>
      </c>
      <c r="B14" s="37"/>
      <c r="C14" s="249">
        <f>SUM(C15:C15)</f>
        <v>285</v>
      </c>
      <c r="D14" s="251">
        <f>SUM(D15:D15)</f>
        <v>314</v>
      </c>
      <c r="E14" s="252">
        <f>(C14-D14)/D14</f>
        <v>-9.2356687898089165E-2</v>
      </c>
      <c r="F14" s="251">
        <f>SUM(F15:F15)</f>
        <v>1050</v>
      </c>
      <c r="G14" s="251">
        <f>SUM(G15:G15)</f>
        <v>1097</v>
      </c>
      <c r="H14" s="250">
        <f>(F14-G14)/G14</f>
        <v>-4.2844120328167729E-2</v>
      </c>
      <c r="I14" s="252">
        <f>F14/$F$56</f>
        <v>6.9437096603534015E-3</v>
      </c>
      <c r="J14" s="248" t="s">
        <v>126</v>
      </c>
      <c r="K14" s="37"/>
      <c r="L14" s="249">
        <f>SUM(L15:L15)</f>
        <v>40240</v>
      </c>
      <c r="M14" s="251">
        <f>SUM(M15:M15)</f>
        <v>38473</v>
      </c>
      <c r="N14" s="252">
        <f>(L14-M14)/M14</f>
        <v>4.5928313362617941E-2</v>
      </c>
      <c r="O14" s="249">
        <f>SUM(O15:O15)</f>
        <v>151541</v>
      </c>
      <c r="P14" s="251">
        <f>SUM(P15:P15)</f>
        <v>133983</v>
      </c>
      <c r="Q14" s="250">
        <f>(O14-P14)/P14</f>
        <v>0.13104647604546846</v>
      </c>
      <c r="R14" s="252">
        <f>O14/$O$56</f>
        <v>9.0904946350598998E-3</v>
      </c>
      <c r="S14" s="248" t="s">
        <v>126</v>
      </c>
      <c r="T14" s="37"/>
      <c r="U14" s="249">
        <f>SUM(U15:U15)</f>
        <v>43109</v>
      </c>
      <c r="V14" s="251">
        <f>SUM(V15:V15)</f>
        <v>52680</v>
      </c>
      <c r="W14" s="252">
        <f>(U14-V14)/V14</f>
        <v>-0.18168185269552012</v>
      </c>
      <c r="X14" s="249">
        <f>SUM(X15:X15)</f>
        <v>225709</v>
      </c>
      <c r="Y14" s="251">
        <f>SUM(Y15:Y15)</f>
        <v>162992</v>
      </c>
      <c r="Z14" s="250">
        <f>(X14-Y14)/Y14</f>
        <v>0.38478575635614015</v>
      </c>
      <c r="AA14" s="252">
        <f>X14/$X$56</f>
        <v>4.4768172844731535E-3</v>
      </c>
      <c r="AB14" s="248" t="s">
        <v>126</v>
      </c>
      <c r="AC14" s="37"/>
      <c r="AD14" s="249">
        <f>SUM(AD15:AD15)</f>
        <v>41738</v>
      </c>
      <c r="AE14" s="251">
        <f>SUM(AE15:AE15)</f>
        <v>39926</v>
      </c>
      <c r="AF14" s="252">
        <f>(AD14-AE14)/AE14</f>
        <v>4.5383960326604217E-2</v>
      </c>
      <c r="AG14" s="249">
        <f>SUM(AG15:AG15)</f>
        <v>157049</v>
      </c>
      <c r="AH14" s="251">
        <f>SUM(AH15:AH15)</f>
        <v>139624</v>
      </c>
      <c r="AI14" s="250">
        <f>(AG14-AH14)/AH14</f>
        <v>0.12479946141064574</v>
      </c>
      <c r="AJ14" s="252">
        <f>AG14/$AG$56</f>
        <v>9.1177693538586728E-3</v>
      </c>
    </row>
    <row r="15" spans="1:36" ht="14.1" customHeight="1" x14ac:dyDescent="0.2">
      <c r="A15" s="248"/>
      <c r="B15" s="308" t="s">
        <v>126</v>
      </c>
      <c r="C15" s="312">
        <f>[3]Alaska!$KA$19</f>
        <v>285</v>
      </c>
      <c r="D15" s="209">
        <f>[3]Alaska!$JM$19</f>
        <v>314</v>
      </c>
      <c r="E15" s="314">
        <f>(C15-D15)/D15</f>
        <v>-9.2356687898089165E-2</v>
      </c>
      <c r="F15" s="209">
        <f>SUM([3]Alaska!$JV$19:$KA$19)</f>
        <v>1050</v>
      </c>
      <c r="G15" s="209">
        <f>SUM([3]Alaska!$JH$19:$JM$19)</f>
        <v>1097</v>
      </c>
      <c r="H15" s="313">
        <f>(F15-G15)/G15</f>
        <v>-4.2844120328167729E-2</v>
      </c>
      <c r="I15" s="314">
        <f>F15/$F$56</f>
        <v>6.9437096603534015E-3</v>
      </c>
      <c r="J15" s="248"/>
      <c r="K15" s="308" t="s">
        <v>126</v>
      </c>
      <c r="L15" s="312">
        <f>[3]Alaska!$KA$41</f>
        <v>40240</v>
      </c>
      <c r="M15" s="209">
        <f>[3]Alaska!$JM$41</f>
        <v>38473</v>
      </c>
      <c r="N15" s="314">
        <f>(L15-M15)/M15</f>
        <v>4.5928313362617941E-2</v>
      </c>
      <c r="O15" s="312">
        <f>SUM([3]Alaska!$JV$41:$KA$41)</f>
        <v>151541</v>
      </c>
      <c r="P15" s="209">
        <f>SUM([3]Alaska!$JH$41:$JM$41)</f>
        <v>133983</v>
      </c>
      <c r="Q15" s="313">
        <f>(O15-P15)/P15</f>
        <v>0.13104647604546846</v>
      </c>
      <c r="R15" s="314">
        <f>O15/$O$56</f>
        <v>9.0904946350598998E-3</v>
      </c>
      <c r="S15" s="248"/>
      <c r="T15" s="308" t="s">
        <v>126</v>
      </c>
      <c r="U15" s="312">
        <f>[3]Alaska!$KA$64</f>
        <v>43109</v>
      </c>
      <c r="V15" s="209">
        <f>[3]Alaska!$JM$64</f>
        <v>52680</v>
      </c>
      <c r="W15" s="314">
        <f>(U15-V15)/V15</f>
        <v>-0.18168185269552012</v>
      </c>
      <c r="X15" s="312">
        <f>SUM([3]Alaska!$JV$64:$KA$64)</f>
        <v>225709</v>
      </c>
      <c r="Y15" s="209">
        <f>SUM([3]Alaska!$JH$64:$JM$64)</f>
        <v>162992</v>
      </c>
      <c r="Z15" s="313">
        <f>(X15-Y15)/Y15</f>
        <v>0.38478575635614015</v>
      </c>
      <c r="AA15" s="314">
        <f>X15/$X$56</f>
        <v>4.4768172844731535E-3</v>
      </c>
      <c r="AB15" s="248"/>
      <c r="AC15" s="308" t="s">
        <v>126</v>
      </c>
      <c r="AD15" s="312">
        <f>[3]Alaska!$KA$43</f>
        <v>41738</v>
      </c>
      <c r="AE15" s="209">
        <f>[3]Alaska!$JM$43</f>
        <v>39926</v>
      </c>
      <c r="AF15" s="314">
        <f>(AD15-AE15)/AE15</f>
        <v>4.5383960326604217E-2</v>
      </c>
      <c r="AG15" s="312">
        <f>SUM([3]Alaska!$JV$43:$KA$43)</f>
        <v>157049</v>
      </c>
      <c r="AH15" s="209">
        <f>SUM([3]Alaska!$JH$43:$JM$43)</f>
        <v>139624</v>
      </c>
      <c r="AI15" s="313">
        <f>(AG15-AH15)/AH15</f>
        <v>0.12479946141064574</v>
      </c>
      <c r="AJ15" s="63">
        <f>AG15/$AG$56</f>
        <v>9.1177693538586728E-3</v>
      </c>
    </row>
    <row r="16" spans="1:36" ht="14.1" customHeight="1" x14ac:dyDescent="0.2">
      <c r="A16" s="248"/>
      <c r="B16" s="37"/>
      <c r="C16" s="249"/>
      <c r="D16" s="254"/>
      <c r="E16" s="252"/>
      <c r="F16" s="254"/>
      <c r="G16" s="254"/>
      <c r="H16" s="250"/>
      <c r="I16" s="252"/>
      <c r="J16" s="248"/>
      <c r="K16" s="37"/>
      <c r="L16" s="133"/>
      <c r="M16" s="89"/>
      <c r="N16" s="63"/>
      <c r="O16" s="133"/>
      <c r="P16" s="89"/>
      <c r="Q16" s="3"/>
      <c r="R16" s="63"/>
      <c r="S16" s="248"/>
      <c r="T16" s="37"/>
      <c r="U16" s="133"/>
      <c r="V16" s="89"/>
      <c r="W16" s="63"/>
      <c r="X16" s="133"/>
      <c r="Y16" s="89"/>
      <c r="Z16" s="3"/>
      <c r="AA16" s="63"/>
      <c r="AB16" s="248"/>
      <c r="AC16" s="37"/>
      <c r="AD16" s="133"/>
      <c r="AE16" s="89"/>
      <c r="AF16" s="63"/>
      <c r="AG16" s="133"/>
      <c r="AH16" s="89"/>
      <c r="AI16" s="3"/>
      <c r="AJ16" s="63"/>
    </row>
    <row r="17" spans="1:36" ht="14.1" customHeight="1" x14ac:dyDescent="0.2">
      <c r="A17" s="248" t="s">
        <v>17</v>
      </c>
      <c r="B17" s="255"/>
      <c r="C17" s="249">
        <f>SUM(C18:C22)</f>
        <v>1251</v>
      </c>
      <c r="D17" s="251">
        <f>SUM(D18:D22)</f>
        <v>1286</v>
      </c>
      <c r="E17" s="252">
        <f t="shared" ref="E17:E21" si="22">(C17-D17)/D17</f>
        <v>-2.7216174183514776E-2</v>
      </c>
      <c r="F17" s="249">
        <f>SUM(F18:F22)</f>
        <v>7284</v>
      </c>
      <c r="G17" s="251">
        <f>SUM(G18:G22)</f>
        <v>7564</v>
      </c>
      <c r="H17" s="250">
        <f t="shared" ref="H17:H21" si="23">(F17-G17)/G17</f>
        <v>-3.7017451084082498E-2</v>
      </c>
      <c r="I17" s="252">
        <f t="shared" ref="I17:I22" si="24">F17/$F$56</f>
        <v>4.8169505872394457E-2</v>
      </c>
      <c r="J17" s="248" t="s">
        <v>17</v>
      </c>
      <c r="K17" s="255"/>
      <c r="L17" s="249">
        <f>SUM(L18:L22)</f>
        <v>126639</v>
      </c>
      <c r="M17" s="251">
        <f>SUM(M18:M22)</f>
        <v>143240</v>
      </c>
      <c r="N17" s="252">
        <f t="shared" ref="N17:N21" si="25">(L17-M17)/M17</f>
        <v>-0.11589639765428651</v>
      </c>
      <c r="O17" s="249">
        <f>SUM(O18:O22)</f>
        <v>694127</v>
      </c>
      <c r="P17" s="251">
        <f>SUM(P18:P22)</f>
        <v>781237</v>
      </c>
      <c r="Q17" s="250">
        <f t="shared" ref="Q17:Q21" si="26">(O17-P17)/P17</f>
        <v>-0.11150265540418593</v>
      </c>
      <c r="R17" s="252">
        <f t="shared" ref="R17:R22" si="27">O17/$O$56</f>
        <v>4.1638617730846594E-2</v>
      </c>
      <c r="S17" s="248" t="s">
        <v>17</v>
      </c>
      <c r="T17" s="255"/>
      <c r="U17" s="249">
        <f>SUM(U18:U22)</f>
        <v>59142</v>
      </c>
      <c r="V17" s="251">
        <f>SUM(V18:V22)</f>
        <v>85632</v>
      </c>
      <c r="W17" s="252">
        <f t="shared" ref="W17:W21" si="28">(U17-V17)/V17</f>
        <v>-0.30934697309417042</v>
      </c>
      <c r="X17" s="249">
        <f>SUM(X18:X22)</f>
        <v>584949</v>
      </c>
      <c r="Y17" s="251">
        <f>SUM(Y18:Y22)</f>
        <v>239902</v>
      </c>
      <c r="Z17" s="250">
        <f t="shared" ref="Z17:Z21" si="29">(X17-Y17)/Y17</f>
        <v>1.4382831322790139</v>
      </c>
      <c r="AA17" s="252">
        <f t="shared" ref="AA17:AA22" si="30">X17/$X$56</f>
        <v>1.1602150528934542E-2</v>
      </c>
      <c r="AB17" s="248" t="s">
        <v>17</v>
      </c>
      <c r="AC17" s="255"/>
      <c r="AD17" s="249">
        <f>SUM(AD18:AD22)</f>
        <v>131675</v>
      </c>
      <c r="AE17" s="251">
        <f>SUM(AE18:AE22)</f>
        <v>148404</v>
      </c>
      <c r="AF17" s="252">
        <f t="shared" ref="AF17:AF21" si="31">(AD17-AE17)/AE17</f>
        <v>-0.11272607207352901</v>
      </c>
      <c r="AG17" s="249">
        <f>SUM(AG18:AG22)</f>
        <v>721859</v>
      </c>
      <c r="AH17" s="251">
        <f>SUM(AH18:AH22)</f>
        <v>809976</v>
      </c>
      <c r="AI17" s="250">
        <f t="shared" ref="AI17:AI21" si="32">(AG17-AH17)/AH17</f>
        <v>-0.1087896431499205</v>
      </c>
      <c r="AJ17" s="252">
        <f t="shared" ref="AJ17:AJ22" si="33">AG17/$AG$56</f>
        <v>4.1908855631090092E-2</v>
      </c>
    </row>
    <row r="18" spans="1:36" ht="14.1" customHeight="1" x14ac:dyDescent="0.2">
      <c r="A18" s="36"/>
      <c r="B18" s="37" t="s">
        <v>17</v>
      </c>
      <c r="C18" s="253">
        <f>[3]American!$KA$19</f>
        <v>697</v>
      </c>
      <c r="D18" s="2">
        <f>[3]American!$JM$19</f>
        <v>824</v>
      </c>
      <c r="E18" s="63">
        <f t="shared" si="22"/>
        <v>-0.154126213592233</v>
      </c>
      <c r="F18" s="2">
        <f>SUM([3]American!$JV$19:$KA$19)</f>
        <v>3994</v>
      </c>
      <c r="G18" s="2">
        <f>SUM([3]American!$JH$19:$JM$19)</f>
        <v>4704</v>
      </c>
      <c r="H18" s="3">
        <f t="shared" si="23"/>
        <v>-0.15093537414965985</v>
      </c>
      <c r="I18" s="63">
        <f t="shared" si="24"/>
        <v>2.6412548936620463E-2</v>
      </c>
      <c r="J18" s="36"/>
      <c r="K18" s="37" t="s">
        <v>17</v>
      </c>
      <c r="L18" s="253">
        <f>[3]American!$KA$41</f>
        <v>93644</v>
      </c>
      <c r="M18" s="2">
        <f>[3]American!$JM$41</f>
        <v>113017</v>
      </c>
      <c r="N18" s="63">
        <f t="shared" si="25"/>
        <v>-0.1714166895245848</v>
      </c>
      <c r="O18" s="253">
        <f>SUM([3]American!$JV$41:$KA$41)</f>
        <v>506154</v>
      </c>
      <c r="P18" s="2">
        <f>SUM([3]American!$JH$41:$JM$41)</f>
        <v>611584</v>
      </c>
      <c r="Q18" s="3">
        <f t="shared" si="26"/>
        <v>-0.17238842088740058</v>
      </c>
      <c r="R18" s="63">
        <f t="shared" si="27"/>
        <v>3.0362675589537542E-2</v>
      </c>
      <c r="S18" s="36"/>
      <c r="T18" s="37" t="s">
        <v>17</v>
      </c>
      <c r="U18" s="253">
        <f>[3]American!$KA$64</f>
        <v>57378</v>
      </c>
      <c r="V18" s="2">
        <f>[3]American!$JM$64</f>
        <v>80182</v>
      </c>
      <c r="W18" s="63">
        <f t="shared" si="28"/>
        <v>-0.28440298321319002</v>
      </c>
      <c r="X18" s="253">
        <f>SUM([3]American!$JV$64:$KA$64)</f>
        <v>572601</v>
      </c>
      <c r="Y18" s="2">
        <f>SUM([3]American!$JH$64:$JM$64)</f>
        <v>218200</v>
      </c>
      <c r="Z18" s="3">
        <f t="shared" si="29"/>
        <v>1.6242025664527957</v>
      </c>
      <c r="AA18" s="63">
        <f t="shared" si="30"/>
        <v>1.1357234553813151E-2</v>
      </c>
      <c r="AB18" s="36"/>
      <c r="AC18" s="37" t="s">
        <v>17</v>
      </c>
      <c r="AD18" s="253">
        <f>[3]American!$KA$43</f>
        <v>97330</v>
      </c>
      <c r="AE18" s="2">
        <f>[3]American!$JM$43</f>
        <v>117108</v>
      </c>
      <c r="AF18" s="63">
        <f t="shared" si="31"/>
        <v>-0.16888683949858249</v>
      </c>
      <c r="AG18" s="253">
        <f>SUM([3]American!$JV$43:$KA$43)</f>
        <v>525727</v>
      </c>
      <c r="AH18" s="2">
        <f>SUM([3]American!$JH$43:$JM$43)</f>
        <v>634103</v>
      </c>
      <c r="AI18" s="3">
        <f t="shared" si="32"/>
        <v>-0.17091229658273183</v>
      </c>
      <c r="AJ18" s="63">
        <f t="shared" si="33"/>
        <v>3.0522050628122806E-2</v>
      </c>
    </row>
    <row r="19" spans="1:36" ht="14.1" customHeight="1" x14ac:dyDescent="0.2">
      <c r="A19" s="36"/>
      <c r="B19" s="308" t="s">
        <v>158</v>
      </c>
      <c r="C19" s="253">
        <f>'[3]American Eagle'!$KA$19</f>
        <v>168</v>
      </c>
      <c r="D19" s="2">
        <f>'[3]American Eagle'!$JM$19</f>
        <v>175</v>
      </c>
      <c r="E19" s="63">
        <f t="shared" si="22"/>
        <v>-0.04</v>
      </c>
      <c r="F19" s="2">
        <f>SUM('[3]American Eagle'!$JV$19:$KA$19)</f>
        <v>1396</v>
      </c>
      <c r="G19" s="2">
        <f>SUM('[3]American Eagle'!$JH$19:$JM$19)</f>
        <v>870</v>
      </c>
      <c r="H19" s="3">
        <f t="shared" si="23"/>
        <v>0.60459770114942524</v>
      </c>
      <c r="I19" s="63">
        <f t="shared" si="24"/>
        <v>9.2318273198603324E-3</v>
      </c>
      <c r="J19" s="36"/>
      <c r="K19" s="308" t="s">
        <v>158</v>
      </c>
      <c r="L19" s="253">
        <f>'[3]American Eagle'!$KA$41</f>
        <v>10164</v>
      </c>
      <c r="M19" s="2">
        <f>'[3]American Eagle'!$JM$41</f>
        <v>11350</v>
      </c>
      <c r="N19" s="63">
        <f t="shared" si="25"/>
        <v>-0.10449339207048458</v>
      </c>
      <c r="O19" s="253">
        <f>SUM('[3]American Eagle'!$JV$41:$KA$41)</f>
        <v>82328</v>
      </c>
      <c r="P19" s="2">
        <f>SUM('[3]American Eagle'!$JH$41:$JM$41)</f>
        <v>50905</v>
      </c>
      <c r="Q19" s="3">
        <f t="shared" si="26"/>
        <v>0.61728710342795401</v>
      </c>
      <c r="R19" s="63">
        <f t="shared" si="27"/>
        <v>4.9386122720267876E-3</v>
      </c>
      <c r="S19" s="36"/>
      <c r="T19" s="308" t="s">
        <v>158</v>
      </c>
      <c r="U19" s="253">
        <f>'[3]American Eagle'!$KA$64</f>
        <v>1186</v>
      </c>
      <c r="V19" s="2">
        <f>'[3]American Eagle'!$JM$64</f>
        <v>2785</v>
      </c>
      <c r="W19" s="63">
        <f>IFERROR((U19-V19)/V19,0)</f>
        <v>-0.57414721723518847</v>
      </c>
      <c r="X19" s="253">
        <f>SUM('[3]American Eagle'!$JV$64:$KA$64)</f>
        <v>8778</v>
      </c>
      <c r="Y19" s="2">
        <f>SUM('[3]American Eagle'!$JH$64:$JM$64)</f>
        <v>7585</v>
      </c>
      <c r="Z19" s="313">
        <f>IFERROR((X19-Y19)/Y19,0)</f>
        <v>0.15728411338167436</v>
      </c>
      <c r="AA19" s="63">
        <f t="shared" si="30"/>
        <v>1.7410693469513996E-4</v>
      </c>
      <c r="AB19" s="36"/>
      <c r="AC19" s="308" t="s">
        <v>158</v>
      </c>
      <c r="AD19" s="253">
        <f>'[3]American Eagle'!$KA$43</f>
        <v>10587</v>
      </c>
      <c r="AE19" s="2">
        <f>'[3]American Eagle'!$JM$43</f>
        <v>11868</v>
      </c>
      <c r="AF19" s="63">
        <f t="shared" si="31"/>
        <v>-0.10793731041456016</v>
      </c>
      <c r="AG19" s="253">
        <f>SUM('[3]American Eagle'!$JV$43:$KA$43)</f>
        <v>86563</v>
      </c>
      <c r="AH19" s="2">
        <f>SUM('[3]American Eagle'!$JH$43:$JM$43)</f>
        <v>53167</v>
      </c>
      <c r="AI19" s="3">
        <f t="shared" si="32"/>
        <v>0.62813399289032668</v>
      </c>
      <c r="AJ19" s="63">
        <f t="shared" si="33"/>
        <v>5.0255746205201453E-3</v>
      </c>
    </row>
    <row r="20" spans="1:36" ht="14.1" customHeight="1" x14ac:dyDescent="0.2">
      <c r="A20" s="36"/>
      <c r="B20" s="308" t="s">
        <v>51</v>
      </c>
      <c r="C20" s="253">
        <f>[3]Republic!$KA$19</f>
        <v>122</v>
      </c>
      <c r="D20" s="2">
        <f>[3]Republic!$JM$19</f>
        <v>213</v>
      </c>
      <c r="E20" s="63">
        <f t="shared" si="22"/>
        <v>-0.42723004694835681</v>
      </c>
      <c r="F20" s="2">
        <f>SUM([3]Republic!$JV$19:$KA$19)</f>
        <v>657</v>
      </c>
      <c r="G20" s="2">
        <f>SUM([3]Republic!$JH$19:$JM$19)</f>
        <v>1041</v>
      </c>
      <c r="H20" s="3">
        <f t="shared" si="23"/>
        <v>-0.36887608069164263</v>
      </c>
      <c r="I20" s="63">
        <f t="shared" si="24"/>
        <v>4.3447783303354141E-3</v>
      </c>
      <c r="J20" s="36"/>
      <c r="K20" s="256" t="s">
        <v>51</v>
      </c>
      <c r="L20" s="253">
        <f>[3]Republic!$KA$41</f>
        <v>7498</v>
      </c>
      <c r="M20" s="2">
        <f>[3]Republic!$JM$41</f>
        <v>14325</v>
      </c>
      <c r="N20" s="63">
        <f t="shared" si="25"/>
        <v>-0.47657940663176263</v>
      </c>
      <c r="O20" s="253">
        <f>SUM([3]Republic!$JV$41:$KA$41)</f>
        <v>37614</v>
      </c>
      <c r="P20" s="2">
        <f>SUM([3]Republic!$JH$41:$JM$41)</f>
        <v>64092</v>
      </c>
      <c r="Q20" s="3">
        <f t="shared" si="26"/>
        <v>-0.4131248829807152</v>
      </c>
      <c r="R20" s="63">
        <f t="shared" si="27"/>
        <v>2.2563521766594064E-3</v>
      </c>
      <c r="S20" s="36"/>
      <c r="T20" s="256" t="s">
        <v>51</v>
      </c>
      <c r="U20" s="253">
        <f>[3]Republic!$KA$64</f>
        <v>578</v>
      </c>
      <c r="V20" s="2">
        <f>[3]Republic!$JM$64</f>
        <v>2665</v>
      </c>
      <c r="W20" s="63">
        <f t="shared" si="28"/>
        <v>-0.78311444652908069</v>
      </c>
      <c r="X20" s="253">
        <f>SUM([3]Republic!$JV$64:$KA$64)</f>
        <v>2723</v>
      </c>
      <c r="Y20" s="2">
        <f>SUM([3]Republic!$JH$64:$JM$64)</f>
        <v>13829</v>
      </c>
      <c r="Z20" s="3">
        <f t="shared" si="29"/>
        <v>-0.80309494540458459</v>
      </c>
      <c r="AA20" s="63">
        <f t="shared" si="30"/>
        <v>5.4009248481985202E-5</v>
      </c>
      <c r="AB20" s="36"/>
      <c r="AC20" s="256" t="s">
        <v>51</v>
      </c>
      <c r="AD20" s="253">
        <f>[3]Republic!$KA$43</f>
        <v>7999</v>
      </c>
      <c r="AE20" s="2">
        <f>[3]Republic!$JM$43</f>
        <v>14803</v>
      </c>
      <c r="AF20" s="63">
        <f t="shared" si="31"/>
        <v>-0.45963656015672499</v>
      </c>
      <c r="AG20" s="253">
        <f>SUM([3]Republic!$JV$43:$KA$43)</f>
        <v>39405</v>
      </c>
      <c r="AH20" s="2">
        <f>SUM([3]Republic!$JH$43:$JM$43)</f>
        <v>66514</v>
      </c>
      <c r="AI20" s="3">
        <f t="shared" si="32"/>
        <v>-0.40756833147908711</v>
      </c>
      <c r="AJ20" s="63">
        <f t="shared" si="33"/>
        <v>2.2877299530006624E-3</v>
      </c>
    </row>
    <row r="21" spans="1:36" ht="14.1" customHeight="1" x14ac:dyDescent="0.2">
      <c r="A21" s="36"/>
      <c r="B21" s="308" t="s">
        <v>169</v>
      </c>
      <c r="C21" s="253">
        <f>[3]PSA!$KA$19</f>
        <v>262</v>
      </c>
      <c r="D21" s="2">
        <f>[3]PSA!$JM$19</f>
        <v>74</v>
      </c>
      <c r="E21" s="63">
        <f t="shared" si="22"/>
        <v>2.5405405405405403</v>
      </c>
      <c r="F21" s="2">
        <f>SUM([3]PSA!$JV$19:$KA$19)</f>
        <v>1197</v>
      </c>
      <c r="G21" s="2">
        <f>SUM([3]PSA!$JH$19:$JM$19)</f>
        <v>947</v>
      </c>
      <c r="H21" s="3">
        <f t="shared" si="23"/>
        <v>0.26399155227032733</v>
      </c>
      <c r="I21" s="63">
        <f t="shared" si="24"/>
        <v>7.9158290128028778E-3</v>
      </c>
      <c r="J21" s="36"/>
      <c r="K21" s="308" t="s">
        <v>169</v>
      </c>
      <c r="L21" s="253">
        <f>[3]PSA!$KA$41</f>
        <v>15333</v>
      </c>
      <c r="M21" s="2">
        <f>[3]PSA!$JM$41</f>
        <v>4548</v>
      </c>
      <c r="N21" s="63">
        <f t="shared" si="25"/>
        <v>2.3713720316622693</v>
      </c>
      <c r="O21" s="253">
        <f>SUM([3]PSA!$JV$41:$KA$41)</f>
        <v>66142</v>
      </c>
      <c r="P21" s="2">
        <f>SUM([3]PSA!$JH$41:$JM$41)</f>
        <v>54548</v>
      </c>
      <c r="Q21" s="3">
        <f t="shared" si="26"/>
        <v>0.21254674781843513</v>
      </c>
      <c r="R21" s="63">
        <f t="shared" si="27"/>
        <v>3.9676621914342116E-3</v>
      </c>
      <c r="S21" s="36"/>
      <c r="T21" s="308" t="s">
        <v>169</v>
      </c>
      <c r="U21" s="253">
        <f>[3]PSA!$KA$64</f>
        <v>0</v>
      </c>
      <c r="V21" s="2">
        <f>[3]PSA!$JM$64</f>
        <v>0</v>
      </c>
      <c r="W21" s="63" t="e">
        <f t="shared" si="28"/>
        <v>#DIV/0!</v>
      </c>
      <c r="X21" s="253">
        <f>SUM([3]PSA!$JV$64:$KA$64)</f>
        <v>831</v>
      </c>
      <c r="Y21" s="2">
        <f>SUM([3]PSA!$JH$64:$JM$64)</f>
        <v>288</v>
      </c>
      <c r="Z21" s="3">
        <f t="shared" si="29"/>
        <v>1.8854166666666667</v>
      </c>
      <c r="AA21" s="63">
        <f t="shared" si="30"/>
        <v>1.6482440502581601E-5</v>
      </c>
      <c r="AB21" s="36"/>
      <c r="AC21" s="308" t="s">
        <v>169</v>
      </c>
      <c r="AD21" s="253">
        <f>[3]PSA!$KA$43</f>
        <v>15759</v>
      </c>
      <c r="AE21" s="2">
        <f>[3]PSA!$JM$43</f>
        <v>4625</v>
      </c>
      <c r="AF21" s="63">
        <f t="shared" si="31"/>
        <v>2.4073513513513514</v>
      </c>
      <c r="AG21" s="253">
        <f>SUM([3]PSA!$JV$43:$KA$43)</f>
        <v>68196</v>
      </c>
      <c r="AH21" s="2">
        <f>SUM([3]PSA!$JH$43:$JM$43)</f>
        <v>56078</v>
      </c>
      <c r="AI21" s="3">
        <f t="shared" si="32"/>
        <v>0.2160918720353793</v>
      </c>
      <c r="AJ21" s="63">
        <f t="shared" si="33"/>
        <v>3.9592445596963117E-3</v>
      </c>
    </row>
    <row r="22" spans="1:36" ht="14.1" customHeight="1" x14ac:dyDescent="0.2">
      <c r="A22" s="36"/>
      <c r="B22" s="308" t="s">
        <v>96</v>
      </c>
      <c r="C22" s="253">
        <f>'[3]Sky West_AA'!$KA$19</f>
        <v>2</v>
      </c>
      <c r="D22" s="2">
        <f>'[3]Sky West_AA'!$JM$19</f>
        <v>0</v>
      </c>
      <c r="E22" s="63">
        <f>IFERROR((C22-D22)/D22,0)</f>
        <v>0</v>
      </c>
      <c r="F22" s="2">
        <f>SUM('[3]Sky West_AA'!$JV$19:$KA$19)</f>
        <v>40</v>
      </c>
      <c r="G22" s="2">
        <f>SUM('[3]Sky West_AA'!$JH$19:$JM$19)</f>
        <v>2</v>
      </c>
      <c r="H22" s="3">
        <f>IFERROR((F22-G22)/G22,0)</f>
        <v>19</v>
      </c>
      <c r="I22" s="63">
        <f t="shared" si="24"/>
        <v>2.6452227277536767E-4</v>
      </c>
      <c r="J22" s="36"/>
      <c r="K22" s="308" t="s">
        <v>96</v>
      </c>
      <c r="L22" s="253">
        <f>'[3]Sky West_AA'!$KA$41</f>
        <v>0</v>
      </c>
      <c r="M22" s="2">
        <f>'[3]Sky West_AA'!$JM$41</f>
        <v>0</v>
      </c>
      <c r="N22" s="63">
        <f>IFERROR((L22-M22)/M22,0)</f>
        <v>0</v>
      </c>
      <c r="O22" s="253">
        <f>SUM('[3]Sky West_AA'!$JV$41:$KA$41)</f>
        <v>1889</v>
      </c>
      <c r="P22" s="2">
        <f>SUM('[3]Sky West_AA'!$JH$41:$JM$41)</f>
        <v>108</v>
      </c>
      <c r="Q22" s="3">
        <f>IFERROR((O22-P22)/P22,0)</f>
        <v>16.49074074074074</v>
      </c>
      <c r="R22" s="314">
        <f t="shared" si="27"/>
        <v>1.1331550118864302E-4</v>
      </c>
      <c r="S22" s="36"/>
      <c r="T22" s="308" t="s">
        <v>96</v>
      </c>
      <c r="U22" s="253">
        <f>'[3]Sky West_AA'!$KA$64</f>
        <v>0</v>
      </c>
      <c r="V22" s="2">
        <f>'[3]Sky West_AA'!$JM$64</f>
        <v>0</v>
      </c>
      <c r="W22" s="63">
        <f>IFERROR((U22-V22)/V22,0)</f>
        <v>0</v>
      </c>
      <c r="X22" s="253">
        <f>SUM('[3]Sky West_AA'!$JV$64:$KA$64)</f>
        <v>16</v>
      </c>
      <c r="Y22" s="2">
        <f>SUM('[3]Sky West_AA'!$JH$64:$JM$64)</f>
        <v>0</v>
      </c>
      <c r="Z22" s="313">
        <f>IFERROR((X22-Y22)/Y22,0)</f>
        <v>0</v>
      </c>
      <c r="AA22" s="314">
        <f t="shared" si="30"/>
        <v>3.1735144168628833E-7</v>
      </c>
      <c r="AB22" s="36"/>
      <c r="AC22" s="308" t="s">
        <v>96</v>
      </c>
      <c r="AD22" s="253">
        <f>'[3]Sky West_AA'!$KA$43</f>
        <v>0</v>
      </c>
      <c r="AE22" s="2">
        <f>'[3]Sky West_AA'!$JM$43</f>
        <v>0</v>
      </c>
      <c r="AF22" s="314">
        <f>IFERROR((AD22-AE22)/AE22,0)</f>
        <v>0</v>
      </c>
      <c r="AG22" s="253">
        <f>SUM('[3]Sky West_AA'!$JV$43:$KA$43)</f>
        <v>1968</v>
      </c>
      <c r="AH22" s="2">
        <f>SUM('[3]Sky West_AA'!$JH$43:$JM$43)</f>
        <v>114</v>
      </c>
      <c r="AI22" s="313">
        <f>IFERROR((AG22-AH22)/AH22,0)</f>
        <v>16.263157894736842</v>
      </c>
      <c r="AJ22" s="63">
        <f t="shared" si="33"/>
        <v>1.1425586975016631E-4</v>
      </c>
    </row>
    <row r="23" spans="1:36" ht="14.1" customHeight="1" x14ac:dyDescent="0.2">
      <c r="A23" s="36"/>
      <c r="B23" s="37"/>
      <c r="C23" s="253"/>
      <c r="E23" s="63"/>
      <c r="F23" s="2"/>
      <c r="I23" s="63"/>
      <c r="J23" s="36"/>
      <c r="K23" s="37"/>
      <c r="L23" s="253"/>
      <c r="N23" s="63"/>
      <c r="O23" s="253"/>
      <c r="P23" s="2"/>
      <c r="Q23" s="3"/>
      <c r="R23" s="63"/>
      <c r="S23" s="36"/>
      <c r="T23" s="37"/>
      <c r="U23" s="253"/>
      <c r="V23" s="2"/>
      <c r="W23" s="63"/>
      <c r="X23" s="253"/>
      <c r="Y23" s="2"/>
      <c r="Z23" s="3"/>
      <c r="AA23" s="63"/>
      <c r="AB23" s="36"/>
      <c r="AC23" s="37"/>
      <c r="AD23" s="253"/>
      <c r="AE23" s="2"/>
      <c r="AF23" s="63"/>
      <c r="AG23" s="253"/>
      <c r="AH23" s="2"/>
      <c r="AI23" s="3"/>
      <c r="AJ23" s="63"/>
    </row>
    <row r="24" spans="1:36" ht="14.1" customHeight="1" x14ac:dyDescent="0.2">
      <c r="A24" s="248" t="s">
        <v>197</v>
      </c>
      <c r="B24" s="37"/>
      <c r="C24" s="249">
        <f>'[3]Denver Air'!$KA$19</f>
        <v>154</v>
      </c>
      <c r="D24" s="251">
        <f>'[3]Denver Air'!$JM$19</f>
        <v>156</v>
      </c>
      <c r="E24" s="252">
        <f>(C24-D24)/D24</f>
        <v>-1.282051282051282E-2</v>
      </c>
      <c r="F24" s="251">
        <f>SUM('[3]Denver Air'!$JV$19:$KA$19)</f>
        <v>924</v>
      </c>
      <c r="G24" s="251">
        <f>SUM('[3]Denver Air'!$JH$19:$JM$19)</f>
        <v>920</v>
      </c>
      <c r="H24" s="250">
        <f>(F24-G24)/G24</f>
        <v>4.3478260869565218E-3</v>
      </c>
      <c r="I24" s="252">
        <f>F24/$F$56</f>
        <v>6.1104645011109933E-3</v>
      </c>
      <c r="J24" s="248" t="s">
        <v>197</v>
      </c>
      <c r="K24" s="37"/>
      <c r="L24" s="249">
        <f>'[3]Denver Air'!$KA$41</f>
        <v>1826</v>
      </c>
      <c r="M24" s="251">
        <f>'[3]Denver Air'!$JM$41</f>
        <v>1692</v>
      </c>
      <c r="N24" s="252">
        <f>(L24-M24)/M24</f>
        <v>7.9196217494089838E-2</v>
      </c>
      <c r="O24" s="249">
        <f>SUM('[3]Denver Air'!$JV$41:$KA$41)</f>
        <v>10642</v>
      </c>
      <c r="P24" s="251">
        <f>SUM('[3]Denver Air'!$JH$41:$JM$41)</f>
        <v>9483</v>
      </c>
      <c r="Q24" s="250">
        <f>(O24-P24)/P24</f>
        <v>0.12221870716018138</v>
      </c>
      <c r="R24" s="252">
        <f>O24/$O$56</f>
        <v>6.3838198181553148E-4</v>
      </c>
      <c r="S24" s="248" t="s">
        <v>197</v>
      </c>
      <c r="T24" s="37"/>
      <c r="U24" s="249">
        <f>'[3]Denver Air'!$KA$64</f>
        <v>0</v>
      </c>
      <c r="V24" s="251">
        <f>'[3]Denver Air'!$JM$64</f>
        <v>0</v>
      </c>
      <c r="W24" s="252">
        <f>IFERROR((U24-V24)/V24,0)</f>
        <v>0</v>
      </c>
      <c r="X24" s="249">
        <f>SUM('[3]Denver Air'!$JV$64:$KA$64)</f>
        <v>0</v>
      </c>
      <c r="Y24" s="251">
        <f>SUM('[3]Denver Air'!$JH$64:$JM$64)</f>
        <v>0</v>
      </c>
      <c r="Z24" s="250">
        <f>IFERROR((X24-Y24)/Y24,0)</f>
        <v>0</v>
      </c>
      <c r="AA24" s="252">
        <f>X24/$X$54</f>
        <v>0</v>
      </c>
      <c r="AB24" s="248" t="s">
        <v>197</v>
      </c>
      <c r="AC24" s="37"/>
      <c r="AD24" s="249">
        <f>'[3]Denver Air'!$KA$43</f>
        <v>1960</v>
      </c>
      <c r="AE24" s="251">
        <f>'[3]Denver Air'!$JM$43</f>
        <v>1787</v>
      </c>
      <c r="AF24" s="252">
        <f>(AD24-AE24)/AE24</f>
        <v>9.6810296586457747E-2</v>
      </c>
      <c r="AG24" s="249">
        <f>SUM('[3]Denver Air'!$JV$43:$KA$43)</f>
        <v>11244</v>
      </c>
      <c r="AH24" s="251">
        <f>SUM('[3]Denver Air'!$JH$43:$JM$43)</f>
        <v>9958</v>
      </c>
      <c r="AI24" s="250">
        <f>(AG24-AH24)/AH24</f>
        <v>0.12914239807190198</v>
      </c>
      <c r="AJ24" s="252">
        <f>AG24/$AG$56</f>
        <v>6.5279115826771849E-4</v>
      </c>
    </row>
    <row r="25" spans="1:36" ht="14.1" customHeight="1" x14ac:dyDescent="0.2">
      <c r="A25" s="36"/>
      <c r="B25" s="37"/>
      <c r="C25" s="253"/>
      <c r="E25" s="63"/>
      <c r="F25" s="2"/>
      <c r="I25" s="63"/>
      <c r="J25" s="36"/>
      <c r="K25" s="37"/>
      <c r="L25" s="253"/>
      <c r="N25" s="63"/>
      <c r="O25" s="253"/>
      <c r="P25" s="2"/>
      <c r="Q25" s="3"/>
      <c r="R25" s="63"/>
      <c r="S25" s="36"/>
      <c r="T25" s="37"/>
      <c r="U25" s="253"/>
      <c r="V25" s="2"/>
      <c r="W25" s="63"/>
      <c r="X25" s="253"/>
      <c r="Y25" s="2"/>
      <c r="Z25" s="3"/>
      <c r="AA25" s="63"/>
      <c r="AB25" s="36"/>
      <c r="AC25" s="37"/>
      <c r="AD25" s="253"/>
      <c r="AE25" s="2"/>
      <c r="AF25" s="63"/>
      <c r="AG25" s="253"/>
      <c r="AH25" s="2"/>
      <c r="AI25" s="3"/>
      <c r="AJ25" s="63"/>
    </row>
    <row r="26" spans="1:36" ht="14.1" customHeight="1" x14ac:dyDescent="0.2">
      <c r="A26" s="248" t="s">
        <v>18</v>
      </c>
      <c r="B26" s="255"/>
      <c r="C26" s="249">
        <f>SUM(C27:C29)</f>
        <v>20588</v>
      </c>
      <c r="D26" s="251">
        <f>SUM(D27:D29)</f>
        <v>20039</v>
      </c>
      <c r="E26" s="252">
        <f t="shared" ref="E26:E29" si="34">(C26-D26)/D26</f>
        <v>2.7396576675482807E-2</v>
      </c>
      <c r="F26" s="254">
        <f>SUM(F27:F29)</f>
        <v>113092</v>
      </c>
      <c r="G26" s="254">
        <f>SUM(G27:G29)</f>
        <v>111531</v>
      </c>
      <c r="H26" s="250">
        <f>(F26-G26)/G26</f>
        <v>1.3996108705203038E-2</v>
      </c>
      <c r="I26" s="252">
        <f>F26/$F$56</f>
        <v>0.74788382181779711</v>
      </c>
      <c r="J26" s="248" t="s">
        <v>18</v>
      </c>
      <c r="K26" s="255"/>
      <c r="L26" s="249">
        <f>SUM(L27:L29)</f>
        <v>2357023</v>
      </c>
      <c r="M26" s="251">
        <f>SUM(M27:M29)</f>
        <v>2360582</v>
      </c>
      <c r="N26" s="252">
        <f t="shared" ref="N26:N29" si="35">(L26-M26)/M26</f>
        <v>-1.5076790384744101E-3</v>
      </c>
      <c r="O26" s="249">
        <f>SUM(O27:O29)</f>
        <v>12123288</v>
      </c>
      <c r="P26" s="251">
        <f>SUM(P27:P29)</f>
        <v>12208617</v>
      </c>
      <c r="Q26" s="250">
        <f t="shared" ref="Q26:Q29" si="36">(O26-P26)/P26</f>
        <v>-6.9892437448074588E-3</v>
      </c>
      <c r="R26" s="252">
        <f>O26/$O$56</f>
        <v>0.72724005070103848</v>
      </c>
      <c r="S26" s="248" t="s">
        <v>18</v>
      </c>
      <c r="T26" s="255"/>
      <c r="U26" s="249">
        <f>SUM(U27:U29)</f>
        <v>8115745</v>
      </c>
      <c r="V26" s="251">
        <f>SUM(V27:V29)</f>
        <v>6697568</v>
      </c>
      <c r="W26" s="252">
        <f t="shared" ref="W26:W27" si="37">(U26-V26)/V26</f>
        <v>0.21174506925498926</v>
      </c>
      <c r="X26" s="249">
        <f>SUM(X27:X29)</f>
        <v>44390645</v>
      </c>
      <c r="Y26" s="251">
        <f>SUM(Y27:Y29)</f>
        <v>37709030</v>
      </c>
      <c r="Z26" s="250">
        <f t="shared" ref="Z26:Z27" si="38">(X26-Y26)/Y26</f>
        <v>0.17718872641380592</v>
      </c>
      <c r="AA26" s="252">
        <f>X26/$X$56</f>
        <v>0.88046469925838922</v>
      </c>
      <c r="AB26" s="248" t="s">
        <v>18</v>
      </c>
      <c r="AC26" s="255"/>
      <c r="AD26" s="249">
        <f>SUM(AD27:AD29)</f>
        <v>2432936</v>
      </c>
      <c r="AE26" s="251">
        <f>SUM(AE27:AE29)</f>
        <v>2434781</v>
      </c>
      <c r="AF26" s="252">
        <f t="shared" ref="AF26:AF29" si="39">(AD26-AE26)/AE26</f>
        <v>-7.577683578112364E-4</v>
      </c>
      <c r="AG26" s="249">
        <f>SUM(AG27:AG29)</f>
        <v>12547011</v>
      </c>
      <c r="AH26" s="251">
        <f>SUM(AH27:AH29)</f>
        <v>12614155</v>
      </c>
      <c r="AI26" s="250">
        <f t="shared" ref="AI26:AI29" si="40">(AG26-AH26)/AH26</f>
        <v>-5.3229090652524881E-3</v>
      </c>
      <c r="AJ26" s="252">
        <f>AG26/$AG$56</f>
        <v>0.72843986512698367</v>
      </c>
    </row>
    <row r="27" spans="1:36" ht="14.1" customHeight="1" x14ac:dyDescent="0.2">
      <c r="A27" s="36"/>
      <c r="B27" s="37" t="s">
        <v>18</v>
      </c>
      <c r="C27" s="253">
        <f>[3]Delta!$KA$19</f>
        <v>13095</v>
      </c>
      <c r="D27" s="2">
        <f>[3]Delta!$JM$19</f>
        <v>13540</v>
      </c>
      <c r="E27" s="63">
        <f t="shared" si="34"/>
        <v>-3.2865583456425408E-2</v>
      </c>
      <c r="F27" s="2">
        <f>SUM([3]Delta!$JV$19:$KA$19)</f>
        <v>68378</v>
      </c>
      <c r="G27" s="2">
        <f>SUM([3]Delta!$JH$19:$JM$19)</f>
        <v>72078</v>
      </c>
      <c r="H27" s="3">
        <f t="shared" ref="H27:H29" si="41">(F27-G27)/G27</f>
        <v>-5.1333277837897831E-2</v>
      </c>
      <c r="I27" s="63">
        <f>F27/$F$56</f>
        <v>0.45218759919585227</v>
      </c>
      <c r="J27" s="36"/>
      <c r="K27" s="37" t="s">
        <v>18</v>
      </c>
      <c r="L27" s="253">
        <f>[3]Delta!$KA$41</f>
        <v>1906109</v>
      </c>
      <c r="M27" s="2">
        <f>[3]Delta!$JM$41</f>
        <v>1956117</v>
      </c>
      <c r="N27" s="63">
        <f t="shared" si="35"/>
        <v>-2.5564932976912935E-2</v>
      </c>
      <c r="O27" s="253">
        <f>SUM([3]Delta!$JV$41:$KA$41)</f>
        <v>9602618</v>
      </c>
      <c r="P27" s="2">
        <f>SUM([3]Delta!$JH$41:$JM$41)</f>
        <v>10006572</v>
      </c>
      <c r="Q27" s="3">
        <f t="shared" si="36"/>
        <v>-4.0368869578912739E-2</v>
      </c>
      <c r="R27" s="63">
        <f>O27/$O$56</f>
        <v>0.5760325417644705</v>
      </c>
      <c r="S27" s="36"/>
      <c r="T27" s="37" t="s">
        <v>18</v>
      </c>
      <c r="U27" s="253">
        <f>[3]Delta!$KA$64</f>
        <v>8115745</v>
      </c>
      <c r="V27" s="2">
        <f>[3]Delta!$JM$64</f>
        <v>6697568</v>
      </c>
      <c r="W27" s="63">
        <f t="shared" si="37"/>
        <v>0.21174506925498926</v>
      </c>
      <c r="X27" s="253">
        <f>SUM([3]Delta!$JV$64:$KA$64)</f>
        <v>44390645</v>
      </c>
      <c r="Y27" s="2">
        <f>SUM([3]Delta!$JH$64:$JM$64)</f>
        <v>37709030</v>
      </c>
      <c r="Z27" s="3">
        <f t="shared" si="38"/>
        <v>0.17718872641380592</v>
      </c>
      <c r="AA27" s="63">
        <f>X27/$X$56</f>
        <v>0.88046469925838922</v>
      </c>
      <c r="AB27" s="36"/>
      <c r="AC27" s="37" t="s">
        <v>18</v>
      </c>
      <c r="AD27" s="253">
        <f>[3]Delta!$KA$43</f>
        <v>1968712</v>
      </c>
      <c r="AE27" s="2">
        <f>[3]Delta!$JM$43</f>
        <v>2019381</v>
      </c>
      <c r="AF27" s="63">
        <f t="shared" si="39"/>
        <v>-2.5091352251011573E-2</v>
      </c>
      <c r="AG27" s="253">
        <f>SUM([3]Delta!$JV$43:$KA$43)</f>
        <v>9940716</v>
      </c>
      <c r="AH27" s="2">
        <f>SUM([3]Delta!$JH$43:$JM$43)</f>
        <v>10344752</v>
      </c>
      <c r="AI27" s="3">
        <f>(AG27-AH27)/AH27</f>
        <v>-3.9057098710534581E-2</v>
      </c>
      <c r="AJ27" s="63">
        <f>AG27/$AG$56</f>
        <v>0.57712660188993603</v>
      </c>
    </row>
    <row r="28" spans="1:36" ht="14.1" customHeight="1" x14ac:dyDescent="0.2">
      <c r="A28" s="36"/>
      <c r="B28" s="37" t="s">
        <v>154</v>
      </c>
      <c r="C28" s="253">
        <f>[3]Pinnacle!$KA$19</f>
        <v>2183</v>
      </c>
      <c r="D28" s="2">
        <f>[3]Pinnacle!$JM$19</f>
        <v>2002</v>
      </c>
      <c r="E28" s="63">
        <f t="shared" si="34"/>
        <v>9.0409590409590415E-2</v>
      </c>
      <c r="F28" s="2">
        <f>SUM([3]Pinnacle!$JV$19:$KA$19)</f>
        <v>13903</v>
      </c>
      <c r="G28" s="2">
        <f>SUM([3]Pinnacle!$JH$19:$JM$19)</f>
        <v>14393</v>
      </c>
      <c r="H28" s="3">
        <f t="shared" si="41"/>
        <v>-3.4044327103453065E-2</v>
      </c>
      <c r="I28" s="63">
        <f>F28/$F$56</f>
        <v>9.1941328959898427E-2</v>
      </c>
      <c r="J28" s="36"/>
      <c r="K28" s="37" t="s">
        <v>154</v>
      </c>
      <c r="L28" s="253">
        <f>[3]Pinnacle!$KA$41</f>
        <v>133546</v>
      </c>
      <c r="M28" s="2">
        <f>[3]Pinnacle!$JM$41</f>
        <v>131467</v>
      </c>
      <c r="N28" s="63">
        <f t="shared" si="35"/>
        <v>1.5813854427346785E-2</v>
      </c>
      <c r="O28" s="253">
        <f>SUM([3]Pinnacle!$JV$41:$KA$41)</f>
        <v>817075</v>
      </c>
      <c r="P28" s="2">
        <f>SUM([3]Pinnacle!$JH$41:$JM$41)</f>
        <v>870215</v>
      </c>
      <c r="Q28" s="3">
        <f t="shared" si="36"/>
        <v>-6.1065368903087169E-2</v>
      </c>
      <c r="R28" s="63">
        <f>O28/$O$56</f>
        <v>4.9013903194129432E-2</v>
      </c>
      <c r="S28" s="36"/>
      <c r="T28" s="37" t="s">
        <v>154</v>
      </c>
      <c r="U28" s="253">
        <f>[3]Pinnacle!$KA$64</f>
        <v>0</v>
      </c>
      <c r="V28" s="2">
        <f>[3]Pinnacle!$JM$64</f>
        <v>0</v>
      </c>
      <c r="W28" s="63">
        <f>IFERROR((U28-V28)/V28,0)</f>
        <v>0</v>
      </c>
      <c r="X28" s="253">
        <f>SUM([3]Pinnacle!$JV$64:$KA$64)</f>
        <v>0</v>
      </c>
      <c r="Y28" s="2">
        <f>SUM([3]Pinnacle!$JH$64:$JM$64)</f>
        <v>0</v>
      </c>
      <c r="Z28" s="313">
        <f>IFERROR((X28-Y28)/Y28,0)</f>
        <v>0</v>
      </c>
      <c r="AA28" s="63">
        <f>X28/$X$56</f>
        <v>0</v>
      </c>
      <c r="AB28" s="36"/>
      <c r="AC28" s="37" t="s">
        <v>154</v>
      </c>
      <c r="AD28" s="253">
        <f>[3]Pinnacle!$KA$43</f>
        <v>137045</v>
      </c>
      <c r="AE28" s="2">
        <f>[3]Pinnacle!$JM$43</f>
        <v>134325</v>
      </c>
      <c r="AF28" s="63">
        <f t="shared" si="39"/>
        <v>2.0249395123766983E-2</v>
      </c>
      <c r="AG28" s="253">
        <f>SUM([3]Pinnacle!$JV$43:$KA$43)</f>
        <v>843786</v>
      </c>
      <c r="AH28" s="2">
        <f>SUM([3]Pinnacle!$JH$43:$JM$43)</f>
        <v>895234</v>
      </c>
      <c r="AI28" s="3">
        <f t="shared" si="40"/>
        <v>-5.7468773527368261E-2</v>
      </c>
      <c r="AJ28" s="63">
        <f>AG28/$AG$56</f>
        <v>4.8987552496450114E-2</v>
      </c>
    </row>
    <row r="29" spans="1:36" ht="14.1" customHeight="1" x14ac:dyDescent="0.2">
      <c r="A29" s="36"/>
      <c r="B29" s="37" t="s">
        <v>96</v>
      </c>
      <c r="C29" s="253">
        <f>'[3]Sky West'!$KA$19</f>
        <v>5310</v>
      </c>
      <c r="D29" s="2">
        <f>'[3]Sky West'!$JM$19</f>
        <v>4497</v>
      </c>
      <c r="E29" s="63">
        <f t="shared" si="34"/>
        <v>0.18078719146097399</v>
      </c>
      <c r="F29" s="2">
        <f>SUM('[3]Sky West'!$JV$19:$KA$19)</f>
        <v>30811</v>
      </c>
      <c r="G29" s="2">
        <f>SUM('[3]Sky West'!$JH$19:$JM$19)</f>
        <v>25060</v>
      </c>
      <c r="H29" s="3">
        <f t="shared" si="41"/>
        <v>0.22948922585794093</v>
      </c>
      <c r="I29" s="63">
        <f>F29/$F$56</f>
        <v>0.20375489366204635</v>
      </c>
      <c r="J29" s="36"/>
      <c r="K29" s="37" t="s">
        <v>96</v>
      </c>
      <c r="L29" s="253">
        <f>'[3]Sky West'!$KA$41</f>
        <v>317368</v>
      </c>
      <c r="M29" s="2">
        <f>'[3]Sky West'!$JM$41</f>
        <v>272998</v>
      </c>
      <c r="N29" s="63">
        <f t="shared" si="35"/>
        <v>0.16252866321364992</v>
      </c>
      <c r="O29" s="253">
        <f>SUM('[3]Sky West'!$JV$41:$KA$41)</f>
        <v>1703595</v>
      </c>
      <c r="P29" s="2">
        <f>SUM('[3]Sky West'!$JH$41:$JM$41)</f>
        <v>1331830</v>
      </c>
      <c r="Q29" s="3">
        <f t="shared" si="36"/>
        <v>0.27913847863466057</v>
      </c>
      <c r="R29" s="63">
        <f>O29/$O$56</f>
        <v>0.10219360574243848</v>
      </c>
      <c r="S29" s="36"/>
      <c r="T29" s="37" t="s">
        <v>96</v>
      </c>
      <c r="U29" s="253">
        <f>'[3]Sky West'!$KA$64</f>
        <v>0</v>
      </c>
      <c r="V29" s="2">
        <f>'[3]Sky West'!$JM$64</f>
        <v>0</v>
      </c>
      <c r="W29" s="63">
        <f>IFERROR((U29-V29)/V29,0)</f>
        <v>0</v>
      </c>
      <c r="X29" s="253">
        <f>SUM('[3]Sky West'!$JV$64:$KA$64)</f>
        <v>0</v>
      </c>
      <c r="Y29" s="2">
        <f>SUM('[3]Sky West'!$JH$64:$JM$64)</f>
        <v>0</v>
      </c>
      <c r="Z29" s="313">
        <f>IFERROR((X29-Y29)/Y29,0)</f>
        <v>0</v>
      </c>
      <c r="AA29" s="63">
        <f>X29/$X$56</f>
        <v>0</v>
      </c>
      <c r="AB29" s="36"/>
      <c r="AC29" s="37" t="s">
        <v>96</v>
      </c>
      <c r="AD29" s="253">
        <f>'[3]Sky West'!$KA$43</f>
        <v>327179</v>
      </c>
      <c r="AE29" s="2">
        <f>'[3]Sky West'!$JM$43</f>
        <v>281075</v>
      </c>
      <c r="AF29" s="63">
        <f t="shared" si="39"/>
        <v>0.16402739482344569</v>
      </c>
      <c r="AG29" s="253">
        <f>SUM('[3]Sky West'!$JV$43:$KA$43)</f>
        <v>1762509</v>
      </c>
      <c r="AH29" s="2">
        <f>SUM('[3]Sky West'!$JH$43:$JM$43)</f>
        <v>1374169</v>
      </c>
      <c r="AI29" s="3">
        <f t="shared" si="40"/>
        <v>0.2825998840026227</v>
      </c>
      <c r="AJ29" s="63">
        <f>AG29/$AG$56</f>
        <v>0.10232571074059749</v>
      </c>
    </row>
    <row r="30" spans="1:36" ht="14.1" customHeight="1" x14ac:dyDescent="0.2">
      <c r="A30" s="36"/>
      <c r="B30" s="308"/>
      <c r="C30" s="253"/>
      <c r="E30" s="63"/>
      <c r="F30" s="2"/>
      <c r="I30" s="63"/>
      <c r="J30" s="36"/>
      <c r="K30" s="308"/>
      <c r="L30" s="253"/>
      <c r="N30" s="63"/>
      <c r="O30" s="253"/>
      <c r="P30" s="2"/>
      <c r="Q30" s="3"/>
      <c r="R30" s="63"/>
      <c r="S30" s="36"/>
      <c r="T30" s="308"/>
      <c r="U30" s="253"/>
      <c r="V30" s="2"/>
      <c r="W30" s="63"/>
      <c r="X30" s="253"/>
      <c r="Y30" s="2"/>
      <c r="Z30" s="3"/>
      <c r="AA30" s="63"/>
      <c r="AB30" s="36"/>
      <c r="AC30" s="308"/>
      <c r="AD30" s="253"/>
      <c r="AE30" s="2"/>
      <c r="AF30" s="63"/>
      <c r="AG30" s="253"/>
      <c r="AH30" s="2"/>
      <c r="AI30" s="3"/>
      <c r="AJ30" s="63"/>
    </row>
    <row r="31" spans="1:36" ht="14.1" customHeight="1" x14ac:dyDescent="0.2">
      <c r="A31" s="248" t="s">
        <v>47</v>
      </c>
      <c r="B31" s="37"/>
      <c r="C31" s="249">
        <f>[3]Frontier!$KA$19</f>
        <v>226</v>
      </c>
      <c r="D31" s="251">
        <f>[3]Frontier!$JM$19</f>
        <v>141</v>
      </c>
      <c r="E31" s="252">
        <f>(C31-D31)/D31</f>
        <v>0.6028368794326241</v>
      </c>
      <c r="F31" s="251">
        <f>SUM([3]Frontier!$JV$19:$KA$19)</f>
        <v>1342</v>
      </c>
      <c r="G31" s="251">
        <f>SUM([3]Frontier!$JH$19:$JM$19)</f>
        <v>971</v>
      </c>
      <c r="H31" s="250">
        <f>(F31-G31)/G31</f>
        <v>0.38208032955715759</v>
      </c>
      <c r="I31" s="252">
        <f>F31/$F$56</f>
        <v>8.8747222516135857E-3</v>
      </c>
      <c r="J31" s="248" t="s">
        <v>47</v>
      </c>
      <c r="K31" s="37"/>
      <c r="L31" s="249">
        <f>[3]Frontier!$KA$41</f>
        <v>36779</v>
      </c>
      <c r="M31" s="251">
        <f>[3]Frontier!$JM$41</f>
        <v>22431</v>
      </c>
      <c r="N31" s="252">
        <f>(L31-M31)/M31</f>
        <v>0.63965048370558597</v>
      </c>
      <c r="O31" s="249">
        <f>SUM([3]Frontier!$JV$41:$KA$41)</f>
        <v>221094</v>
      </c>
      <c r="P31" s="251">
        <f>SUM([3]Frontier!$JH$41:$JM$41)</f>
        <v>161641</v>
      </c>
      <c r="Q31" s="250">
        <f>(O31-P31)/P31</f>
        <v>0.36780890986816461</v>
      </c>
      <c r="R31" s="252">
        <f>O31/$O$56</f>
        <v>1.3262772588566353E-2</v>
      </c>
      <c r="S31" s="248" t="s">
        <v>47</v>
      </c>
      <c r="T31" s="37"/>
      <c r="U31" s="249">
        <f>[3]Frontier!$KA$64</f>
        <v>0</v>
      </c>
      <c r="V31" s="251">
        <f>[3]Frontier!$JM$64</f>
        <v>0</v>
      </c>
      <c r="W31" s="252">
        <f>IFERROR((U31-V31)/V31,0)</f>
        <v>0</v>
      </c>
      <c r="X31" s="249">
        <f>SUM([3]Frontier!$JV$64:$KA$64)</f>
        <v>0</v>
      </c>
      <c r="Y31" s="251">
        <f>SUM([3]Frontier!$JH$64:$JM$64)</f>
        <v>0</v>
      </c>
      <c r="Z31" s="250">
        <f>IFERROR((X31-Y31)/Y31,0)</f>
        <v>0</v>
      </c>
      <c r="AA31" s="252">
        <f>X31/$X$56</f>
        <v>0</v>
      </c>
      <c r="AB31" s="248" t="s">
        <v>47</v>
      </c>
      <c r="AC31" s="37"/>
      <c r="AD31" s="249">
        <f>[3]Frontier!$KA$43</f>
        <v>37185</v>
      </c>
      <c r="AE31" s="251">
        <f>[3]Frontier!$JM$43</f>
        <v>22645</v>
      </c>
      <c r="AF31" s="252">
        <f>(AD31-AE31)/AE31</f>
        <v>0.64208434533009495</v>
      </c>
      <c r="AG31" s="249">
        <f>SUM([3]Frontier!$JV$43:$KA$43)</f>
        <v>223062</v>
      </c>
      <c r="AH31" s="251">
        <f>SUM([3]Frontier!$JH$43:$JM$43)</f>
        <v>162810</v>
      </c>
      <c r="AI31" s="250">
        <f>(AG31-AH31)/AH31</f>
        <v>0.37007554818500094</v>
      </c>
      <c r="AJ31" s="252">
        <f>AG31/$AG$56</f>
        <v>1.295027582226199E-2</v>
      </c>
    </row>
    <row r="32" spans="1:36" ht="14.1" customHeight="1" x14ac:dyDescent="0.2">
      <c r="A32" s="248"/>
      <c r="B32" s="37"/>
      <c r="C32" s="249"/>
      <c r="D32" s="251"/>
      <c r="E32" s="252"/>
      <c r="F32" s="251"/>
      <c r="G32" s="251"/>
      <c r="H32" s="250"/>
      <c r="I32" s="252"/>
      <c r="J32" s="248"/>
      <c r="K32" s="37"/>
      <c r="L32" s="253"/>
      <c r="N32" s="63"/>
      <c r="O32" s="253"/>
      <c r="P32" s="2"/>
      <c r="Q32" s="3"/>
      <c r="R32" s="63"/>
      <c r="S32" s="248"/>
      <c r="T32" s="37"/>
      <c r="U32" s="253"/>
      <c r="V32" s="2"/>
      <c r="W32" s="63"/>
      <c r="X32" s="253"/>
      <c r="Y32" s="2"/>
      <c r="Z32" s="3"/>
      <c r="AA32" s="63"/>
      <c r="AB32" s="248"/>
      <c r="AC32" s="37"/>
      <c r="AD32" s="253"/>
      <c r="AE32" s="2"/>
      <c r="AF32" s="63"/>
      <c r="AG32" s="253"/>
      <c r="AH32" s="2"/>
      <c r="AI32" s="3"/>
      <c r="AJ32" s="63"/>
    </row>
    <row r="33" spans="1:36" ht="14.1" customHeight="1" x14ac:dyDescent="0.2">
      <c r="A33" s="248" t="s">
        <v>48</v>
      </c>
      <c r="B33" s="37"/>
      <c r="C33" s="249">
        <f>[3]Icelandair!$KA$19</f>
        <v>60</v>
      </c>
      <c r="D33" s="251">
        <f>[3]Icelandair!$JM$19</f>
        <v>60</v>
      </c>
      <c r="E33" s="252">
        <f>(C33-D33)/D33</f>
        <v>0</v>
      </c>
      <c r="F33" s="251">
        <f>SUM([3]Icelandair!$JV$19:$KA$19)</f>
        <v>260</v>
      </c>
      <c r="G33" s="251">
        <f>SUM([3]Icelandair!$JH$19:$JM$19)</f>
        <v>206</v>
      </c>
      <c r="H33" s="250">
        <f>(F33-G33)/G33</f>
        <v>0.26213592233009708</v>
      </c>
      <c r="I33" s="252">
        <f>F33/$F$56</f>
        <v>1.7193947730398899E-3</v>
      </c>
      <c r="J33" s="248" t="s">
        <v>48</v>
      </c>
      <c r="K33" s="37"/>
      <c r="L33" s="249">
        <f>[3]Icelandair!$KA$41</f>
        <v>9275</v>
      </c>
      <c r="M33" s="251">
        <f>[3]Icelandair!$JM$41</f>
        <v>9644</v>
      </c>
      <c r="N33" s="252">
        <f>(L33-M33)/M33</f>
        <v>-3.8262131895479057E-2</v>
      </c>
      <c r="O33" s="249">
        <f>SUM([3]Icelandair!$JV$41:$KA$41)</f>
        <v>35227</v>
      </c>
      <c r="P33" s="251">
        <f>SUM([3]Icelandair!$JH$41:$JM$41)</f>
        <v>30290</v>
      </c>
      <c r="Q33" s="250">
        <f>(O33-P33)/P33</f>
        <v>0.16299108616705182</v>
      </c>
      <c r="R33" s="252">
        <f>O33/$O$56</f>
        <v>2.1131631341304012E-3</v>
      </c>
      <c r="S33" s="248" t="s">
        <v>48</v>
      </c>
      <c r="T33" s="37"/>
      <c r="U33" s="249">
        <f>[3]Icelandair!$KA$64</f>
        <v>170</v>
      </c>
      <c r="V33" s="251">
        <f>[3]Icelandair!$JM$64</f>
        <v>13790</v>
      </c>
      <c r="W33" s="252">
        <f>(U33-V33)/V33</f>
        <v>-0.98767222625090645</v>
      </c>
      <c r="X33" s="249">
        <f>SUM([3]Icelandair!$JV$64:$KA$64)</f>
        <v>6435</v>
      </c>
      <c r="Y33" s="251">
        <f>SUM([3]Icelandair!$JH$64:$JM$64)</f>
        <v>20606</v>
      </c>
      <c r="Z33" s="250">
        <f>(X33-Y33)/Y33</f>
        <v>-0.68771231680093181</v>
      </c>
      <c r="AA33" s="252">
        <f>X33/$X$56</f>
        <v>1.2763478295320409E-4</v>
      </c>
      <c r="AB33" s="248" t="s">
        <v>48</v>
      </c>
      <c r="AC33" s="37"/>
      <c r="AD33" s="249">
        <f>[3]Icelandair!$KA$43</f>
        <v>9305</v>
      </c>
      <c r="AE33" s="251">
        <f>[3]Icelandair!$JM$43</f>
        <v>9696</v>
      </c>
      <c r="AF33" s="252">
        <f>(AD33-AE33)/AE33</f>
        <v>-4.0325907590759075E-2</v>
      </c>
      <c r="AG33" s="249">
        <f>SUM([3]Icelandair!$JV$43:$KA$43)</f>
        <v>35612</v>
      </c>
      <c r="AH33" s="251">
        <f>SUM([3]Icelandair!$JH$43:$JM$43)</f>
        <v>30539</v>
      </c>
      <c r="AI33" s="250">
        <f>(AG33-AH33)/AH33</f>
        <v>0.16611545892137922</v>
      </c>
      <c r="AJ33" s="252">
        <f>AG33/$AG$56</f>
        <v>2.0675203422474198E-3</v>
      </c>
    </row>
    <row r="34" spans="1:36" ht="14.1" customHeight="1" x14ac:dyDescent="0.2">
      <c r="A34" s="248"/>
      <c r="B34" s="37"/>
      <c r="C34" s="249"/>
      <c r="D34" s="251"/>
      <c r="E34" s="252"/>
      <c r="F34" s="251"/>
      <c r="G34" s="251"/>
      <c r="H34" s="250"/>
      <c r="I34" s="252"/>
      <c r="J34" s="248"/>
      <c r="K34" s="37"/>
      <c r="L34" s="253"/>
      <c r="N34" s="63"/>
      <c r="O34" s="253"/>
      <c r="P34" s="2"/>
      <c r="Q34" s="3"/>
      <c r="R34" s="63"/>
      <c r="S34" s="248"/>
      <c r="T34" s="37"/>
      <c r="U34" s="253"/>
      <c r="V34" s="2"/>
      <c r="W34" s="63"/>
      <c r="X34" s="253"/>
      <c r="Y34" s="2"/>
      <c r="Z34" s="3"/>
      <c r="AA34" s="63"/>
      <c r="AB34" s="248"/>
      <c r="AC34" s="37"/>
      <c r="AD34" s="253"/>
      <c r="AE34" s="2"/>
      <c r="AF34" s="63"/>
      <c r="AG34" s="253"/>
      <c r="AH34" s="2"/>
      <c r="AI34" s="3"/>
      <c r="AJ34" s="63"/>
    </row>
    <row r="35" spans="1:36" ht="14.1" customHeight="1" x14ac:dyDescent="0.2">
      <c r="A35" s="248" t="s">
        <v>176</v>
      </c>
      <c r="B35" s="37"/>
      <c r="C35" s="249">
        <f>[3]KLM!$KA$19</f>
        <v>38</v>
      </c>
      <c r="D35" s="251">
        <f>[3]KLM!$JM$19</f>
        <v>42</v>
      </c>
      <c r="E35" s="252">
        <f>(C35-D35)/D35</f>
        <v>-9.5238095238095233E-2</v>
      </c>
      <c r="F35" s="251">
        <f>SUM([3]KLM!$JV$19:$KA$19)</f>
        <v>98</v>
      </c>
      <c r="G35" s="251">
        <f>SUM([3]KLM!$JH$19:$JM$19)</f>
        <v>96</v>
      </c>
      <c r="H35" s="250">
        <f>(F35-G35)/G35</f>
        <v>2.0833333333333332E-2</v>
      </c>
      <c r="I35" s="252">
        <f>F35/$F$56</f>
        <v>6.480795682996508E-4</v>
      </c>
      <c r="J35" s="248" t="s">
        <v>176</v>
      </c>
      <c r="K35" s="37"/>
      <c r="L35" s="249">
        <f>[3]KLM!$KA$41</f>
        <v>7624</v>
      </c>
      <c r="M35" s="251">
        <f>[3]KLM!$JM$41</f>
        <v>10405</v>
      </c>
      <c r="N35" s="252">
        <f>(L35-M35)/M35</f>
        <v>-0.26727534839019701</v>
      </c>
      <c r="O35" s="249">
        <f>SUM([3]KLM!$JV$41:$KA$41)</f>
        <v>21164</v>
      </c>
      <c r="P35" s="251">
        <f>SUM([3]KLM!$JH$41:$JM$41)</f>
        <v>23514</v>
      </c>
      <c r="Q35" s="250">
        <f>(O35-P35)/P35</f>
        <v>-9.9940461001956277E-2</v>
      </c>
      <c r="R35" s="252">
        <f>O35/$O$56</f>
        <v>1.2695655199345902E-3</v>
      </c>
      <c r="S35" s="248" t="s">
        <v>176</v>
      </c>
      <c r="T35" s="37"/>
      <c r="U35" s="249">
        <f>[3]KLM!$KA$64</f>
        <v>417421</v>
      </c>
      <c r="V35" s="251">
        <f>[3]KLM!$JM$64</f>
        <v>312212</v>
      </c>
      <c r="W35" s="252">
        <f>(U35-V35)/V35</f>
        <v>0.33697936017834035</v>
      </c>
      <c r="X35" s="249">
        <f>SUM([3]KLM!$JV$64:$KA$64)</f>
        <v>964827.54799999995</v>
      </c>
      <c r="Y35" s="251">
        <f>SUM([3]KLM!$JH$64:$JM$64)</f>
        <v>915801</v>
      </c>
      <c r="Z35" s="250">
        <f>(X35-Y35)/Y35</f>
        <v>5.3534062531052001E-2</v>
      </c>
      <c r="AA35" s="252">
        <f>X35/$X$56</f>
        <v>1.913683833352791E-2</v>
      </c>
      <c r="AB35" s="248" t="s">
        <v>176</v>
      </c>
      <c r="AC35" s="37"/>
      <c r="AD35" s="249">
        <f>[3]KLM!$KA$43</f>
        <v>7643</v>
      </c>
      <c r="AE35" s="251">
        <f>[3]KLM!$JM$43</f>
        <v>10405</v>
      </c>
      <c r="AF35" s="252">
        <f>(AD35-AE35)/AE35</f>
        <v>-0.26544930321960597</v>
      </c>
      <c r="AG35" s="249">
        <f>SUM([3]KLM!$JV$43:$KA$43)</f>
        <v>21209</v>
      </c>
      <c r="AH35" s="251">
        <f>SUM([3]KLM!$JH$43:$JM$43)</f>
        <v>23514</v>
      </c>
      <c r="AI35" s="250">
        <f>(AG35-AH35)/AH35</f>
        <v>-9.802670749340818E-2</v>
      </c>
      <c r="AJ35" s="252">
        <f>AG35/$AG$56</f>
        <v>1.2313276125667059E-3</v>
      </c>
    </row>
    <row r="36" spans="1:36" ht="14.1" customHeight="1" x14ac:dyDescent="0.2">
      <c r="A36" s="248"/>
      <c r="B36" s="37"/>
      <c r="C36" s="249"/>
      <c r="D36" s="251"/>
      <c r="E36" s="252"/>
      <c r="F36" s="251"/>
      <c r="G36" s="251"/>
      <c r="H36" s="250"/>
      <c r="I36" s="252"/>
      <c r="J36" s="248"/>
      <c r="K36" s="37"/>
      <c r="L36" s="253"/>
      <c r="N36" s="63"/>
      <c r="O36" s="253"/>
      <c r="P36" s="2"/>
      <c r="Q36" s="3"/>
      <c r="R36" s="63"/>
      <c r="S36" s="248"/>
      <c r="T36" s="37"/>
      <c r="U36" s="253"/>
      <c r="V36" s="2"/>
      <c r="W36" s="63"/>
      <c r="X36" s="253"/>
      <c r="Y36" s="2"/>
      <c r="Z36" s="3"/>
      <c r="AA36" s="63"/>
      <c r="AB36" s="248"/>
      <c r="AC36" s="37"/>
      <c r="AD36" s="253"/>
      <c r="AE36" s="2"/>
      <c r="AF36" s="63"/>
      <c r="AG36" s="253"/>
      <c r="AH36" s="2"/>
      <c r="AI36" s="3"/>
      <c r="AJ36" s="63"/>
    </row>
    <row r="37" spans="1:36" ht="14.1" customHeight="1" x14ac:dyDescent="0.2">
      <c r="A37" s="248" t="s">
        <v>240</v>
      </c>
      <c r="B37" s="37"/>
      <c r="C37" s="249">
        <f>[3]Lufthansa!$KA$19</f>
        <v>28</v>
      </c>
      <c r="D37" s="251">
        <f>[3]Lufthansa!$JM$19</f>
        <v>32</v>
      </c>
      <c r="E37" s="252">
        <f>IFERROR((C37-D37)/D37,0)</f>
        <v>-0.125</v>
      </c>
      <c r="F37" s="251">
        <f>SUM([3]Lufthansa!$JV$19:$KA$19)</f>
        <v>48</v>
      </c>
      <c r="G37" s="251">
        <f>SUM([3]Lufthansa!$JH$19:$JM$19)</f>
        <v>178</v>
      </c>
      <c r="H37" s="250">
        <f>IFERROR((F37-G37)/G37,0)</f>
        <v>-0.7303370786516854</v>
      </c>
      <c r="I37" s="252">
        <f>F37/$F$56</f>
        <v>3.174267273304412E-4</v>
      </c>
      <c r="J37" s="248" t="s">
        <v>240</v>
      </c>
      <c r="K37" s="37"/>
      <c r="L37" s="249">
        <f>[3]Lufthansa!$KA$41</f>
        <v>6130</v>
      </c>
      <c r="M37" s="251">
        <f>[3]Lufthansa!$JM$41</f>
        <v>6818</v>
      </c>
      <c r="N37" s="252">
        <f>IFERROR((L37-M37)/M37,0)</f>
        <v>-0.10090935758286888</v>
      </c>
      <c r="O37" s="249">
        <f>SUM([3]Lufthansa!$JV$41:$KA$41)</f>
        <v>10196</v>
      </c>
      <c r="P37" s="251">
        <f>SUM([3]Lufthansa!$JH$41:$JM$41)</f>
        <v>32352</v>
      </c>
      <c r="Q37" s="250">
        <f>IFERROR((O37-P37)/P37,0)</f>
        <v>-0.68484174085064298</v>
      </c>
      <c r="R37" s="252">
        <f>O37/$O$56</f>
        <v>6.116277660769741E-4</v>
      </c>
      <c r="S37" s="248" t="s">
        <v>240</v>
      </c>
      <c r="T37" s="37"/>
      <c r="U37" s="249">
        <f>[3]Lufthansa!$KA$64</f>
        <v>227306</v>
      </c>
      <c r="V37" s="251">
        <f>[3]Lufthansa!$JM$64</f>
        <v>373102</v>
      </c>
      <c r="W37" s="252">
        <f>IFERROR((U37-V37)/V37,0)</f>
        <v>-0.39076713606466862</v>
      </c>
      <c r="X37" s="249">
        <f>SUM([3]Lufthansa!$JV$64:$KA$64)</f>
        <v>269629.07</v>
      </c>
      <c r="Y37" s="251">
        <f>SUM([3]Lufthansa!$JH$64:$JM$64)</f>
        <v>2852771</v>
      </c>
      <c r="Z37" s="250">
        <f>IFERROR((X37-Y37)/Y37,0)</f>
        <v>-0.90548520368441776</v>
      </c>
      <c r="AA37" s="252">
        <f>X37/$X$56</f>
        <v>5.3479483803145723E-3</v>
      </c>
      <c r="AB37" s="248" t="s">
        <v>240</v>
      </c>
      <c r="AC37" s="37"/>
      <c r="AD37" s="249">
        <f>[3]Lufthansa!$KA$43</f>
        <v>6189</v>
      </c>
      <c r="AE37" s="251">
        <f>[3]Lufthansa!$JM$43</f>
        <v>6866</v>
      </c>
      <c r="AF37" s="252">
        <f>IFERROR((AD37-AE37)/AE37,0)</f>
        <v>-9.8601806000582576E-2</v>
      </c>
      <c r="AG37" s="249">
        <f>SUM([3]Lufthansa!$JV$43:$KA$43)</f>
        <v>10318</v>
      </c>
      <c r="AH37" s="251">
        <f>SUM([3]Lufthansa!$JH$43:$JM$43)</f>
        <v>32786</v>
      </c>
      <c r="AI37" s="250">
        <f>IFERROR((AG37-AH37)/AH37,0)</f>
        <v>-0.68529250289757826</v>
      </c>
      <c r="AJ37" s="252">
        <f>AG37/$AG$56</f>
        <v>5.9903052036697961E-4</v>
      </c>
    </row>
    <row r="38" spans="1:36" ht="14.1" customHeight="1" x14ac:dyDescent="0.2">
      <c r="A38" s="248"/>
      <c r="B38" s="37"/>
      <c r="C38" s="249"/>
      <c r="D38" s="251"/>
      <c r="E38" s="252"/>
      <c r="F38" s="251"/>
      <c r="G38" s="251"/>
      <c r="H38" s="250"/>
      <c r="I38" s="252"/>
      <c r="J38" s="248"/>
      <c r="K38" s="37"/>
      <c r="L38" s="253"/>
      <c r="N38" s="63"/>
      <c r="O38" s="253"/>
      <c r="P38" s="2"/>
      <c r="Q38" s="3"/>
      <c r="R38" s="63"/>
      <c r="S38" s="248"/>
      <c r="T38" s="37"/>
      <c r="U38" s="253"/>
      <c r="V38" s="2"/>
      <c r="W38" s="63"/>
      <c r="X38" s="253"/>
      <c r="Y38" s="2"/>
      <c r="Z38" s="3"/>
      <c r="AA38" s="63"/>
      <c r="AB38" s="248"/>
      <c r="AC38" s="37"/>
      <c r="AD38" s="253"/>
      <c r="AE38" s="2"/>
      <c r="AF38" s="63"/>
      <c r="AG38" s="253"/>
      <c r="AH38" s="2"/>
      <c r="AI38" s="3"/>
      <c r="AJ38" s="63"/>
    </row>
    <row r="39" spans="1:36" ht="14.1" customHeight="1" x14ac:dyDescent="0.2">
      <c r="A39" s="248" t="s">
        <v>127</v>
      </c>
      <c r="B39" s="37"/>
      <c r="C39" s="249">
        <f>[3]Southwest!$KA$19</f>
        <v>979</v>
      </c>
      <c r="D39" s="251">
        <f>[3]Southwest!$JM$19</f>
        <v>1135</v>
      </c>
      <c r="E39" s="252">
        <f>(C39-D39)/D39</f>
        <v>-0.13744493392070484</v>
      </c>
      <c r="F39" s="251">
        <f>SUM([3]Southwest!$JV$19:$KA$19)</f>
        <v>5266</v>
      </c>
      <c r="G39" s="251">
        <f>SUM([3]Southwest!$JH$19:$JM$19)</f>
        <v>5753</v>
      </c>
      <c r="H39" s="250">
        <f>(F39-G39)/G39</f>
        <v>-8.4651486181122892E-2</v>
      </c>
      <c r="I39" s="252">
        <f>F39/$F$56</f>
        <v>3.4824357210877156E-2</v>
      </c>
      <c r="J39" s="248" t="s">
        <v>127</v>
      </c>
      <c r="K39" s="37"/>
      <c r="L39" s="249">
        <f>[3]Southwest!$KA$41</f>
        <v>130215</v>
      </c>
      <c r="M39" s="251">
        <f>[3]Southwest!$JM$41</f>
        <v>147217</v>
      </c>
      <c r="N39" s="252">
        <f>(L39-M39)/M39</f>
        <v>-0.1154893796232772</v>
      </c>
      <c r="O39" s="249">
        <f>SUM([3]Southwest!$JV$41:$KA$41)</f>
        <v>658434</v>
      </c>
      <c r="P39" s="251">
        <f>SUM([3]Southwest!$JH$41:$JM$41)</f>
        <v>695587</v>
      </c>
      <c r="Q39" s="250">
        <f>(O39-P39)/P39</f>
        <v>-5.3412441578120348E-2</v>
      </c>
      <c r="R39" s="252">
        <f>O39/$O$56</f>
        <v>3.9497500640361553E-2</v>
      </c>
      <c r="S39" s="248" t="s">
        <v>127</v>
      </c>
      <c r="T39" s="37"/>
      <c r="U39" s="249">
        <f>[3]Southwest!$KA$64</f>
        <v>259534</v>
      </c>
      <c r="V39" s="251">
        <f>[3]Southwest!$JM$64</f>
        <v>200073</v>
      </c>
      <c r="W39" s="252">
        <f>(U39-V39)/V39</f>
        <v>0.29719652326900681</v>
      </c>
      <c r="X39" s="249">
        <f>SUM([3]Southwest!$JV$64:$KA$64)</f>
        <v>1320130</v>
      </c>
      <c r="Y39" s="251">
        <f>SUM([3]Southwest!$JH$64:$JM$64)</f>
        <v>1221013</v>
      </c>
      <c r="Z39" s="250">
        <f>(X39-Y39)/Y39</f>
        <v>8.1176039894743132E-2</v>
      </c>
      <c r="AA39" s="252">
        <f>X39/$X$56</f>
        <v>2.6184072419582489E-2</v>
      </c>
      <c r="AB39" s="248" t="s">
        <v>127</v>
      </c>
      <c r="AC39" s="37"/>
      <c r="AD39" s="249">
        <f>[3]Southwest!$KA$43</f>
        <v>134113</v>
      </c>
      <c r="AE39" s="251">
        <f>[3]Southwest!$JM$43</f>
        <v>151153</v>
      </c>
      <c r="AF39" s="252">
        <f>(AD39-AE39)/AE39</f>
        <v>-0.11273345550534888</v>
      </c>
      <c r="AG39" s="249">
        <f>SUM([3]Southwest!$JV$43:$KA$43)</f>
        <v>678184</v>
      </c>
      <c r="AH39" s="251">
        <f>SUM([3]Southwest!$JH$43:$JM$43)</f>
        <v>715418</v>
      </c>
      <c r="AI39" s="250">
        <f>(AG39-AH39)/AH39</f>
        <v>-5.2045098110475273E-2</v>
      </c>
      <c r="AJ39" s="252">
        <f>AG39/$AG$56</f>
        <v>3.9373222952564423E-2</v>
      </c>
    </row>
    <row r="40" spans="1:36" ht="14.1" customHeight="1" x14ac:dyDescent="0.2">
      <c r="A40" s="248"/>
      <c r="B40" s="37"/>
      <c r="C40" s="249"/>
      <c r="D40" s="251"/>
      <c r="E40" s="252"/>
      <c r="F40" s="251"/>
      <c r="G40" s="251"/>
      <c r="H40" s="250"/>
      <c r="I40" s="252"/>
      <c r="J40" s="248"/>
      <c r="K40" s="37"/>
      <c r="L40" s="253"/>
      <c r="N40" s="63"/>
      <c r="O40" s="253"/>
      <c r="P40" s="2"/>
      <c r="Q40" s="3"/>
      <c r="R40" s="63"/>
      <c r="S40" s="248"/>
      <c r="T40" s="37"/>
      <c r="U40" s="253"/>
      <c r="V40" s="2"/>
      <c r="W40" s="63"/>
      <c r="X40" s="253"/>
      <c r="Y40" s="2"/>
      <c r="Z40" s="3"/>
      <c r="AA40" s="63"/>
      <c r="AB40" s="248"/>
      <c r="AC40" s="37"/>
      <c r="AD40" s="253"/>
      <c r="AE40" s="2"/>
      <c r="AF40" s="63"/>
      <c r="AG40" s="253"/>
      <c r="AH40" s="2"/>
      <c r="AI40" s="3"/>
      <c r="AJ40" s="63"/>
    </row>
    <row r="41" spans="1:36" ht="14.1" customHeight="1" x14ac:dyDescent="0.2">
      <c r="A41" s="248" t="s">
        <v>151</v>
      </c>
      <c r="B41" s="37"/>
      <c r="C41" s="249">
        <f>[3]Spirit!$KA$19</f>
        <v>0</v>
      </c>
      <c r="D41" s="251">
        <f>[3]Spirit!$JM$19</f>
        <v>72</v>
      </c>
      <c r="E41" s="252">
        <f>(C41-D41)/D41</f>
        <v>-1</v>
      </c>
      <c r="F41" s="251">
        <f>SUM([3]Spirit!$JV$19:$KA$19)</f>
        <v>0</v>
      </c>
      <c r="G41" s="251">
        <f>SUM([3]Spirit!$JH$19:$JM$19)</f>
        <v>880</v>
      </c>
      <c r="H41" s="250">
        <f>(F41-G41)/G41</f>
        <v>-1</v>
      </c>
      <c r="I41" s="252">
        <f>F41/$F$56</f>
        <v>0</v>
      </c>
      <c r="J41" s="248" t="s">
        <v>151</v>
      </c>
      <c r="K41" s="37"/>
      <c r="L41" s="249">
        <f>[3]Spirit!$KA$41</f>
        <v>0</v>
      </c>
      <c r="M41" s="251">
        <f>[3]Spirit!$JM$41</f>
        <v>11769</v>
      </c>
      <c r="N41" s="252">
        <f>(L41-M41)/M41</f>
        <v>-1</v>
      </c>
      <c r="O41" s="249">
        <f>SUM([3]Spirit!$JV$41:$KA$41)</f>
        <v>0</v>
      </c>
      <c r="P41" s="251">
        <f>SUM([3]Spirit!$JH$41:$JM$41)</f>
        <v>124702</v>
      </c>
      <c r="Q41" s="250">
        <f>(O41-P41)/P41</f>
        <v>-1</v>
      </c>
      <c r="R41" s="252">
        <f>O41/$O$56</f>
        <v>0</v>
      </c>
      <c r="S41" s="248" t="s">
        <v>151</v>
      </c>
      <c r="T41" s="37"/>
      <c r="U41" s="249">
        <f>[3]Spirit!$KA$64</f>
        <v>0</v>
      </c>
      <c r="V41" s="251">
        <f>[3]Spirit!$JM$64</f>
        <v>0</v>
      </c>
      <c r="W41" s="252">
        <f>IFERROR((U41-V41)/V41,0)</f>
        <v>0</v>
      </c>
      <c r="X41" s="249">
        <f>SUM([3]Spirit!$JV$64:$KA$64)</f>
        <v>0</v>
      </c>
      <c r="Y41" s="251">
        <f>SUM([3]Spirit!$JH$64:$JM$64)</f>
        <v>0</v>
      </c>
      <c r="Z41" s="250">
        <f>IFERROR((X41-Y41)/Y41,0)</f>
        <v>0</v>
      </c>
      <c r="AA41" s="252">
        <f>X41/$X$56</f>
        <v>0</v>
      </c>
      <c r="AB41" s="248" t="s">
        <v>151</v>
      </c>
      <c r="AC41" s="37"/>
      <c r="AD41" s="249">
        <f>[3]Spirit!$KA$43</f>
        <v>0</v>
      </c>
      <c r="AE41" s="251">
        <f>[3]Spirit!$JM$43</f>
        <v>11878</v>
      </c>
      <c r="AF41" s="252">
        <f>(AD41-AE41)/AE41</f>
        <v>-1</v>
      </c>
      <c r="AG41" s="249">
        <f>SUM([3]Spirit!$JV$43:$KA$43)</f>
        <v>0</v>
      </c>
      <c r="AH41" s="251">
        <f>SUM([3]Spirit!$JH$43:$JM$43)</f>
        <v>125802</v>
      </c>
      <c r="AI41" s="250">
        <f>(AG41-AH41)/AH41</f>
        <v>-1</v>
      </c>
      <c r="AJ41" s="252">
        <f>AG41/$AG$56</f>
        <v>0</v>
      </c>
    </row>
    <row r="42" spans="1:36" ht="14.1" customHeight="1" x14ac:dyDescent="0.2">
      <c r="A42" s="248"/>
      <c r="B42" s="37"/>
      <c r="C42" s="249"/>
      <c r="D42" s="251"/>
      <c r="E42" s="252"/>
      <c r="F42" s="251"/>
      <c r="G42" s="251"/>
      <c r="H42" s="250"/>
      <c r="I42" s="252"/>
      <c r="J42" s="248"/>
      <c r="K42" s="37"/>
      <c r="L42" s="253"/>
      <c r="N42" s="63"/>
      <c r="O42" s="253"/>
      <c r="P42" s="2"/>
      <c r="Q42" s="3"/>
      <c r="R42" s="63"/>
      <c r="S42" s="248"/>
      <c r="T42" s="37"/>
      <c r="U42" s="253"/>
      <c r="V42" s="2"/>
      <c r="W42" s="63"/>
      <c r="X42" s="253"/>
      <c r="Y42" s="2"/>
      <c r="Z42" s="3"/>
      <c r="AA42" s="63"/>
      <c r="AB42" s="248"/>
      <c r="AC42" s="37"/>
      <c r="AD42" s="253"/>
      <c r="AE42" s="2"/>
      <c r="AF42" s="63"/>
      <c r="AG42" s="253"/>
      <c r="AH42" s="2"/>
      <c r="AI42" s="3"/>
      <c r="AJ42" s="63"/>
    </row>
    <row r="43" spans="1:36" ht="14.1" customHeight="1" x14ac:dyDescent="0.2">
      <c r="A43" s="248" t="s">
        <v>49</v>
      </c>
      <c r="B43" s="37"/>
      <c r="C43" s="249">
        <f>'[3]Sun Country'!$KA$19</f>
        <v>2530</v>
      </c>
      <c r="D43" s="251">
        <f>'[3]Sun Country'!$JM$19</f>
        <v>2716</v>
      </c>
      <c r="E43" s="252">
        <f>(C43-D43)/D43</f>
        <v>-6.848306332842416E-2</v>
      </c>
      <c r="F43" s="251">
        <f>SUM('[3]Sun Country'!$JV$19:$KA$19)</f>
        <v>12912</v>
      </c>
      <c r="G43" s="251">
        <f>SUM('[3]Sun Country'!$JH$19:$JM$19)</f>
        <v>14197</v>
      </c>
      <c r="H43" s="250">
        <f>(F43-G43)/G43</f>
        <v>-9.0512080016904986E-2</v>
      </c>
      <c r="I43" s="252">
        <f>F43/$F$56</f>
        <v>8.5387789651888688E-2</v>
      </c>
      <c r="J43" s="248" t="s">
        <v>49</v>
      </c>
      <c r="K43" s="37"/>
      <c r="L43" s="249">
        <f>'[3]Sun Country'!$KA$41</f>
        <v>367738</v>
      </c>
      <c r="M43" s="251">
        <f>'[3]Sun Country'!$JM$41</f>
        <v>399175</v>
      </c>
      <c r="N43" s="252">
        <f>(L43-M43)/M43</f>
        <v>-7.8754932047347653E-2</v>
      </c>
      <c r="O43" s="249">
        <f>SUM('[3]Sun Country'!$JV$41:$KA$41)</f>
        <v>1842245</v>
      </c>
      <c r="P43" s="251">
        <f>SUM('[3]Sun Country'!$JH$41:$JM$41)</f>
        <v>2013961</v>
      </c>
      <c r="Q43" s="250">
        <f>(O43-P43)/P43</f>
        <v>-8.5262822864990928E-2</v>
      </c>
      <c r="R43" s="252">
        <f>O43/$O$56</f>
        <v>0.1105108075634048</v>
      </c>
      <c r="S43" s="248" t="s">
        <v>49</v>
      </c>
      <c r="T43" s="37"/>
      <c r="U43" s="249">
        <f>'[3]Sun Country'!$KA$64</f>
        <v>0</v>
      </c>
      <c r="V43" s="251">
        <f>'[3]Sun Country'!$JM$64</f>
        <v>0</v>
      </c>
      <c r="W43" s="252">
        <f>IFERROR((U43-V43)/V43,0)</f>
        <v>0</v>
      </c>
      <c r="X43" s="249">
        <f>SUM('[3]Sun Country'!$JV$64:$KA$64)</f>
        <v>0</v>
      </c>
      <c r="Y43" s="251">
        <f>SUM('[3]Sun Country'!$JH$64:$JM$64)</f>
        <v>0</v>
      </c>
      <c r="Z43" s="250">
        <f>IFERROR((X43-Y43)/Y43,0)</f>
        <v>0</v>
      </c>
      <c r="AA43" s="252">
        <f>X43/$X$56</f>
        <v>0</v>
      </c>
      <c r="AB43" s="248" t="s">
        <v>49</v>
      </c>
      <c r="AC43" s="37"/>
      <c r="AD43" s="249">
        <f>'[3]Sun Country'!$KA$43</f>
        <v>376191</v>
      </c>
      <c r="AE43" s="251">
        <f>'[3]Sun Country'!$JM$43</f>
        <v>406420</v>
      </c>
      <c r="AF43" s="252">
        <f>(AD43-AE43)/AE43</f>
        <v>-7.4378721519610252E-2</v>
      </c>
      <c r="AG43" s="249">
        <f>SUM('[3]Sun Country'!$JV$43:$KA$43)</f>
        <v>1882902</v>
      </c>
      <c r="AH43" s="251">
        <f>SUM('[3]Sun Country'!$JH$43:$JM$43)</f>
        <v>2051805</v>
      </c>
      <c r="AI43" s="250">
        <f>(AG43-AH43)/AH43</f>
        <v>-8.231922624225986E-2</v>
      </c>
      <c r="AJ43" s="252">
        <f>AG43/$AG$56</f>
        <v>0.10931534840667055</v>
      </c>
    </row>
    <row r="44" spans="1:36" ht="14.1" customHeight="1" x14ac:dyDescent="0.2">
      <c r="A44" s="248"/>
      <c r="B44" s="37"/>
      <c r="C44" s="249"/>
      <c r="D44" s="251"/>
      <c r="E44" s="252"/>
      <c r="F44" s="251"/>
      <c r="G44" s="251"/>
      <c r="H44" s="250"/>
      <c r="I44" s="252"/>
      <c r="J44" s="248"/>
      <c r="K44" s="37"/>
      <c r="L44" s="253"/>
      <c r="N44" s="63"/>
      <c r="O44" s="253"/>
      <c r="P44" s="2"/>
      <c r="Q44" s="3"/>
      <c r="R44" s="63"/>
      <c r="S44" s="248"/>
      <c r="T44" s="37"/>
      <c r="U44" s="253"/>
      <c r="V44" s="2"/>
      <c r="W44" s="63"/>
      <c r="X44" s="253"/>
      <c r="Y44" s="2"/>
      <c r="Z44" s="3"/>
      <c r="AA44" s="63"/>
      <c r="AB44" s="248"/>
      <c r="AC44" s="37"/>
      <c r="AD44" s="253"/>
      <c r="AE44" s="2"/>
      <c r="AF44" s="63"/>
      <c r="AG44" s="253"/>
      <c r="AH44" s="2"/>
      <c r="AI44" s="3"/>
      <c r="AJ44" s="63"/>
    </row>
    <row r="45" spans="1:36" ht="14.1" customHeight="1" x14ac:dyDescent="0.2">
      <c r="A45" s="248" t="s">
        <v>19</v>
      </c>
      <c r="B45" s="255"/>
      <c r="C45" s="249">
        <f>SUM(C46:C49)</f>
        <v>1285</v>
      </c>
      <c r="D45" s="251">
        <f>SUM(D46:D49)</f>
        <v>1176</v>
      </c>
      <c r="E45" s="252">
        <f t="shared" ref="E45:E49" si="42">(C45-D45)/D45</f>
        <v>9.2687074829931979E-2</v>
      </c>
      <c r="F45" s="251">
        <f>SUM(F46:F49)</f>
        <v>6899</v>
      </c>
      <c r="G45" s="251">
        <f>SUM(G46:G49)</f>
        <v>6824</v>
      </c>
      <c r="H45" s="250">
        <f t="shared" ref="H45:H49" si="43">(F45-G45)/G45</f>
        <v>1.0990621336459554E-2</v>
      </c>
      <c r="I45" s="252">
        <f>F45/$F$56</f>
        <v>4.5623478996931539E-2</v>
      </c>
      <c r="J45" s="248" t="s">
        <v>19</v>
      </c>
      <c r="K45" s="255"/>
      <c r="L45" s="249">
        <f>SUM(L46:L49)</f>
        <v>146856</v>
      </c>
      <c r="M45" s="251">
        <f>SUM(M46:M49)</f>
        <v>130293</v>
      </c>
      <c r="N45" s="252">
        <f t="shared" ref="N45:N49" si="44">(L45-M45)/M45</f>
        <v>0.12712118072344639</v>
      </c>
      <c r="O45" s="249">
        <f>SUM(O46:O49)</f>
        <v>729074</v>
      </c>
      <c r="P45" s="251">
        <f>SUM(P46:P49)</f>
        <v>691854</v>
      </c>
      <c r="Q45" s="250">
        <f t="shared" ref="Q45:Q49" si="45">(O45-P45)/P45</f>
        <v>5.3797477502478847E-2</v>
      </c>
      <c r="R45" s="252">
        <f>O45/$O$56</f>
        <v>4.3734984496351888E-2</v>
      </c>
      <c r="S45" s="248" t="s">
        <v>19</v>
      </c>
      <c r="T45" s="255"/>
      <c r="U45" s="249">
        <f>SUM(U46:U49)</f>
        <v>216377</v>
      </c>
      <c r="V45" s="251">
        <f>SUM(V46:V49)</f>
        <v>56885</v>
      </c>
      <c r="W45" s="252">
        <f t="shared" ref="W45:W46" si="46">(U45-V45)/V45</f>
        <v>2.8037619759163226</v>
      </c>
      <c r="X45" s="249">
        <f>SUM(X46:X49)</f>
        <v>1953395</v>
      </c>
      <c r="Y45" s="251">
        <f>SUM(Y46:Y49)</f>
        <v>269616</v>
      </c>
      <c r="Z45" s="250">
        <f t="shared" ref="Z45:Z46" si="47">(X45-Y45)/Y45</f>
        <v>6.2451004391430773</v>
      </c>
      <c r="AA45" s="252">
        <f>X45/$X$56</f>
        <v>3.8744544964549203E-2</v>
      </c>
      <c r="AB45" s="248" t="s">
        <v>19</v>
      </c>
      <c r="AC45" s="255"/>
      <c r="AD45" s="249">
        <f>SUM(AD46:AD49)</f>
        <v>153340</v>
      </c>
      <c r="AE45" s="251">
        <f>SUM(AE46:AE49)</f>
        <v>135827</v>
      </c>
      <c r="AF45" s="252">
        <f t="shared" ref="AF45:AF49" si="48">(AD45-AE45)/AE45</f>
        <v>0.12893607309297858</v>
      </c>
      <c r="AG45" s="249">
        <f>SUM(AG46:AG49)</f>
        <v>761552</v>
      </c>
      <c r="AH45" s="251">
        <f>SUM(AH46:AH49)</f>
        <v>722362</v>
      </c>
      <c r="AI45" s="250">
        <f t="shared" ref="AI45:AI49" si="49">(AG45-AH45)/AH45</f>
        <v>5.4252576962797047E-2</v>
      </c>
      <c r="AJ45" s="252">
        <f>AG45/$AG$56</f>
        <v>4.4213305955273702E-2</v>
      </c>
    </row>
    <row r="46" spans="1:36" ht="14.1" customHeight="1" x14ac:dyDescent="0.2">
      <c r="A46" s="36"/>
      <c r="B46" s="308" t="s">
        <v>19</v>
      </c>
      <c r="C46" s="253">
        <f>[3]United!$KA$19</f>
        <v>1105</v>
      </c>
      <c r="D46" s="2">
        <f>[3]United!$JM$19+[3]Continental!$JM$19</f>
        <v>863</v>
      </c>
      <c r="E46" s="63">
        <f t="shared" si="42"/>
        <v>0.28041714947856317</v>
      </c>
      <c r="F46" s="2">
        <f>SUM([3]United!$JV$19:$KA$19)</f>
        <v>5101</v>
      </c>
      <c r="G46" s="2">
        <f>SUM([3]United!$JH$19:$JM$19)+SUM([3]Continental!$JH$19:$JM$19)</f>
        <v>4539</v>
      </c>
      <c r="H46" s="3">
        <f t="shared" si="43"/>
        <v>0.12381581846221634</v>
      </c>
      <c r="I46" s="63">
        <f>F46/$F$56</f>
        <v>3.3733202835678766E-2</v>
      </c>
      <c r="J46" s="36"/>
      <c r="K46" s="308" t="s">
        <v>19</v>
      </c>
      <c r="L46" s="253">
        <f>[3]United!$KA$41</f>
        <v>135542</v>
      </c>
      <c r="M46" s="2">
        <f>[3]United!$JM$41+[3]Continental!$JM$41</f>
        <v>110147</v>
      </c>
      <c r="N46" s="63">
        <f t="shared" si="44"/>
        <v>0.23055553033673182</v>
      </c>
      <c r="O46" s="253">
        <f>SUM([3]United!$JV$41:$KA$41)</f>
        <v>619532</v>
      </c>
      <c r="P46" s="2">
        <f>SUM([3]United!$JH$41:$JM$41)+SUM([3]Continental!$JH$41:$JM$41)</f>
        <v>551446</v>
      </c>
      <c r="Q46" s="3">
        <f t="shared" si="45"/>
        <v>0.12346811836517084</v>
      </c>
      <c r="R46" s="63">
        <f>O46/$O$56</f>
        <v>3.716388516802667E-2</v>
      </c>
      <c r="S46" s="36"/>
      <c r="T46" s="308" t="s">
        <v>19</v>
      </c>
      <c r="U46" s="253">
        <f>[3]United!$KA$64</f>
        <v>216377</v>
      </c>
      <c r="V46" s="2">
        <f>[3]United!$JM$64+[3]Continental!$JM$64</f>
        <v>56885</v>
      </c>
      <c r="W46" s="63">
        <f t="shared" si="46"/>
        <v>2.8037619759163226</v>
      </c>
      <c r="X46" s="253">
        <f>SUM([3]United!$JV$64:$KA$64)</f>
        <v>1953395</v>
      </c>
      <c r="Y46" s="2">
        <f>SUM([3]United!$JH$64:$JM$64)+SUM([3]Continental!$JH$64:$JM$64)</f>
        <v>269616</v>
      </c>
      <c r="Z46" s="3">
        <f t="shared" si="47"/>
        <v>6.2451004391430773</v>
      </c>
      <c r="AA46" s="63">
        <f>X46/$X$56</f>
        <v>3.8744544964549203E-2</v>
      </c>
      <c r="AB46" s="36"/>
      <c r="AC46" s="308" t="s">
        <v>19</v>
      </c>
      <c r="AD46" s="253">
        <f>[3]United!$KA$43</f>
        <v>141580</v>
      </c>
      <c r="AE46" s="2">
        <f>[3]United!$JM$43+[3]Continental!$JM$43</f>
        <v>114998</v>
      </c>
      <c r="AF46" s="63">
        <f t="shared" si="48"/>
        <v>0.23115184611906295</v>
      </c>
      <c r="AG46" s="253">
        <f>SUM([3]United!$JV$43:$KA$43)</f>
        <v>647823</v>
      </c>
      <c r="AH46" s="2">
        <f>SUM([3]United!$JH$43:$JM$43)+SUM([3]Continental!$JH$43:$JM$43)</f>
        <v>576895</v>
      </c>
      <c r="AI46" s="3">
        <f t="shared" si="49"/>
        <v>0.12294785012870627</v>
      </c>
      <c r="AJ46" s="63">
        <f>AG46/$AG$56</f>
        <v>3.7610559100183932E-2</v>
      </c>
    </row>
    <row r="47" spans="1:36" ht="14.1" customHeight="1" x14ac:dyDescent="0.2">
      <c r="A47" s="36"/>
      <c r="B47" s="37" t="s">
        <v>50</v>
      </c>
      <c r="C47" s="253">
        <f>[3]MESA_UA!$KA$19</f>
        <v>21</v>
      </c>
      <c r="D47" s="2">
        <f>[3]MESA_UA!$JM$19</f>
        <v>78</v>
      </c>
      <c r="E47" s="63">
        <f t="shared" si="42"/>
        <v>-0.73076923076923073</v>
      </c>
      <c r="F47" s="2">
        <f>SUM([3]MESA_UA!$JV$19:$KA$19)</f>
        <v>399</v>
      </c>
      <c r="G47" s="2">
        <f>SUM([3]MESA_UA!$JH$19:$JM$19)</f>
        <v>774</v>
      </c>
      <c r="H47" s="3">
        <f>(F47-G47)/G47</f>
        <v>-0.48449612403100772</v>
      </c>
      <c r="I47" s="63">
        <f>F47/$F$56</f>
        <v>2.6386096709342926E-3</v>
      </c>
      <c r="J47" s="36"/>
      <c r="K47" s="37" t="s">
        <v>50</v>
      </c>
      <c r="L47" s="253">
        <f>[3]MESA_UA!$KA$41</f>
        <v>1277</v>
      </c>
      <c r="M47" s="2">
        <f>[3]MESA_UA!$JM$41</f>
        <v>5420</v>
      </c>
      <c r="N47" s="63">
        <f t="shared" si="44"/>
        <v>-0.76439114391143914</v>
      </c>
      <c r="O47" s="253">
        <f>SUM([3]MESA_UA!$JV$41:$KA$41)</f>
        <v>23485</v>
      </c>
      <c r="P47" s="2">
        <f>SUM([3]MESA_UA!$JH$41:$JM$41)</f>
        <v>48965</v>
      </c>
      <c r="Q47" s="3">
        <f t="shared" si="45"/>
        <v>-0.52037169406719086</v>
      </c>
      <c r="R47" s="63">
        <f>O47/$O$56</f>
        <v>1.4087954184305352E-3</v>
      </c>
      <c r="S47" s="36"/>
      <c r="T47" s="37" t="s">
        <v>50</v>
      </c>
      <c r="U47" s="253">
        <f>[3]MESA_UA!$KA$64</f>
        <v>0</v>
      </c>
      <c r="V47" s="2">
        <f>[3]MESA_UA!$JM$64</f>
        <v>0</v>
      </c>
      <c r="W47" s="63">
        <f>IFERROR((U47-V47)/V47,0)</f>
        <v>0</v>
      </c>
      <c r="X47" s="253">
        <f>SUM([3]MESA_UA!$JV$64:$KA$64)</f>
        <v>0</v>
      </c>
      <c r="Y47" s="2">
        <f>SUM([3]MESA_UA!$JH$64:$JM$64)</f>
        <v>0</v>
      </c>
      <c r="Z47" s="3">
        <f t="shared" ref="Z47:Z49" si="50">IFERROR((X47-Y47)/Y47,0)</f>
        <v>0</v>
      </c>
      <c r="AA47" s="63">
        <f>X47/$X$56</f>
        <v>0</v>
      </c>
      <c r="AB47" s="36"/>
      <c r="AC47" s="37" t="s">
        <v>50</v>
      </c>
      <c r="AD47" s="253">
        <f>[3]MESA_UA!$KA$43</f>
        <v>1328</v>
      </c>
      <c r="AE47" s="2">
        <f>[3]MESA_UA!$JM$43</f>
        <v>5581</v>
      </c>
      <c r="AF47" s="63">
        <f t="shared" si="48"/>
        <v>-0.76204981186167353</v>
      </c>
      <c r="AG47" s="253">
        <f>SUM([3]MESA_UA!$JV$43:$KA$43)</f>
        <v>24460</v>
      </c>
      <c r="AH47" s="2">
        <f>SUM([3]MESA_UA!$JH$43:$JM$43)</f>
        <v>50625</v>
      </c>
      <c r="AI47" s="3">
        <f t="shared" si="49"/>
        <v>-0.51683950617283947</v>
      </c>
      <c r="AJ47" s="63">
        <f>AG47/$AG$56</f>
        <v>1.4200704136631442E-3</v>
      </c>
    </row>
    <row r="48" spans="1:36" ht="14.1" customHeight="1" x14ac:dyDescent="0.2">
      <c r="A48" s="36"/>
      <c r="B48" s="308" t="s">
        <v>51</v>
      </c>
      <c r="C48" s="253">
        <f>[3]Republic_UA!$KA$19</f>
        <v>10</v>
      </c>
      <c r="D48" s="2">
        <f>[3]Republic_UA!$JM$19</f>
        <v>116</v>
      </c>
      <c r="E48" s="63">
        <f t="shared" si="42"/>
        <v>-0.91379310344827591</v>
      </c>
      <c r="F48" s="2">
        <f>SUM([3]Republic_UA!$JV$19:$KA$19)</f>
        <v>883</v>
      </c>
      <c r="G48" s="2">
        <f>SUM([3]Republic_UA!$JH$19:$JM$19)</f>
        <v>916</v>
      </c>
      <c r="H48" s="3">
        <f t="shared" ref="H48" si="51">(F48-G48)/G48</f>
        <v>-3.6026200873362446E-2</v>
      </c>
      <c r="I48" s="63">
        <f>F48/$F$56</f>
        <v>5.8393291715162421E-3</v>
      </c>
      <c r="J48" s="36"/>
      <c r="K48" s="308" t="s">
        <v>51</v>
      </c>
      <c r="L48" s="253">
        <f>[3]Republic_UA!$KA$41</f>
        <v>508</v>
      </c>
      <c r="M48" s="2">
        <f>[3]Republic_UA!$JM$41</f>
        <v>7621</v>
      </c>
      <c r="N48" s="63">
        <f t="shared" si="44"/>
        <v>-0.93334208109172023</v>
      </c>
      <c r="O48" s="253">
        <f>SUM([3]Republic_UA!$JV$41:$KA$41)</f>
        <v>54966</v>
      </c>
      <c r="P48" s="2">
        <f>SUM([3]Republic_UA!$JH$41:$JM$41)</f>
        <v>56694</v>
      </c>
      <c r="Q48" s="3">
        <f t="shared" si="45"/>
        <v>-3.0479415811196953E-2</v>
      </c>
      <c r="R48" s="63">
        <f>O48/$O$56</f>
        <v>3.2972471351693762E-3</v>
      </c>
      <c r="S48" s="36"/>
      <c r="T48" s="308" t="s">
        <v>51</v>
      </c>
      <c r="U48" s="253">
        <f>[3]Republic_UA!$KA$64</f>
        <v>0</v>
      </c>
      <c r="V48" s="2">
        <f>[3]Republic_UA!$JM$64</f>
        <v>0</v>
      </c>
      <c r="W48" s="63">
        <f>IFERROR((U48-V48)/V48,0)</f>
        <v>0</v>
      </c>
      <c r="X48" s="253">
        <f>SUM([3]Republic_UA!$JV$64:$KA$64)</f>
        <v>0</v>
      </c>
      <c r="Y48" s="2">
        <f>SUM([3]Republic_UA!$JH$64:$JM$64)</f>
        <v>0</v>
      </c>
      <c r="Z48" s="3">
        <f t="shared" si="50"/>
        <v>0</v>
      </c>
      <c r="AA48" s="63">
        <f>X48/$X$56</f>
        <v>0</v>
      </c>
      <c r="AB48" s="36"/>
      <c r="AC48" s="308" t="s">
        <v>51</v>
      </c>
      <c r="AD48" s="253">
        <f>[3]Republic_UA!$KA$43</f>
        <v>543</v>
      </c>
      <c r="AE48" s="2">
        <f>[3]Republic_UA!$JM$43</f>
        <v>7855</v>
      </c>
      <c r="AF48" s="63">
        <f t="shared" si="48"/>
        <v>-0.93087205601527689</v>
      </c>
      <c r="AG48" s="253">
        <f>SUM([3]Republic_UA!$JV$43:$KA$43)</f>
        <v>56864</v>
      </c>
      <c r="AH48" s="2">
        <f>SUM([3]Republic_UA!$JH$43:$JM$43)</f>
        <v>58585</v>
      </c>
      <c r="AI48" s="3">
        <f t="shared" si="49"/>
        <v>-2.9376120167278315E-2</v>
      </c>
      <c r="AJ48" s="63">
        <f>AG48/$AG$56</f>
        <v>3.3013443991226914E-3</v>
      </c>
    </row>
    <row r="49" spans="1:36" ht="14.1" customHeight="1" x14ac:dyDescent="0.2">
      <c r="A49" s="36"/>
      <c r="B49" s="37" t="s">
        <v>96</v>
      </c>
      <c r="C49" s="253">
        <f>'[3]Sky West_UA'!$KA$19</f>
        <v>149</v>
      </c>
      <c r="D49" s="2">
        <f>'[3]Sky West_UA'!$JM$19+'[3]Sky West_CO'!$JM$19</f>
        <v>119</v>
      </c>
      <c r="E49" s="63">
        <f t="shared" si="42"/>
        <v>0.25210084033613445</v>
      </c>
      <c r="F49" s="2">
        <f>SUM('[3]Sky West_UA'!$JV$19:$KA$19)</f>
        <v>516</v>
      </c>
      <c r="G49" s="2">
        <f>SUM('[3]Sky West_UA'!$JH$19:$JM$19)+SUM('[3]Sky West_CO'!$JH$19:$JM$19)</f>
        <v>595</v>
      </c>
      <c r="H49" s="3">
        <f t="shared" si="43"/>
        <v>-0.13277310924369748</v>
      </c>
      <c r="I49" s="63">
        <f>F49/$F$56</f>
        <v>3.4123373188022429E-3</v>
      </c>
      <c r="J49" s="36"/>
      <c r="K49" s="37" t="s">
        <v>96</v>
      </c>
      <c r="L49" s="253">
        <f>'[3]Sky West_UA'!$KA$41</f>
        <v>9529</v>
      </c>
      <c r="M49" s="2">
        <f>'[3]Sky West_UA'!$JM$41+'[3]Sky West_CO'!$JM$41</f>
        <v>7105</v>
      </c>
      <c r="N49" s="63">
        <f t="shared" si="44"/>
        <v>0.34116819141449684</v>
      </c>
      <c r="O49" s="253">
        <f>SUM('[3]Sky West_UA'!$JV$41:$KA$41)</f>
        <v>31091</v>
      </c>
      <c r="P49" s="2">
        <f>SUM('[3]Sky West_UA'!$JH$41:$JM$41)+SUM('[3]Sky West_CO'!$JH$41:$JM$41)</f>
        <v>34749</v>
      </c>
      <c r="Q49" s="3">
        <f t="shared" si="45"/>
        <v>-0.10526921638032749</v>
      </c>
      <c r="R49" s="63">
        <f>O49/$O$56</f>
        <v>1.8650567747253044E-3</v>
      </c>
      <c r="S49" s="36"/>
      <c r="T49" s="37" t="s">
        <v>96</v>
      </c>
      <c r="U49" s="253">
        <f>'[3]Sky West_UA'!$KA$64</f>
        <v>0</v>
      </c>
      <c r="V49" s="2">
        <f>'[3]Sky West_UA'!$JM$64+'[3]Sky West_CO'!$JM$64</f>
        <v>0</v>
      </c>
      <c r="W49" s="63">
        <f>IFERROR((U49-V49)/V49,0)</f>
        <v>0</v>
      </c>
      <c r="X49" s="253">
        <f>SUM('[3]Sky West_UA'!$JV$64:$KA$64)</f>
        <v>0</v>
      </c>
      <c r="Y49" s="2">
        <f>SUM('[3]Sky West_UA'!$JH$64:$JM$64)+SUM('[3]Sky West_CO'!$JH$64:$JM$64)</f>
        <v>0</v>
      </c>
      <c r="Z49" s="3">
        <f t="shared" si="50"/>
        <v>0</v>
      </c>
      <c r="AA49" s="63">
        <f>X49/$X$56</f>
        <v>0</v>
      </c>
      <c r="AB49" s="36"/>
      <c r="AC49" s="37" t="s">
        <v>96</v>
      </c>
      <c r="AD49" s="253">
        <f>'[3]Sky West_UA'!$KA$43</f>
        <v>9889</v>
      </c>
      <c r="AE49" s="2">
        <f>'[3]Sky West_UA'!$JM$43+'[3]Sky West_CO'!$JM$43</f>
        <v>7393</v>
      </c>
      <c r="AF49" s="63">
        <f t="shared" si="48"/>
        <v>0.33761666441228189</v>
      </c>
      <c r="AG49" s="253">
        <f>SUM('[3]Sky West_UA'!$JV$43:$KA$43)</f>
        <v>32405</v>
      </c>
      <c r="AH49" s="2">
        <f>SUM('[3]Sky West_UA'!$JH$43:$JM$43)+SUM('[3]Sky West_CO'!$JH$43:$JM$43)</f>
        <v>36257</v>
      </c>
      <c r="AI49" s="3">
        <f t="shared" si="49"/>
        <v>-0.10624155335521417</v>
      </c>
      <c r="AJ49" s="63">
        <f>AG49/$AG$56</f>
        <v>1.8813320423039324E-3</v>
      </c>
    </row>
    <row r="50" spans="1:36" ht="14.1" customHeight="1" x14ac:dyDescent="0.2">
      <c r="A50" s="36"/>
      <c r="B50" s="256"/>
      <c r="C50" s="253"/>
      <c r="E50" s="63"/>
      <c r="F50" s="2"/>
      <c r="I50" s="63"/>
      <c r="J50" s="36"/>
      <c r="K50" s="256"/>
      <c r="L50" s="253"/>
      <c r="N50" s="63"/>
      <c r="O50" s="253"/>
      <c r="P50" s="2"/>
      <c r="Q50" s="3"/>
      <c r="R50" s="63"/>
      <c r="S50" s="36"/>
      <c r="T50" s="256"/>
      <c r="U50" s="253"/>
      <c r="V50" s="2"/>
      <c r="W50" s="63"/>
      <c r="X50" s="253"/>
      <c r="Y50" s="2"/>
      <c r="Z50" s="3"/>
      <c r="AA50" s="63"/>
      <c r="AB50" s="36"/>
      <c r="AC50" s="256"/>
      <c r="AD50" s="253"/>
      <c r="AE50" s="2"/>
      <c r="AF50" s="63"/>
      <c r="AG50" s="253"/>
      <c r="AH50" s="2"/>
      <c r="AI50" s="3"/>
      <c r="AJ50" s="63"/>
    </row>
    <row r="51" spans="1:36" ht="14.1" customHeight="1" x14ac:dyDescent="0.2">
      <c r="A51" s="248" t="s">
        <v>208</v>
      </c>
      <c r="B51" s="256"/>
      <c r="C51" s="249">
        <f>[3]WestJet!$KA$19</f>
        <v>202</v>
      </c>
      <c r="D51" s="251">
        <f>[3]WestJet!$JM$19</f>
        <v>210</v>
      </c>
      <c r="E51" s="252">
        <f>(C51-D51)/D51</f>
        <v>-3.8095238095238099E-2</v>
      </c>
      <c r="F51" s="251">
        <f>SUM([3]WestJet!$JV$19:$KA$19)</f>
        <v>890</v>
      </c>
      <c r="G51" s="251">
        <f>SUM([3]WestJet!$JH$19:$JM$19)</f>
        <v>918</v>
      </c>
      <c r="H51" s="250">
        <f>(F51-G51)/G51</f>
        <v>-3.0501089324618737E-2</v>
      </c>
      <c r="I51" s="252">
        <f>F51/$F$56</f>
        <v>5.8856205692519314E-3</v>
      </c>
      <c r="J51" s="248" t="s">
        <v>208</v>
      </c>
      <c r="K51" s="37"/>
      <c r="L51" s="249">
        <f>[3]WestJet!$KA$41</f>
        <v>17655</v>
      </c>
      <c r="M51" s="251">
        <f>[3]WestJet!$JM$41</f>
        <v>20715</v>
      </c>
      <c r="N51" s="252">
        <f>(L51-M51)/M51</f>
        <v>-0.14771904417089066</v>
      </c>
      <c r="O51" s="249">
        <f>SUM([3]WestJet!$JV$41:$KA$41)</f>
        <v>67513</v>
      </c>
      <c r="P51" s="251">
        <f>SUM([3]WestJet!$JH$41:$JM$41)</f>
        <v>79200</v>
      </c>
      <c r="Q51" s="250">
        <f>(O51-P51)/P51</f>
        <v>-0.14756313131313131</v>
      </c>
      <c r="R51" s="252">
        <f>O51/$O$56</f>
        <v>4.0499044106664141E-3</v>
      </c>
      <c r="S51" s="248" t="s">
        <v>208</v>
      </c>
      <c r="T51" s="37"/>
      <c r="U51" s="249">
        <f>[3]WestJet!$KA$64</f>
        <v>0</v>
      </c>
      <c r="V51" s="251">
        <f>[3]WestJet!$JM$64</f>
        <v>0</v>
      </c>
      <c r="W51" s="252">
        <f>IFERROR((U51-V51)/V51,0)</f>
        <v>0</v>
      </c>
      <c r="X51" s="249">
        <f>SUM([3]WestJet!$JV$64:$KA$64)</f>
        <v>0</v>
      </c>
      <c r="Y51" s="251">
        <f>SUM([3]WestJet!$JH$64:$JM$64)</f>
        <v>0</v>
      </c>
      <c r="Z51" s="250">
        <f>IFERROR((X51-Y51)/Y51,0)</f>
        <v>0</v>
      </c>
      <c r="AA51" s="252">
        <f>X51/$X$56</f>
        <v>0</v>
      </c>
      <c r="AB51" s="248" t="s">
        <v>208</v>
      </c>
      <c r="AC51" s="37"/>
      <c r="AD51" s="249">
        <f>[3]WestJet!$KA$43</f>
        <v>17657</v>
      </c>
      <c r="AE51" s="251">
        <f>[3]WestJet!$JM$43</f>
        <v>20718</v>
      </c>
      <c r="AF51" s="252">
        <f>(AD51-AE51)/AE51</f>
        <v>-0.14774592142098658</v>
      </c>
      <c r="AG51" s="249">
        <f>SUM([3]WestJet!$JV$43:$KA$43)</f>
        <v>67525</v>
      </c>
      <c r="AH51" s="251">
        <f>SUM([3]WestJet!$JH$43:$JM$43)</f>
        <v>79232</v>
      </c>
      <c r="AI51" s="250">
        <f>(AG51-AH51)/AH51</f>
        <v>-0.14775595718901455</v>
      </c>
      <c r="AJ51" s="252">
        <f>AG51/$AG$56</f>
        <v>3.9202884171138106E-3</v>
      </c>
    </row>
    <row r="52" spans="1:36" ht="14.1" customHeight="1" thickBot="1" x14ac:dyDescent="0.25">
      <c r="A52" s="310"/>
      <c r="B52" s="311"/>
      <c r="C52" s="257"/>
      <c r="D52" s="259"/>
      <c r="E52" s="260"/>
      <c r="F52" s="259"/>
      <c r="G52" s="259"/>
      <c r="H52" s="258"/>
      <c r="I52" s="260"/>
      <c r="J52" s="310"/>
      <c r="K52" s="311"/>
      <c r="L52" s="257"/>
      <c r="M52" s="259"/>
      <c r="N52" s="260"/>
      <c r="O52" s="257"/>
      <c r="P52" s="259"/>
      <c r="Q52" s="258"/>
      <c r="R52" s="332"/>
      <c r="S52" s="310"/>
      <c r="T52" s="311"/>
      <c r="U52" s="257"/>
      <c r="V52" s="259"/>
      <c r="W52" s="260"/>
      <c r="X52" s="257"/>
      <c r="Y52" s="259"/>
      <c r="Z52" s="258"/>
      <c r="AA52" s="332"/>
      <c r="AB52" s="310"/>
      <c r="AC52" s="311"/>
      <c r="AD52" s="257"/>
      <c r="AE52" s="259"/>
      <c r="AF52" s="260"/>
      <c r="AG52" s="257"/>
      <c r="AH52" s="259"/>
      <c r="AI52" s="258"/>
      <c r="AJ52" s="332"/>
    </row>
    <row r="53" spans="1:36" s="164" customFormat="1" ht="14.1" customHeight="1" thickBot="1" x14ac:dyDescent="0.25">
      <c r="B53" s="163"/>
      <c r="C53" s="251"/>
      <c r="D53" s="251"/>
      <c r="E53" s="250"/>
      <c r="F53" s="309"/>
      <c r="G53" s="251"/>
      <c r="H53" s="250"/>
      <c r="I53" s="250"/>
      <c r="J53" s="261"/>
      <c r="K53" s="163"/>
      <c r="L53" s="262"/>
      <c r="M53" s="263"/>
      <c r="N53" s="261"/>
      <c r="S53" s="261"/>
      <c r="T53" s="163"/>
      <c r="U53" s="262"/>
      <c r="V53" s="263"/>
      <c r="W53" s="261"/>
      <c r="AB53" s="261"/>
      <c r="AC53" s="163"/>
      <c r="AD53" s="262"/>
      <c r="AE53" s="263"/>
      <c r="AF53" s="261"/>
    </row>
    <row r="54" spans="1:36" ht="14.1" customHeight="1" x14ac:dyDescent="0.2">
      <c r="B54" s="264" t="s">
        <v>130</v>
      </c>
      <c r="C54" s="317">
        <f>+C56-C55</f>
        <v>19626</v>
      </c>
      <c r="D54" s="449">
        <f>+D56-D55</f>
        <v>20371</v>
      </c>
      <c r="E54" s="318">
        <f>(C54-D54)/D54</f>
        <v>-3.6571596877914683E-2</v>
      </c>
      <c r="F54" s="317">
        <f>+F56-F55</f>
        <v>100902</v>
      </c>
      <c r="G54" s="449">
        <f>+G56-G55</f>
        <v>107354</v>
      </c>
      <c r="H54" s="318">
        <f>(F54-G54)/G54</f>
        <v>-6.010022914842484E-2</v>
      </c>
      <c r="I54" s="342">
        <f>F54/$F$56</f>
        <v>0.66727065918950379</v>
      </c>
      <c r="K54" s="264" t="s">
        <v>130</v>
      </c>
      <c r="L54" s="317">
        <f>+L56-L55</f>
        <v>2786599</v>
      </c>
      <c r="M54" s="449">
        <f>+M56-M55</f>
        <v>2886590</v>
      </c>
      <c r="N54" s="318">
        <f>(L54-M54)/M54</f>
        <v>-3.4639834545259283E-2</v>
      </c>
      <c r="O54" s="317">
        <f>+O56-O55</f>
        <v>13823306</v>
      </c>
      <c r="P54" s="449">
        <f>+P56-P55</f>
        <v>14586108</v>
      </c>
      <c r="Q54" s="340">
        <f>(O54-P54)/P54</f>
        <v>-5.2296472780813084E-2</v>
      </c>
      <c r="R54" s="386">
        <f>+O54/O56</f>
        <v>0.82921908283429124</v>
      </c>
      <c r="S54" s="3"/>
      <c r="T54" s="264" t="s">
        <v>130</v>
      </c>
      <c r="U54" s="317">
        <f>+U56-U55</f>
        <v>9714894.7999999989</v>
      </c>
      <c r="V54" s="449">
        <f>+V56-V55</f>
        <v>8271946</v>
      </c>
      <c r="W54" s="318">
        <f>(U54-V54)/V54</f>
        <v>0.17443885634649922</v>
      </c>
      <c r="X54" s="317">
        <f>+X56-X55</f>
        <v>50330082.947999999</v>
      </c>
      <c r="Y54" s="449">
        <f>+Y56-Y55</f>
        <v>44288919</v>
      </c>
      <c r="Z54" s="340">
        <f>(X54-Y54)/Y54</f>
        <v>0.13640350869706255</v>
      </c>
      <c r="AA54" s="386">
        <f>+X54/X56</f>
        <v>0.99827027398364232</v>
      </c>
      <c r="AB54" s="3"/>
      <c r="AC54" s="264" t="s">
        <v>130</v>
      </c>
      <c r="AD54" s="317">
        <f>+AD56-AD55</f>
        <v>2873625</v>
      </c>
      <c r="AE54" s="449">
        <f>+AE56-AE55</f>
        <v>2972177</v>
      </c>
      <c r="AF54" s="342">
        <f>(AD54-AE54)/AE54</f>
        <v>-3.3158186743252507E-2</v>
      </c>
      <c r="AG54" s="317">
        <f>+AG56-AG55</f>
        <v>14278885</v>
      </c>
      <c r="AH54" s="449">
        <f>+AH56-AH55</f>
        <v>15039499</v>
      </c>
      <c r="AI54" s="342">
        <f>(AG54-AH54)/AH54</f>
        <v>-5.0574424054950232E-2</v>
      </c>
      <c r="AJ54" s="386">
        <f>+AG54/AG56</f>
        <v>0.82898700443983908</v>
      </c>
    </row>
    <row r="55" spans="1:36" ht="14.1" customHeight="1" x14ac:dyDescent="0.2">
      <c r="B55" s="163" t="s">
        <v>131</v>
      </c>
      <c r="C55" s="319">
        <f>+C29+C28+C19+C49+C47+C20+C48+C21+C22+C6</f>
        <v>8329</v>
      </c>
      <c r="D55" s="450">
        <f>+D29+D28+D19+D49+D47+D20+D48+D21+D22+D6</f>
        <v>7339</v>
      </c>
      <c r="E55" s="265">
        <f>(C55-D55)/D55</f>
        <v>0.13489576236544487</v>
      </c>
      <c r="F55" s="319">
        <f>+F29+F28+F19+F49+F47+F20+F48+F21+F22+F6</f>
        <v>50314</v>
      </c>
      <c r="G55" s="450">
        <f>+G29+G28+G19+G49+G47+G20+G48+G21+G22+G6</f>
        <v>45388</v>
      </c>
      <c r="H55" s="265">
        <f>(F55-G55)/G55</f>
        <v>0.10853088922182075</v>
      </c>
      <c r="I55" s="343">
        <f>F55/$F$56</f>
        <v>0.33272934081049627</v>
      </c>
      <c r="K55" s="163" t="s">
        <v>131</v>
      </c>
      <c r="L55" s="319">
        <f>+L29+L28+L19+L49+L47+L20+L48+L21+L22+L6</f>
        <v>501599</v>
      </c>
      <c r="M55" s="450">
        <f>+M29+M28+M19+M49+M47+M20+M48+M21+M22+M6</f>
        <v>458811</v>
      </c>
      <c r="N55" s="265">
        <f>(L55-M55)/M55</f>
        <v>9.3258444108794247E-2</v>
      </c>
      <c r="O55" s="319">
        <f>+O29+O28+O19+O49+O47+O20+O48+O21+O22+O6</f>
        <v>2846964</v>
      </c>
      <c r="P55" s="450">
        <f>+P29+P28+P19+P49+P47+P20+P48+P21+P22+P6</f>
        <v>2548911</v>
      </c>
      <c r="Q55" s="339">
        <f>(O55-P55)/P55</f>
        <v>0.11693346688056193</v>
      </c>
      <c r="R55" s="387">
        <f>+O55/O56</f>
        <v>0.17078091716570878</v>
      </c>
      <c r="S55" s="3"/>
      <c r="T55" s="163" t="s">
        <v>131</v>
      </c>
      <c r="U55" s="319">
        <f>+U29+U28+U19+U49+U47+U20+U48+U21+U22+U6</f>
        <v>22168.300000000003</v>
      </c>
      <c r="V55" s="450">
        <f>+V29+V28+V19+V49+V47+V20+V48+V21+V22+V6</f>
        <v>6721.2</v>
      </c>
      <c r="W55" s="265">
        <f>(U55-V55)/V55</f>
        <v>2.2982651907397491</v>
      </c>
      <c r="X55" s="319">
        <f>+X29+X28+X19+X49+X47+X20+X48+X21+X22+X6</f>
        <v>87208.1</v>
      </c>
      <c r="Y55" s="450">
        <f>+Y29+Y28+Y19+Y49+Y47+Y20+Y48+Y21+Y22+Y6</f>
        <v>92859.1</v>
      </c>
      <c r="Z55" s="339">
        <f>(X55-Y55)/Y55</f>
        <v>-6.0855640427270992E-2</v>
      </c>
      <c r="AA55" s="387">
        <f>+X55/X56</f>
        <v>1.7297260163576253E-3</v>
      </c>
      <c r="AB55" s="3"/>
      <c r="AC55" s="163" t="s">
        <v>131</v>
      </c>
      <c r="AD55" s="319">
        <f>+AD29+AD28+AD19+AD49+AD47+AD20+AD48+AD21+AD22+AD6</f>
        <v>516815</v>
      </c>
      <c r="AE55" s="450">
        <f>+AE29+AE28+AE19+AE49+AE47+AE20+AE48+AE21+AE22+AE6</f>
        <v>471570</v>
      </c>
      <c r="AF55" s="343">
        <f>(AD55-AE55)/AE55</f>
        <v>9.5945458786606444E-2</v>
      </c>
      <c r="AG55" s="319">
        <f>+AG29+AG28+AG19+AG49+AG47+AG20+AG48+AG21+AG22+AG6</f>
        <v>2945613</v>
      </c>
      <c r="AH55" s="450">
        <f>+AH29+AH28+AH19+AH49+AH47+AH20+AH48+AH21+AH22+AH6</f>
        <v>2628324</v>
      </c>
      <c r="AI55" s="343">
        <f>(AG55-AH55)/AH55</f>
        <v>0.12071913508380246</v>
      </c>
      <c r="AJ55" s="387">
        <f>+AG55/AG56</f>
        <v>0.17101299556016089</v>
      </c>
    </row>
    <row r="56" spans="1:36" ht="14.1" customHeight="1" thickBot="1" x14ac:dyDescent="0.25">
      <c r="B56" s="163" t="s">
        <v>132</v>
      </c>
      <c r="C56" s="320">
        <f>C45+C43+C39+C33+C31+C26+C17+C14+C4+C41+C35+C8+C24+C12+C51+C10+C37</f>
        <v>27955</v>
      </c>
      <c r="D56" s="447">
        <f>D45+D43+D39+D33+D31+D26+D17+D14+D4+D41+D35+D8+D24+D12+D51+D10+D37</f>
        <v>27710</v>
      </c>
      <c r="E56" s="321">
        <f>(C56-D56)/D56</f>
        <v>8.8415734391916277E-3</v>
      </c>
      <c r="F56" s="320">
        <f>F45+F43+F39+F33+F31+F26+F17+F14+F4+F41+F35+F8+F24+F12+F51+F10+F37</f>
        <v>151216</v>
      </c>
      <c r="G56" s="447">
        <f>G45+G43+G39+G33+G31+G26+G17+G14+G4+G41+G35+G8+G24+G12+G51+G10+G37</f>
        <v>152742</v>
      </c>
      <c r="H56" s="321">
        <f>(F56-G56)/G56</f>
        <v>-9.9907032774220576E-3</v>
      </c>
      <c r="I56" s="344">
        <f>+H56/H56</f>
        <v>1</v>
      </c>
      <c r="K56" s="163" t="s">
        <v>132</v>
      </c>
      <c r="L56" s="320">
        <f>L45+L43+L39+L33+L31+L26+L17+L14+L4+L41+L35+L8+L24+L12+L51+L10+L37</f>
        <v>3288198</v>
      </c>
      <c r="M56" s="447">
        <f>M45+M43+M39+M33+M31+M26+M17+M14+M4+M41+M35+M8+M24+M12+M51+M10+M37</f>
        <v>3345401</v>
      </c>
      <c r="N56" s="321">
        <f>(L56-M56)/M56</f>
        <v>-1.7098996502960331E-2</v>
      </c>
      <c r="O56" s="320">
        <f>O45+O43+O39+O33+O31+O26+O17+O14+O4+O41+O35+O8+O24+O12+O51+O10+O37</f>
        <v>16670270</v>
      </c>
      <c r="P56" s="447">
        <f>P45+P43+P39+P33+P31+P26+P17+P14+P4+P41+P35+P8+P24+P12+P51+P10+P37</f>
        <v>17135019</v>
      </c>
      <c r="Q56" s="385">
        <f>(O56-P56)/P56</f>
        <v>-2.7122759537062668E-2</v>
      </c>
      <c r="R56" s="344">
        <f>+Q56/Q56</f>
        <v>1</v>
      </c>
      <c r="S56" s="3"/>
      <c r="T56" s="163" t="s">
        <v>132</v>
      </c>
      <c r="U56" s="320">
        <f>U45+U43+U39+U33+U31+U26+U17+U14+U4+U41+U35+U8+U24+U12+U51+U10+U37</f>
        <v>9737063.0999999996</v>
      </c>
      <c r="V56" s="447">
        <f>V45+V43+V39+V33+V31+V26+V17+V14+V4+V41+V35+V8+V24+V12+V51+V10+V37</f>
        <v>8278667.2000000002</v>
      </c>
      <c r="W56" s="321">
        <f>(U56-V56)/V56</f>
        <v>0.17616312683761456</v>
      </c>
      <c r="X56" s="320">
        <f>X45+X43+X39+X33+X31+X26+X17+X14+X4+X41+X35+X8+X24+X12+X51+X10+X37</f>
        <v>50417291.048</v>
      </c>
      <c r="Y56" s="447">
        <f>Y45+Y43+Y39+Y33+Y31+Y26+Y17+Y14+Y4+Y41+Y35+Y8+Y24+Y12+Y51+Y10+Y37</f>
        <v>44381778.100000001</v>
      </c>
      <c r="Z56" s="385">
        <f>(X56-Y56)/Y56</f>
        <v>0.13599078735423623</v>
      </c>
      <c r="AA56" s="344">
        <f>+Z56/Z56</f>
        <v>1</v>
      </c>
      <c r="AB56" s="3"/>
      <c r="AC56" s="163" t="s">
        <v>132</v>
      </c>
      <c r="AD56" s="320">
        <f>AD45+AD43+AD39+AD33+AD31+AD26+AD17+AD14+AD4+AD41+AD35+AD8+AD24+AD12+AD51+AD10+AD37</f>
        <v>3390440</v>
      </c>
      <c r="AE56" s="447">
        <f>AE45+AE43+AE39+AE33+AE31+AE26+AE17+AE14+AE4+AE41+AE35+AE8+AE24+AE12+AE51+AE10+AE37</f>
        <v>3443747</v>
      </c>
      <c r="AF56" s="344">
        <f>(AD56-AE56)/AE56</f>
        <v>-1.5479360127210275E-2</v>
      </c>
      <c r="AG56" s="320">
        <f>AG45+AG43+AG39+AG33+AG31+AG26+AG17+AG14+AG4+AG41+AG35+AG8+AG24+AG12+AG51+AG10+AG37</f>
        <v>17224498</v>
      </c>
      <c r="AH56" s="447">
        <f>AH45+AH43+AH39+AH33+AH31+AH26+AH17+AH14+AH4+AH41+AH35+AH8+AH24+AH12+AH51+AH10+AH37</f>
        <v>17667823</v>
      </c>
      <c r="AI56" s="344">
        <f>(AG56-AH56)/AH56</f>
        <v>-2.5092225567349188E-2</v>
      </c>
      <c r="AJ56" s="344">
        <f>+AI56/AI56</f>
        <v>1</v>
      </c>
    </row>
    <row r="57" spans="1:36" x14ac:dyDescent="0.2">
      <c r="D57" s="3"/>
      <c r="F57" s="2"/>
      <c r="G57"/>
      <c r="H57"/>
      <c r="I57"/>
      <c r="J57"/>
      <c r="K57"/>
      <c r="M57"/>
      <c r="N57"/>
    </row>
    <row r="58" spans="1:36" x14ac:dyDescent="0.2">
      <c r="B58" s="163"/>
      <c r="E58"/>
      <c r="F58" s="2"/>
      <c r="H58"/>
      <c r="I58"/>
      <c r="J58"/>
      <c r="K58"/>
      <c r="N58"/>
      <c r="O58" s="2"/>
      <c r="P58" s="2"/>
      <c r="U58" s="89"/>
      <c r="V58" s="89"/>
      <c r="W58" s="89"/>
      <c r="AD58" s="2"/>
      <c r="AE58" s="2"/>
      <c r="AG58" s="2"/>
      <c r="AH58" s="2"/>
    </row>
    <row r="59" spans="1:36" x14ac:dyDescent="0.2">
      <c r="E59"/>
      <c r="F59" s="2"/>
      <c r="H59"/>
      <c r="I59"/>
      <c r="J59"/>
      <c r="K59"/>
      <c r="N59"/>
      <c r="O59" s="2"/>
      <c r="P59" s="2"/>
      <c r="U59" s="89"/>
      <c r="V59" s="89"/>
      <c r="W59" s="89"/>
      <c r="AD59" s="2"/>
      <c r="AE59" s="2"/>
      <c r="AG59" s="2"/>
      <c r="AH59" s="2"/>
    </row>
    <row r="60" spans="1:36" x14ac:dyDescent="0.2">
      <c r="E60"/>
      <c r="F60" s="2"/>
      <c r="H60"/>
      <c r="I60"/>
      <c r="J60"/>
      <c r="K60"/>
      <c r="N60"/>
      <c r="O60" s="2"/>
      <c r="P60" s="2"/>
      <c r="U60" s="89"/>
      <c r="AD60" s="2"/>
      <c r="AE60" s="2"/>
      <c r="AG60" s="2"/>
      <c r="AH60" s="2"/>
    </row>
    <row r="61" spans="1:36" x14ac:dyDescent="0.2">
      <c r="E61"/>
      <c r="F61" s="2"/>
      <c r="H61"/>
      <c r="I61"/>
      <c r="J61"/>
      <c r="K61"/>
      <c r="N61"/>
      <c r="O61" s="2"/>
      <c r="P61" s="2"/>
      <c r="AG61" s="89"/>
      <c r="AH61" s="89"/>
    </row>
    <row r="62" spans="1:36" x14ac:dyDescent="0.2">
      <c r="E62"/>
      <c r="F62" s="2"/>
      <c r="H62"/>
      <c r="I62"/>
      <c r="J62"/>
      <c r="K62"/>
      <c r="N62"/>
      <c r="O62" s="2"/>
      <c r="P62" s="2"/>
    </row>
    <row r="63" spans="1:36" x14ac:dyDescent="0.2">
      <c r="E63"/>
      <c r="F63" s="2"/>
      <c r="H63"/>
      <c r="I63"/>
      <c r="J63"/>
      <c r="K63"/>
      <c r="N63"/>
      <c r="O63" s="2"/>
      <c r="P63" s="2"/>
      <c r="AD63" s="2"/>
      <c r="AE63" s="2"/>
      <c r="AG63" s="2"/>
      <c r="AH63" s="2"/>
    </row>
    <row r="64" spans="1:36" x14ac:dyDescent="0.2">
      <c r="D64" s="3"/>
      <c r="F64"/>
      <c r="G64"/>
      <c r="H64"/>
      <c r="I64"/>
      <c r="J64"/>
      <c r="K64"/>
      <c r="M64"/>
      <c r="N64"/>
      <c r="AD64" s="2"/>
    </row>
    <row r="65" spans="4:34" x14ac:dyDescent="0.2">
      <c r="D65" s="3"/>
      <c r="F65"/>
      <c r="G65"/>
      <c r="H65"/>
      <c r="I65"/>
      <c r="J65"/>
      <c r="K65"/>
      <c r="L65"/>
      <c r="M65"/>
      <c r="N65"/>
      <c r="AD65" s="2"/>
      <c r="AE65" s="2"/>
      <c r="AG65" s="2"/>
      <c r="AH65" s="2"/>
    </row>
    <row r="66" spans="4:34" x14ac:dyDescent="0.2">
      <c r="D66" s="3"/>
      <c r="F66"/>
      <c r="G66"/>
      <c r="H66"/>
      <c r="I66"/>
      <c r="J66"/>
      <c r="K66"/>
      <c r="L66"/>
      <c r="M66"/>
      <c r="N66"/>
    </row>
    <row r="67" spans="4:34" x14ac:dyDescent="0.2">
      <c r="D67" s="3"/>
      <c r="F67"/>
      <c r="G67"/>
      <c r="H67"/>
      <c r="I67"/>
      <c r="J67"/>
      <c r="K67"/>
      <c r="L67"/>
      <c r="M67"/>
      <c r="N67"/>
    </row>
    <row r="68" spans="4:34" x14ac:dyDescent="0.2">
      <c r="D68" s="3"/>
      <c r="F68"/>
      <c r="G68"/>
      <c r="H68"/>
      <c r="I68"/>
      <c r="J68"/>
      <c r="K68"/>
      <c r="L68"/>
      <c r="M68"/>
      <c r="N68"/>
    </row>
    <row r="69" spans="4:34" x14ac:dyDescent="0.2">
      <c r="D69" s="3"/>
      <c r="F69"/>
      <c r="G69"/>
      <c r="H69"/>
      <c r="I69"/>
      <c r="J69"/>
      <c r="K69"/>
      <c r="L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F128" s="165"/>
      <c r="K128"/>
    </row>
    <row r="129" spans="6:11" x14ac:dyDescent="0.2">
      <c r="F129" s="165"/>
      <c r="K129"/>
    </row>
    <row r="130" spans="6:11" x14ac:dyDescent="0.2">
      <c r="F130" s="165"/>
      <c r="K130"/>
    </row>
    <row r="131" spans="6:11" x14ac:dyDescent="0.2">
      <c r="F131" s="165"/>
      <c r="K131"/>
    </row>
    <row r="132" spans="6:11" x14ac:dyDescent="0.2">
      <c r="F132" s="165"/>
      <c r="K132"/>
    </row>
    <row r="133" spans="6:11" x14ac:dyDescent="0.2">
      <c r="F133" s="165"/>
      <c r="K133"/>
    </row>
    <row r="134" spans="6:11" x14ac:dyDescent="0.2">
      <c r="F134" s="165"/>
      <c r="K134"/>
    </row>
    <row r="135" spans="6:11" x14ac:dyDescent="0.2">
      <c r="F135" s="165"/>
      <c r="K135"/>
    </row>
    <row r="136" spans="6:11" x14ac:dyDescent="0.2">
      <c r="F136" s="165"/>
      <c r="K136"/>
    </row>
    <row r="137" spans="6:11" x14ac:dyDescent="0.2">
      <c r="F137" s="165"/>
      <c r="K137"/>
    </row>
    <row r="138" spans="6:11" x14ac:dyDescent="0.2">
      <c r="F138" s="165"/>
      <c r="K138"/>
    </row>
    <row r="139" spans="6:11" x14ac:dyDescent="0.2">
      <c r="F139" s="165"/>
      <c r="K139"/>
    </row>
    <row r="140" spans="6:11" x14ac:dyDescent="0.2">
      <c r="F140" s="165"/>
      <c r="K140"/>
    </row>
    <row r="141" spans="6:11" x14ac:dyDescent="0.2">
      <c r="F141" s="165"/>
      <c r="K141"/>
    </row>
    <row r="142" spans="6:11" x14ac:dyDescent="0.2">
      <c r="F142" s="165"/>
      <c r="K142"/>
    </row>
    <row r="143" spans="6:11" x14ac:dyDescent="0.2">
      <c r="F143" s="165"/>
      <c r="K143"/>
    </row>
    <row r="144" spans="6:11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84" fitToWidth="0" orientation="portrait" r:id="rId1"/>
  <headerFooter alignWithMargins="0">
    <oddHeader>&amp;L
Schedule 10
&amp;CMinneapolis-St. Paul International Airport
&amp;"Arial,Bold"&amp;A
June 2026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1"/>
  <sheetViews>
    <sheetView zoomScale="115" zoomScaleNormal="115" zoomScaleSheetLayoutView="100" workbookViewId="0">
      <selection activeCell="H10" activeCellId="1" sqref="H5 H1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7109375" bestFit="1" customWidth="1"/>
    <col min="5" max="5" width="10.42578125" bestFit="1" customWidth="1"/>
    <col min="6" max="6" width="10.42578125" customWidth="1"/>
    <col min="7" max="7" width="9.7109375" bestFit="1" customWidth="1"/>
    <col min="8" max="8" width="10.7109375" customWidth="1"/>
    <col min="9" max="9" width="11.7109375" bestFit="1" customWidth="1"/>
    <col min="10" max="10" width="12.7109375" bestFit="1" customWidth="1"/>
  </cols>
  <sheetData>
    <row r="1" spans="1:19" ht="26.25" thickBot="1" x14ac:dyDescent="0.25">
      <c r="A1" s="384">
        <v>46174</v>
      </c>
      <c r="B1" s="316" t="s">
        <v>17</v>
      </c>
      <c r="C1" s="316" t="s">
        <v>18</v>
      </c>
      <c r="D1" s="316" t="s">
        <v>19</v>
      </c>
      <c r="E1" s="316" t="s">
        <v>152</v>
      </c>
      <c r="F1" s="391" t="s">
        <v>97</v>
      </c>
      <c r="G1" s="391" t="s">
        <v>176</v>
      </c>
      <c r="H1" s="448" t="s">
        <v>240</v>
      </c>
      <c r="I1" s="316" t="s">
        <v>20</v>
      </c>
      <c r="J1" s="315" t="s">
        <v>21</v>
      </c>
    </row>
    <row r="2" spans="1:19" ht="15" x14ac:dyDescent="0.25">
      <c r="A2" s="45" t="s">
        <v>3</v>
      </c>
      <c r="B2" s="39"/>
      <c r="C2" s="39"/>
      <c r="D2" s="39"/>
      <c r="E2" s="39"/>
      <c r="F2" s="345"/>
      <c r="G2" s="345"/>
      <c r="H2" s="345"/>
      <c r="I2" s="39"/>
      <c r="J2" s="196"/>
    </row>
    <row r="3" spans="1:19" x14ac:dyDescent="0.2">
      <c r="A3" s="43" t="s">
        <v>29</v>
      </c>
      <c r="J3" s="37"/>
    </row>
    <row r="4" spans="1:19" x14ac:dyDescent="0.2">
      <c r="A4" s="43" t="s">
        <v>30</v>
      </c>
      <c r="B4" s="11">
        <f>[3]American!$KA$22</f>
        <v>47674</v>
      </c>
      <c r="C4" s="11">
        <f>[3]Delta!$KA$22+[3]Delta!$KA$32</f>
        <v>956777</v>
      </c>
      <c r="D4" s="11">
        <f>[3]United!$KA$22</f>
        <v>69020</v>
      </c>
      <c r="E4" s="11">
        <f>'[3]Air France'!$KA$32</f>
        <v>6977</v>
      </c>
      <c r="F4" s="11">
        <f>[3]AirCanada!$KA$32</f>
        <v>5295</v>
      </c>
      <c r="G4" s="11">
        <f>[3]KLM!$KA$22+[3]KLM!$KA$32</f>
        <v>3488</v>
      </c>
      <c r="H4" s="11">
        <f>[3]Lufthansa!$KA$22+[3]Lufthansa!$KA$32</f>
        <v>2776</v>
      </c>
      <c r="I4" s="11">
        <f>'Other Major Airline Stats'!K5</f>
        <v>307097</v>
      </c>
      <c r="J4" s="197">
        <f>SUM(B4:I4)</f>
        <v>1399104</v>
      </c>
    </row>
    <row r="5" spans="1:19" x14ac:dyDescent="0.2">
      <c r="A5" s="43" t="s">
        <v>31</v>
      </c>
      <c r="B5" s="7">
        <f>[3]American!$KA$23</f>
        <v>45970</v>
      </c>
      <c r="C5" s="7">
        <f>[3]Delta!$KA$23+[3]Delta!$KA$33</f>
        <v>949332</v>
      </c>
      <c r="D5" s="7">
        <f>[3]United!$KA$23</f>
        <v>66522</v>
      </c>
      <c r="E5" s="7">
        <f>'[3]Air France'!$KA$33</f>
        <v>8434</v>
      </c>
      <c r="F5" s="7">
        <f>[3]AirCanada!$KA$33</f>
        <v>5501</v>
      </c>
      <c r="G5" s="7">
        <f>[3]KLM!$KA$23+[3]KLM!$KA$33</f>
        <v>4136</v>
      </c>
      <c r="H5" s="7">
        <f>[3]Lufthansa!$KA$23+[3]Lufthansa!$KA$33</f>
        <v>3354</v>
      </c>
      <c r="I5" s="7">
        <f>'Other Major Airline Stats'!K6</f>
        <v>304246</v>
      </c>
      <c r="J5" s="198">
        <f>SUM(B5:I5)</f>
        <v>1387495</v>
      </c>
      <c r="L5" s="221"/>
      <c r="M5" s="221"/>
      <c r="N5" s="221"/>
      <c r="O5" s="221"/>
      <c r="P5" s="221"/>
      <c r="Q5" s="221"/>
      <c r="R5" s="221"/>
      <c r="S5" s="221"/>
    </row>
    <row r="6" spans="1:19" ht="15" x14ac:dyDescent="0.25">
      <c r="A6" s="41" t="s">
        <v>7</v>
      </c>
      <c r="B6" s="23">
        <f t="shared" ref="B6:D6" si="0">SUM(B4:B5)</f>
        <v>93644</v>
      </c>
      <c r="C6" s="23">
        <f t="shared" si="0"/>
        <v>1906109</v>
      </c>
      <c r="D6" s="23">
        <f t="shared" si="0"/>
        <v>135542</v>
      </c>
      <c r="E6" s="23">
        <f t="shared" ref="E6:G6" si="1">SUM(E4:E5)</f>
        <v>15411</v>
      </c>
      <c r="F6" s="23">
        <f t="shared" ref="F6" si="2">SUM(F4:F5)</f>
        <v>10796</v>
      </c>
      <c r="G6" s="23">
        <f t="shared" si="1"/>
        <v>7624</v>
      </c>
      <c r="H6" s="23">
        <f t="shared" ref="H6" si="3">SUM(H4:H5)</f>
        <v>6130</v>
      </c>
      <c r="I6" s="23">
        <f>SUM(I4:I5)</f>
        <v>611343</v>
      </c>
      <c r="J6" s="199">
        <f>SUM(B6:I6)</f>
        <v>2786599</v>
      </c>
      <c r="M6" s="89"/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97"/>
      <c r="M7" s="221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97">
        <f>SUM(B8:I8)</f>
        <v>0</v>
      </c>
      <c r="N8" s="221"/>
      <c r="Q8" s="221"/>
    </row>
    <row r="9" spans="1:19" x14ac:dyDescent="0.2">
      <c r="A9" s="43" t="s">
        <v>30</v>
      </c>
      <c r="B9" s="11">
        <f>[3]American!$KA$27</f>
        <v>1747</v>
      </c>
      <c r="C9" s="11">
        <f>[3]Delta!$KA$27+[3]Delta!$KA$37</f>
        <v>31342</v>
      </c>
      <c r="D9" s="11">
        <f>[3]United!$KA$27</f>
        <v>2843</v>
      </c>
      <c r="E9" s="11">
        <f>'[3]Air France'!$KA$37</f>
        <v>12</v>
      </c>
      <c r="F9" s="11">
        <f>[3]AirCanada!$KA$37</f>
        <v>59</v>
      </c>
      <c r="G9" s="11">
        <f>[3]KLM!$KA$27+[3]KLM!$KA$37</f>
        <v>0</v>
      </c>
      <c r="H9" s="11">
        <f>[3]Lufthansa!$KA$27+[3]Lufthansa!$KA$37</f>
        <v>30</v>
      </c>
      <c r="I9" s="11">
        <f>'Other Major Airline Stats'!K10</f>
        <v>7234</v>
      </c>
      <c r="J9" s="197">
        <f>SUM(B9:I9)</f>
        <v>43267</v>
      </c>
      <c r="M9" s="221"/>
    </row>
    <row r="10" spans="1:19" x14ac:dyDescent="0.2">
      <c r="A10" s="43" t="s">
        <v>33</v>
      </c>
      <c r="B10" s="7">
        <f>[3]American!$KA$28</f>
        <v>1939</v>
      </c>
      <c r="C10" s="7">
        <f>[3]Delta!$KA$28+[3]Delta!$KA$38</f>
        <v>31261</v>
      </c>
      <c r="D10" s="7">
        <f>[3]United!$KA$28</f>
        <v>3195</v>
      </c>
      <c r="E10" s="7">
        <f>'[3]Air France'!$KA$38</f>
        <v>9</v>
      </c>
      <c r="F10" s="7">
        <f>[3]AirCanada!$KA$38</f>
        <v>88</v>
      </c>
      <c r="G10" s="7">
        <f>[3]KLM!$KA$28+[3]KLM!$KA$38</f>
        <v>19</v>
      </c>
      <c r="H10" s="7">
        <f>[3]Lufthansa!$KA$28+[3]Lufthansa!$KA$38</f>
        <v>29</v>
      </c>
      <c r="I10" s="7">
        <f>'Other Major Airline Stats'!K11</f>
        <v>7219</v>
      </c>
      <c r="J10" s="198">
        <f>SUM(B10:I10)</f>
        <v>43759</v>
      </c>
      <c r="M10" s="221"/>
    </row>
    <row r="11" spans="1:19" ht="15.75" thickBot="1" x14ac:dyDescent="0.3">
      <c r="A11" s="44" t="s">
        <v>34</v>
      </c>
      <c r="B11" s="200">
        <f t="shared" ref="B11:I11" si="4">SUM(B9:B10)</f>
        <v>3686</v>
      </c>
      <c r="C11" s="200">
        <f t="shared" si="4"/>
        <v>62603</v>
      </c>
      <c r="D11" s="200">
        <f t="shared" si="4"/>
        <v>6038</v>
      </c>
      <c r="E11" s="200">
        <f t="shared" ref="E11:G11" si="5">SUM(E9:E10)</f>
        <v>21</v>
      </c>
      <c r="F11" s="200">
        <f t="shared" ref="F11" si="6">SUM(F9:F10)</f>
        <v>147</v>
      </c>
      <c r="G11" s="200">
        <f t="shared" si="5"/>
        <v>19</v>
      </c>
      <c r="H11" s="200">
        <f t="shared" ref="H11" si="7">SUM(H9:H10)</f>
        <v>59</v>
      </c>
      <c r="I11" s="200">
        <f t="shared" si="4"/>
        <v>14453</v>
      </c>
      <c r="J11" s="201">
        <f>SUM(B11:I11)</f>
        <v>87026</v>
      </c>
    </row>
    <row r="12" spans="1:19" x14ac:dyDescent="0.2">
      <c r="B12" s="221"/>
      <c r="C12" s="221"/>
      <c r="D12" s="221"/>
      <c r="E12" s="221"/>
      <c r="F12" s="221"/>
      <c r="G12" s="221"/>
      <c r="H12" s="221"/>
      <c r="M12" s="221"/>
    </row>
    <row r="13" spans="1:19" ht="13.5" thickBot="1" x14ac:dyDescent="0.25"/>
    <row r="14" spans="1:19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5"/>
    </row>
    <row r="15" spans="1:19" x14ac:dyDescent="0.2">
      <c r="A15" s="43" t="s">
        <v>22</v>
      </c>
      <c r="B15" s="11">
        <f>[3]American!$KA$4</f>
        <v>349</v>
      </c>
      <c r="C15" s="11">
        <f>[3]Delta!$KA$4+[3]Delta!$KA$15</f>
        <v>6539</v>
      </c>
      <c r="D15" s="11">
        <f>[3]United!$KA$4+[3]United!$KA$15</f>
        <v>554</v>
      </c>
      <c r="E15" s="11">
        <f>'[3]Air France'!$KA$15</f>
        <v>29</v>
      </c>
      <c r="F15" s="11">
        <f>[3]AirCanada!$KA$15</f>
        <v>54</v>
      </c>
      <c r="G15" s="11">
        <f>[3]KLM!$KA$4+[3]KLM!$KA$15</f>
        <v>19</v>
      </c>
      <c r="H15" s="11">
        <f>[3]Lufthansa!$KA$4+[3]Lufthansa!$KA$15</f>
        <v>14</v>
      </c>
      <c r="I15" s="11">
        <f>'Other Major Airline Stats'!K16</f>
        <v>2167</v>
      </c>
      <c r="J15" s="16">
        <f>SUM(B15:I15)</f>
        <v>9725</v>
      </c>
    </row>
    <row r="16" spans="1:19" x14ac:dyDescent="0.2">
      <c r="A16" s="43" t="s">
        <v>23</v>
      </c>
      <c r="B16" s="7">
        <f>[3]American!$KA$5</f>
        <v>348</v>
      </c>
      <c r="C16" s="7">
        <f>[3]Delta!$KA$5+[3]Delta!$KA$16</f>
        <v>6524</v>
      </c>
      <c r="D16" s="7">
        <f>[3]United!$KA$5</f>
        <v>551</v>
      </c>
      <c r="E16" s="7">
        <f>'[3]Air France'!$KA$16</f>
        <v>29</v>
      </c>
      <c r="F16" s="7">
        <f>[3]AirCanada!$KA$16</f>
        <v>55</v>
      </c>
      <c r="G16" s="7">
        <f>[3]KLM!$KA$5+[3]KLM!$KA$16</f>
        <v>19</v>
      </c>
      <c r="H16" s="7">
        <f>[3]Lufthansa!$KA$5+[3]Lufthansa!$KA$16</f>
        <v>14</v>
      </c>
      <c r="I16" s="7">
        <f>'Other Major Airline Stats'!K17</f>
        <v>2164</v>
      </c>
      <c r="J16" s="22">
        <f>SUM(B16:I16)</f>
        <v>9704</v>
      </c>
    </row>
    <row r="17" spans="1:10" x14ac:dyDescent="0.2">
      <c r="A17" s="43" t="s">
        <v>24</v>
      </c>
      <c r="B17" s="204">
        <f t="shared" ref="B17:I17" si="8">SUM(B15:B16)</f>
        <v>697</v>
      </c>
      <c r="C17" s="202">
        <f t="shared" si="8"/>
        <v>13063</v>
      </c>
      <c r="D17" s="202">
        <f t="shared" si="8"/>
        <v>1105</v>
      </c>
      <c r="E17" s="202">
        <f t="shared" ref="E17:G17" si="9">SUM(E15:E16)</f>
        <v>58</v>
      </c>
      <c r="F17" s="202">
        <f t="shared" ref="F17" si="10">SUM(F15:F16)</f>
        <v>109</v>
      </c>
      <c r="G17" s="202">
        <f t="shared" si="9"/>
        <v>38</v>
      </c>
      <c r="H17" s="202">
        <f t="shared" ref="H17" si="11">SUM(H15:H16)</f>
        <v>28</v>
      </c>
      <c r="I17" s="202">
        <f t="shared" si="8"/>
        <v>4331</v>
      </c>
      <c r="J17" s="203">
        <f>SUM(B17:I17)</f>
        <v>19429</v>
      </c>
    </row>
    <row r="18" spans="1:10" x14ac:dyDescent="0.2">
      <c r="A18" s="43"/>
      <c r="B18" s="421"/>
      <c r="C18" s="11"/>
      <c r="D18" s="11"/>
      <c r="E18" s="11"/>
      <c r="F18" s="11"/>
      <c r="G18" s="11"/>
      <c r="H18" s="11"/>
      <c r="I18" s="11"/>
      <c r="J18" s="16"/>
    </row>
    <row r="19" spans="1:10" x14ac:dyDescent="0.2">
      <c r="A19" s="43" t="s">
        <v>25</v>
      </c>
      <c r="B19" s="11">
        <f>[3]American!$KA$8</f>
        <v>0</v>
      </c>
      <c r="C19" s="11">
        <f>[3]Delta!$KA$8</f>
        <v>10</v>
      </c>
      <c r="D19" s="11">
        <f>[3]United!$KA$8</f>
        <v>0</v>
      </c>
      <c r="E19" s="11">
        <f>'[3]Air France'!$KA$8</f>
        <v>0</v>
      </c>
      <c r="F19" s="11">
        <f>[3]AirCanada!$KA$8</f>
        <v>0</v>
      </c>
      <c r="G19" s="11">
        <f>[3]KLM!$KA$8</f>
        <v>0</v>
      </c>
      <c r="H19" s="11">
        <f>[3]Lufthansa!$KA$8</f>
        <v>0</v>
      </c>
      <c r="I19" s="11">
        <f>'Other Major Airline Stats'!K20</f>
        <v>84</v>
      </c>
      <c r="J19" s="16">
        <f>SUM(B19:I19)</f>
        <v>94</v>
      </c>
    </row>
    <row r="20" spans="1:10" x14ac:dyDescent="0.2">
      <c r="A20" s="43" t="s">
        <v>26</v>
      </c>
      <c r="B20" s="7">
        <f>[3]American!$KA$9</f>
        <v>0</v>
      </c>
      <c r="C20" s="7">
        <f>[3]Delta!$KA$9</f>
        <v>22</v>
      </c>
      <c r="D20" s="7">
        <f>[3]United!$KA$9</f>
        <v>0</v>
      </c>
      <c r="E20" s="7">
        <f>'[3]Air France'!$KA$9</f>
        <v>0</v>
      </c>
      <c r="F20" s="7">
        <f>[3]AirCanada!$KA$9</f>
        <v>0</v>
      </c>
      <c r="G20" s="7">
        <f>[3]KLM!$KA$9</f>
        <v>0</v>
      </c>
      <c r="H20" s="7">
        <f>[3]Lufthansa!$KA$9</f>
        <v>0</v>
      </c>
      <c r="I20" s="7">
        <f>'Other Major Airline Stats'!K21</f>
        <v>81</v>
      </c>
      <c r="J20" s="22">
        <f>SUM(B20:I20)</f>
        <v>103</v>
      </c>
    </row>
    <row r="21" spans="1:10" x14ac:dyDescent="0.2">
      <c r="A21" s="43" t="s">
        <v>27</v>
      </c>
      <c r="B21" s="204">
        <f t="shared" ref="B21:I21" si="12">SUM(B19:B20)</f>
        <v>0</v>
      </c>
      <c r="C21" s="202">
        <f t="shared" si="12"/>
        <v>32</v>
      </c>
      <c r="D21" s="202">
        <f t="shared" si="12"/>
        <v>0</v>
      </c>
      <c r="E21" s="202">
        <f t="shared" ref="E21:G21" si="13">SUM(E19:E20)</f>
        <v>0</v>
      </c>
      <c r="F21" s="202">
        <f t="shared" ref="F21" si="14">SUM(F19:F20)</f>
        <v>0</v>
      </c>
      <c r="G21" s="202">
        <f t="shared" si="13"/>
        <v>0</v>
      </c>
      <c r="H21" s="202">
        <f t="shared" ref="H21" si="15">SUM(H19:H20)</f>
        <v>0</v>
      </c>
      <c r="I21" s="202">
        <f t="shared" si="12"/>
        <v>165</v>
      </c>
      <c r="J21" s="139">
        <f>SUM(B21:I21)</f>
        <v>197</v>
      </c>
    </row>
    <row r="22" spans="1:10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6"/>
    </row>
    <row r="23" spans="1:10" ht="15.75" thickBot="1" x14ac:dyDescent="0.3">
      <c r="A23" s="44" t="s">
        <v>28</v>
      </c>
      <c r="B23" s="17">
        <f t="shared" ref="B23:I23" si="16">B17+B21</f>
        <v>697</v>
      </c>
      <c r="C23" s="17">
        <f t="shared" si="16"/>
        <v>13095</v>
      </c>
      <c r="D23" s="17">
        <f t="shared" si="16"/>
        <v>1105</v>
      </c>
      <c r="E23" s="17">
        <f t="shared" ref="E23:G23" si="17">E17+E21</f>
        <v>58</v>
      </c>
      <c r="F23" s="17">
        <f t="shared" ref="F23" si="18">F17+F21</f>
        <v>109</v>
      </c>
      <c r="G23" s="17">
        <f t="shared" si="17"/>
        <v>38</v>
      </c>
      <c r="H23" s="17">
        <f t="shared" ref="H23" si="19">H17+H21</f>
        <v>28</v>
      </c>
      <c r="I23" s="17">
        <f t="shared" si="16"/>
        <v>4496</v>
      </c>
      <c r="J23" s="18">
        <f>SUM(B23:I23)</f>
        <v>19626</v>
      </c>
    </row>
    <row r="25" spans="1:10" ht="13.5" thickBot="1" x14ac:dyDescent="0.25">
      <c r="B25" s="301"/>
      <c r="C25" s="301"/>
      <c r="D25" s="301"/>
      <c r="E25" s="301"/>
      <c r="F25" s="301"/>
      <c r="G25" s="301"/>
      <c r="H25" s="301"/>
      <c r="I25" s="301"/>
    </row>
    <row r="26" spans="1:10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1"/>
    </row>
    <row r="27" spans="1:10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9"/>
    </row>
    <row r="28" spans="1:10" x14ac:dyDescent="0.2">
      <c r="A28" s="43" t="s">
        <v>37</v>
      </c>
      <c r="B28" s="11">
        <f>[3]American!$KA$47</f>
        <v>29562</v>
      </c>
      <c r="C28" s="11">
        <f>[3]Delta!$KA$47</f>
        <v>5107835</v>
      </c>
      <c r="D28" s="11">
        <f>[3]United!$KA$47</f>
        <v>67157</v>
      </c>
      <c r="E28" s="11">
        <f>'[3]Air France'!$KA$47</f>
        <v>332951</v>
      </c>
      <c r="F28" s="11">
        <f>[3]AirCanada!$KA$47</f>
        <v>1150.8</v>
      </c>
      <c r="G28" s="11">
        <f>[3]KLM!$KA$47</f>
        <v>403983</v>
      </c>
      <c r="H28" s="11">
        <f>[3]Lufthansa!$KA$47</f>
        <v>178745</v>
      </c>
      <c r="I28" s="11">
        <f>'Other Major Airline Stats'!K28</f>
        <v>216595</v>
      </c>
      <c r="J28" s="16">
        <f>SUM(B28:I28)</f>
        <v>6337978.7999999998</v>
      </c>
    </row>
    <row r="29" spans="1:10" x14ac:dyDescent="0.2">
      <c r="A29" s="43" t="s">
        <v>38</v>
      </c>
      <c r="B29" s="7">
        <f>[3]American!$KA$48</f>
        <v>9620</v>
      </c>
      <c r="C29" s="7">
        <f>[3]Delta!$KA$48</f>
        <v>66203</v>
      </c>
      <c r="D29" s="7">
        <f>[3]United!$KA$48</f>
        <v>88508</v>
      </c>
      <c r="E29" s="7">
        <f>'[3]Air France'!$KA$48</f>
        <v>0</v>
      </c>
      <c r="F29" s="7">
        <f>[3]AirCanada!$KA$48</f>
        <v>0</v>
      </c>
      <c r="G29" s="7">
        <f>[3]KLM!$KA$48</f>
        <v>0</v>
      </c>
      <c r="H29" s="7">
        <f>[3]Lufthansa!$KA$48</f>
        <v>0</v>
      </c>
      <c r="I29" s="7">
        <f>'Other Major Airline Stats'!K29</f>
        <v>669</v>
      </c>
      <c r="J29" s="22">
        <f>SUM(B29:I29)</f>
        <v>165000</v>
      </c>
    </row>
    <row r="30" spans="1:10" x14ac:dyDescent="0.2">
      <c r="A30" s="47" t="s">
        <v>39</v>
      </c>
      <c r="B30" s="204">
        <f t="shared" ref="B30:I30" si="20">SUM(B28:B29)</f>
        <v>39182</v>
      </c>
      <c r="C30" s="204">
        <f t="shared" si="20"/>
        <v>5174038</v>
      </c>
      <c r="D30" s="204">
        <f t="shared" si="20"/>
        <v>155665</v>
      </c>
      <c r="E30" s="204">
        <f t="shared" ref="E30:G30" si="21">SUM(E28:E29)</f>
        <v>332951</v>
      </c>
      <c r="F30" s="204">
        <f t="shared" ref="F30" si="22">SUM(F28:F29)</f>
        <v>1150.8</v>
      </c>
      <c r="G30" s="204">
        <f t="shared" si="21"/>
        <v>403983</v>
      </c>
      <c r="H30" s="204">
        <f t="shared" ref="H30" si="23">SUM(H28:H29)</f>
        <v>178745</v>
      </c>
      <c r="I30" s="204">
        <f t="shared" si="20"/>
        <v>217264</v>
      </c>
      <c r="J30" s="16">
        <f>SUM(B30:I30)</f>
        <v>6502978.7999999998</v>
      </c>
    </row>
    <row r="31" spans="1:10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6"/>
    </row>
    <row r="32" spans="1:10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6">
        <f t="shared" ref="J32:J40" si="24">SUM(B32:I32)</f>
        <v>0</v>
      </c>
    </row>
    <row r="33" spans="1:10" x14ac:dyDescent="0.2">
      <c r="A33" s="43" t="s">
        <v>37</v>
      </c>
      <c r="B33" s="11">
        <f>[3]American!$KA$52</f>
        <v>18196</v>
      </c>
      <c r="C33" s="11">
        <f>[3]Delta!$KA$52</f>
        <v>2929654</v>
      </c>
      <c r="D33" s="11">
        <f>[3]United!$KA$52</f>
        <v>60712</v>
      </c>
      <c r="E33" s="11">
        <f>'[3]Air France'!$KA$52</f>
        <v>43753</v>
      </c>
      <c r="F33" s="11">
        <f>[3]AirCanada!$KA$52</f>
        <v>0</v>
      </c>
      <c r="G33" s="11">
        <f>[3]KLM!$KA$52</f>
        <v>13438</v>
      </c>
      <c r="H33" s="11">
        <f>[3]Lufthansa!$KA$52</f>
        <v>48561</v>
      </c>
      <c r="I33" s="11">
        <f>'Other Major Airline Stats'!K33</f>
        <v>85549</v>
      </c>
      <c r="J33" s="16">
        <f t="shared" si="24"/>
        <v>3199863</v>
      </c>
    </row>
    <row r="34" spans="1:10" x14ac:dyDescent="0.2">
      <c r="A34" s="43" t="s">
        <v>38</v>
      </c>
      <c r="B34" s="7">
        <f>[3]American!$KA$53</f>
        <v>0</v>
      </c>
      <c r="C34" s="7">
        <f>[3]Delta!$KA$53</f>
        <v>12053</v>
      </c>
      <c r="D34" s="7">
        <f>[3]United!$KA$53</f>
        <v>0</v>
      </c>
      <c r="E34" s="7">
        <f>'[3]Air France'!$KA$53</f>
        <v>0</v>
      </c>
      <c r="F34" s="7">
        <f>[3]AirCanada!$KA$53</f>
        <v>0</v>
      </c>
      <c r="G34" s="7">
        <f>[3]KLM!$KA$53</f>
        <v>0</v>
      </c>
      <c r="H34" s="7">
        <f>[3]Lufthansa!$KA$53</f>
        <v>0</v>
      </c>
      <c r="I34" s="7">
        <f>'Other Major Airline Stats'!K34</f>
        <v>0</v>
      </c>
      <c r="J34" s="22">
        <f t="shared" si="24"/>
        <v>12053</v>
      </c>
    </row>
    <row r="35" spans="1:10" x14ac:dyDescent="0.2">
      <c r="A35" s="47" t="s">
        <v>41</v>
      </c>
      <c r="B35" s="204">
        <f t="shared" ref="B35:I35" si="25">SUM(B33:B34)</f>
        <v>18196</v>
      </c>
      <c r="C35" s="204">
        <f t="shared" si="25"/>
        <v>2941707</v>
      </c>
      <c r="D35" s="204">
        <f t="shared" si="25"/>
        <v>60712</v>
      </c>
      <c r="E35" s="204">
        <f t="shared" ref="E35:G35" si="26">SUM(E33:E34)</f>
        <v>43753</v>
      </c>
      <c r="F35" s="204">
        <f t="shared" ref="F35" si="27">SUM(F33:F34)</f>
        <v>0</v>
      </c>
      <c r="G35" s="204">
        <f t="shared" si="26"/>
        <v>13438</v>
      </c>
      <c r="H35" s="204">
        <f t="shared" ref="H35" si="28">SUM(H33:H34)</f>
        <v>48561</v>
      </c>
      <c r="I35" s="204">
        <f t="shared" si="25"/>
        <v>85549</v>
      </c>
      <c r="J35" s="16">
        <f t="shared" si="24"/>
        <v>3211916</v>
      </c>
    </row>
    <row r="36" spans="1:10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6">
        <f t="shared" si="24"/>
        <v>0</v>
      </c>
    </row>
    <row r="37" spans="1:10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6">
        <f t="shared" si="24"/>
        <v>0</v>
      </c>
    </row>
    <row r="38" spans="1:10" hidden="1" x14ac:dyDescent="0.2">
      <c r="A38" s="43" t="s">
        <v>37</v>
      </c>
      <c r="B38" s="11">
        <f>[3]American!$KA$57</f>
        <v>0</v>
      </c>
      <c r="C38" s="11">
        <f>[3]Delta!$KA$57</f>
        <v>0</v>
      </c>
      <c r="D38" s="11">
        <f>[3]United!$KA$57</f>
        <v>0</v>
      </c>
      <c r="E38" s="11">
        <f>'[3]Air France'!$KA$57</f>
        <v>0</v>
      </c>
      <c r="F38" s="11">
        <f>[3]AirCanada!$KA$57</f>
        <v>0</v>
      </c>
      <c r="G38" s="11">
        <f>[3]KLM!$KA$57</f>
        <v>0</v>
      </c>
      <c r="H38" s="11">
        <f>[3]Lufthansa!$KA$57</f>
        <v>0</v>
      </c>
      <c r="I38" s="11">
        <f>'Other Major Airline Stats'!K38</f>
        <v>0</v>
      </c>
      <c r="J38" s="16">
        <f t="shared" si="24"/>
        <v>0</v>
      </c>
    </row>
    <row r="39" spans="1:10" hidden="1" x14ac:dyDescent="0.2">
      <c r="A39" s="43" t="s">
        <v>38</v>
      </c>
      <c r="B39" s="7">
        <f>[3]American!$KA$58</f>
        <v>0</v>
      </c>
      <c r="C39" s="7">
        <f>[3]Delta!$KA$58</f>
        <v>0</v>
      </c>
      <c r="D39" s="7">
        <f>[3]United!$KA$58</f>
        <v>0</v>
      </c>
      <c r="E39" s="7">
        <f>'[3]Air France'!$KA$58</f>
        <v>0</v>
      </c>
      <c r="F39" s="7">
        <f>[3]AirCanada!$KA$58</f>
        <v>0</v>
      </c>
      <c r="G39" s="7">
        <f>[3]KLM!$KA$58</f>
        <v>0</v>
      </c>
      <c r="H39" s="7">
        <f>[3]Lufthansa!$KA$58</f>
        <v>0</v>
      </c>
      <c r="I39" s="7">
        <f>'Other Major Airline Stats'!K39</f>
        <v>0</v>
      </c>
      <c r="J39" s="22">
        <f t="shared" si="24"/>
        <v>0</v>
      </c>
    </row>
    <row r="40" spans="1:10" hidden="1" x14ac:dyDescent="0.2">
      <c r="A40" s="47" t="s">
        <v>43</v>
      </c>
      <c r="B40" s="204">
        <f t="shared" ref="B40:I40" si="29">SUM(B38:B39)</f>
        <v>0</v>
      </c>
      <c r="C40" s="204">
        <f t="shared" si="29"/>
        <v>0</v>
      </c>
      <c r="D40" s="204">
        <f t="shared" si="29"/>
        <v>0</v>
      </c>
      <c r="E40" s="204">
        <f t="shared" ref="E40:G40" si="30">SUM(E38:E39)</f>
        <v>0</v>
      </c>
      <c r="F40" s="204">
        <f t="shared" ref="F40" si="31">SUM(F38:F39)</f>
        <v>0</v>
      </c>
      <c r="G40" s="204">
        <f t="shared" si="30"/>
        <v>0</v>
      </c>
      <c r="H40" s="204">
        <f t="shared" ref="H40" si="32">SUM(H38:H39)</f>
        <v>0</v>
      </c>
      <c r="I40" s="204">
        <f t="shared" si="29"/>
        <v>0</v>
      </c>
      <c r="J40" s="16">
        <f t="shared" si="24"/>
        <v>0</v>
      </c>
    </row>
    <row r="41" spans="1:10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6"/>
    </row>
    <row r="42" spans="1:10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6">
        <f>SUM(B42:I42)</f>
        <v>0</v>
      </c>
    </row>
    <row r="43" spans="1:10" x14ac:dyDescent="0.2">
      <c r="A43" s="43" t="s">
        <v>45</v>
      </c>
      <c r="B43" s="11">
        <f t="shared" ref="B43:I44" si="33">B28+B33+B38</f>
        <v>47758</v>
      </c>
      <c r="C43" s="11">
        <f t="shared" si="33"/>
        <v>8037489</v>
      </c>
      <c r="D43" s="11">
        <f t="shared" si="33"/>
        <v>127869</v>
      </c>
      <c r="E43" s="11">
        <f t="shared" ref="E43:G43" si="34">E28+E33+E38</f>
        <v>376704</v>
      </c>
      <c r="F43" s="11">
        <f t="shared" ref="F43" si="35">F28+F33+F38</f>
        <v>1150.8</v>
      </c>
      <c r="G43" s="11">
        <f t="shared" si="34"/>
        <v>417421</v>
      </c>
      <c r="H43" s="11">
        <f t="shared" ref="H43" si="36">H28+H33+H38</f>
        <v>227306</v>
      </c>
      <c r="I43" s="11">
        <f t="shared" si="33"/>
        <v>302144</v>
      </c>
      <c r="J43" s="16">
        <f>SUM(B43:I43)</f>
        <v>9537841.8000000007</v>
      </c>
    </row>
    <row r="44" spans="1:10" x14ac:dyDescent="0.2">
      <c r="A44" s="43" t="s">
        <v>38</v>
      </c>
      <c r="B44" s="7">
        <f t="shared" si="33"/>
        <v>9620</v>
      </c>
      <c r="C44" s="7">
        <f t="shared" si="33"/>
        <v>78256</v>
      </c>
      <c r="D44" s="7">
        <f t="shared" si="33"/>
        <v>88508</v>
      </c>
      <c r="E44" s="7">
        <f t="shared" ref="E44:G44" si="37">E29+E34+E39</f>
        <v>0</v>
      </c>
      <c r="F44" s="7">
        <f t="shared" ref="F44" si="38">F29+F34+F39</f>
        <v>0</v>
      </c>
      <c r="G44" s="7">
        <f t="shared" si="37"/>
        <v>0</v>
      </c>
      <c r="H44" s="7">
        <f t="shared" ref="H44" si="39">H29+H34+H39</f>
        <v>0</v>
      </c>
      <c r="I44" s="7">
        <f t="shared" si="33"/>
        <v>669</v>
      </c>
      <c r="J44" s="16">
        <f>SUM(B44:I44)</f>
        <v>177053</v>
      </c>
    </row>
    <row r="45" spans="1:10" ht="15.75" thickBot="1" x14ac:dyDescent="0.3">
      <c r="A45" s="44" t="s">
        <v>46</v>
      </c>
      <c r="B45" s="205">
        <f t="shared" ref="B45:I45" si="40">SUM(B43:B44)</f>
        <v>57378</v>
      </c>
      <c r="C45" s="205">
        <f t="shared" si="40"/>
        <v>8115745</v>
      </c>
      <c r="D45" s="205">
        <f t="shared" si="40"/>
        <v>216377</v>
      </c>
      <c r="E45" s="205">
        <f t="shared" ref="E45:G45" si="41">SUM(E43:E44)</f>
        <v>376704</v>
      </c>
      <c r="F45" s="205">
        <f t="shared" ref="F45" si="42">SUM(F43:F44)</f>
        <v>1150.8</v>
      </c>
      <c r="G45" s="205">
        <f t="shared" si="41"/>
        <v>417421</v>
      </c>
      <c r="H45" s="205">
        <f t="shared" ref="H45" si="43">SUM(H43:H44)</f>
        <v>227306</v>
      </c>
      <c r="I45" s="205">
        <f t="shared" si="40"/>
        <v>302813</v>
      </c>
      <c r="J45" s="206">
        <f>SUM(B45:I45)</f>
        <v>9714894.8000000007</v>
      </c>
    </row>
    <row r="46" spans="1:10" x14ac:dyDescent="0.2">
      <c r="B46" s="1"/>
      <c r="C46" s="1"/>
      <c r="D46" s="1"/>
      <c r="E46" s="1"/>
      <c r="F46" s="1"/>
      <c r="G46" s="1"/>
      <c r="H46" s="1"/>
      <c r="I46" s="1"/>
    </row>
    <row r="47" spans="1:10" hidden="1" x14ac:dyDescent="0.2">
      <c r="A47" s="266" t="s">
        <v>119</v>
      </c>
      <c r="C47" s="230">
        <f>[3]Delta!$KA$70+[3]Delta!$KA$73</f>
        <v>534860.36959999998</v>
      </c>
      <c r="D47" s="219"/>
      <c r="E47" s="219"/>
      <c r="F47" s="219"/>
      <c r="G47" s="219"/>
      <c r="H47" s="219"/>
      <c r="I47" s="219"/>
      <c r="J47" s="220">
        <f>SUM(B47:I47)</f>
        <v>534860.36959999998</v>
      </c>
    </row>
    <row r="48" spans="1:10" hidden="1" x14ac:dyDescent="0.2">
      <c r="A48" s="267" t="s">
        <v>120</v>
      </c>
      <c r="C48" s="230">
        <f>[3]Delta!$KA$71+[3]Delta!$KA$74</f>
        <v>414471.63040000002</v>
      </c>
      <c r="D48" s="219"/>
      <c r="E48" s="219"/>
      <c r="F48" s="219"/>
      <c r="G48" s="219"/>
      <c r="H48" s="219"/>
      <c r="I48" s="219"/>
      <c r="J48" s="220">
        <f>SUM(B48:I48)</f>
        <v>414471.63040000002</v>
      </c>
    </row>
    <row r="49" spans="1:10" hidden="1" x14ac:dyDescent="0.2">
      <c r="A49" s="268" t="s">
        <v>121</v>
      </c>
      <c r="C49" s="231">
        <f>SUM(C47:C48)</f>
        <v>949332</v>
      </c>
      <c r="J49" s="220">
        <f>SUM(B49:I49)</f>
        <v>949332</v>
      </c>
    </row>
    <row r="50" spans="1:10" x14ac:dyDescent="0.2">
      <c r="A50" s="266" t="s">
        <v>119</v>
      </c>
      <c r="B50" s="277"/>
      <c r="C50" s="233">
        <f>[3]Delta!$KA$70+[3]Delta!$KA$73</f>
        <v>534860.36959999998</v>
      </c>
      <c r="D50" s="277"/>
      <c r="E50" s="277"/>
      <c r="F50" s="277"/>
      <c r="G50" s="277"/>
      <c r="H50" s="277"/>
      <c r="I50" s="232">
        <f>'Other Major Airline Stats'!K48</f>
        <v>0</v>
      </c>
      <c r="J50" s="222">
        <f>SUM(B50:I50)</f>
        <v>534860.36959999998</v>
      </c>
    </row>
    <row r="51" spans="1:10" x14ac:dyDescent="0.2">
      <c r="A51" s="279" t="s">
        <v>120</v>
      </c>
      <c r="B51" s="277"/>
      <c r="C51" s="233">
        <f>[3]Delta!$KA$71+[3]Delta!$KA$74</f>
        <v>414471.63040000002</v>
      </c>
      <c r="D51" s="277"/>
      <c r="E51" s="277"/>
      <c r="F51" s="277"/>
      <c r="G51" s="277"/>
      <c r="H51" s="277"/>
      <c r="I51" s="232">
        <f>+'Other Major Airline Stats'!K49</f>
        <v>0</v>
      </c>
      <c r="J51" s="222">
        <f>SUM(B51:I51)</f>
        <v>414471.63040000002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2026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J8" sqref="J8"/>
    </sheetView>
  </sheetViews>
  <sheetFormatPr defaultRowHeight="12.75" x14ac:dyDescent="0.2"/>
  <cols>
    <col min="1" max="1" width="26.28515625" bestFit="1" customWidth="1"/>
    <col min="2" max="2" width="11.7109375" bestFit="1" customWidth="1"/>
    <col min="3" max="6" width="11.7109375" customWidth="1"/>
    <col min="7" max="7" width="10.28515625" bestFit="1" customWidth="1"/>
    <col min="8" max="8" width="11.7109375" customWidth="1"/>
    <col min="9" max="9" width="12.28515625" bestFit="1" customWidth="1"/>
    <col min="10" max="10" width="11.7109375" bestFit="1" customWidth="1"/>
    <col min="11" max="11" width="12.5703125" bestFit="1" customWidth="1"/>
  </cols>
  <sheetData>
    <row r="2" spans="1:14" ht="26.25" thickBot="1" x14ac:dyDescent="0.25">
      <c r="A2" s="384">
        <v>46174</v>
      </c>
      <c r="B2" s="316" t="s">
        <v>47</v>
      </c>
      <c r="C2" s="315" t="s">
        <v>204</v>
      </c>
      <c r="D2" s="315" t="s">
        <v>182</v>
      </c>
      <c r="E2" s="315" t="s">
        <v>197</v>
      </c>
      <c r="F2" s="315" t="s">
        <v>208</v>
      </c>
      <c r="G2" s="316" t="s">
        <v>48</v>
      </c>
      <c r="H2" s="315" t="s">
        <v>127</v>
      </c>
      <c r="I2" s="315" t="s">
        <v>49</v>
      </c>
      <c r="J2" s="315" t="s">
        <v>126</v>
      </c>
      <c r="K2" s="138" t="s">
        <v>60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[3]Frontier!$KA$22+[3]Frontier!$KA$32</f>
        <v>18864</v>
      </c>
      <c r="C5" s="89">
        <f>'[3]Allegiant '!$KA$22</f>
        <v>0</v>
      </c>
      <c r="D5" s="89">
        <f>'[3]Aer Lingus'!$KA$22+'[3]Aer Lingus'!$KA$32</f>
        <v>4420</v>
      </c>
      <c r="E5" s="89">
        <f>'[3]Denver Air'!$KA$22+'[3]Denver Air'!$KA$32</f>
        <v>904</v>
      </c>
      <c r="F5" s="89">
        <f>[3]WestJet!$KA$22+[3]WestJet!$KA$32</f>
        <v>8277</v>
      </c>
      <c r="G5" s="89">
        <f>[3]Icelandair!$KA$32</f>
        <v>4607</v>
      </c>
      <c r="H5" s="89">
        <f>[3]Southwest!$KA$22</f>
        <v>66267</v>
      </c>
      <c r="I5" s="89">
        <f>'[3]Sun Country'!$KA$22+'[3]Sun Country'!$KA$32</f>
        <v>183521</v>
      </c>
      <c r="J5" s="89">
        <f>[3]Alaska!$KA$22</f>
        <v>20237</v>
      </c>
      <c r="K5" s="112">
        <f>SUM(B5:J5)</f>
        <v>307097</v>
      </c>
      <c r="N5" s="89"/>
    </row>
    <row r="6" spans="1:14" x14ac:dyDescent="0.2">
      <c r="A6" s="43" t="s">
        <v>31</v>
      </c>
      <c r="B6" s="89">
        <f>[3]Frontier!$KA$23+[3]Frontier!$KA$33</f>
        <v>17915</v>
      </c>
      <c r="C6" s="89">
        <f>'[3]Allegiant '!$KA$23</f>
        <v>0</v>
      </c>
      <c r="D6" s="89">
        <f>'[3]Aer Lingus'!$KA$23+'[3]Aer Lingus'!$KA$33</f>
        <v>3195</v>
      </c>
      <c r="E6" s="89">
        <f>'[3]Denver Air'!$KA$23+'[3]Denver Air'!$KA$33</f>
        <v>922</v>
      </c>
      <c r="F6" s="89">
        <f>[3]WestJet!$KA$23+[3]WestJet!$KA$33</f>
        <v>9378</v>
      </c>
      <c r="G6" s="89">
        <f>[3]Icelandair!$KA$33</f>
        <v>4668</v>
      </c>
      <c r="H6" s="89">
        <f>[3]Southwest!$KA$23</f>
        <v>63948</v>
      </c>
      <c r="I6" s="89">
        <f>'[3]Sun Country'!$KA$23+'[3]Sun Country'!$KA$33</f>
        <v>184217</v>
      </c>
      <c r="J6" s="89">
        <f>[3]Alaska!$KA$23</f>
        <v>20003</v>
      </c>
      <c r="K6" s="112">
        <f>SUM(B6:J6)</f>
        <v>304246</v>
      </c>
    </row>
    <row r="7" spans="1:14" ht="15" x14ac:dyDescent="0.25">
      <c r="A7" s="41" t="s">
        <v>7</v>
      </c>
      <c r="B7" s="120">
        <f>SUM(B5:B6)</f>
        <v>36779</v>
      </c>
      <c r="C7" s="120">
        <f t="shared" ref="C7:F7" si="0">SUM(C5:C6)</f>
        <v>0</v>
      </c>
      <c r="D7" s="120">
        <f>SUM(D5:D6)</f>
        <v>7615</v>
      </c>
      <c r="E7" s="120">
        <f>SUM(E5:E6)</f>
        <v>1826</v>
      </c>
      <c r="F7" s="120">
        <f t="shared" si="0"/>
        <v>17655</v>
      </c>
      <c r="G7" s="120">
        <f t="shared" ref="G7:J7" si="1">SUM(G5:G6)</f>
        <v>9275</v>
      </c>
      <c r="H7" s="120">
        <f t="shared" si="1"/>
        <v>130215</v>
      </c>
      <c r="I7" s="120">
        <f>SUM(I5:I6)</f>
        <v>367738</v>
      </c>
      <c r="J7" s="120">
        <f t="shared" si="1"/>
        <v>40240</v>
      </c>
      <c r="K7" s="121">
        <f>SUM(B7:J7)</f>
        <v>611343</v>
      </c>
    </row>
    <row r="8" spans="1:14" x14ac:dyDescent="0.2">
      <c r="A8" s="43"/>
      <c r="B8" s="119"/>
      <c r="C8" s="119"/>
      <c r="D8" s="348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48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[3]Frontier!$KA$27+[3]Frontier!$KA$37</f>
        <v>218</v>
      </c>
      <c r="C10" s="119">
        <f>'[3]Allegiant '!$KA$27</f>
        <v>0</v>
      </c>
      <c r="D10" s="348">
        <f>'[3]Aer Lingus'!$KA$27+'[3]Aer Lingus'!$KA$37</f>
        <v>20</v>
      </c>
      <c r="E10" s="119">
        <f>'[3]Denver Air'!$KA$27+'[3]Denver Air'!$KA$37</f>
        <v>63</v>
      </c>
      <c r="F10" s="119">
        <f>[3]WestJet!$KA$27+[3]WestJet!$KA$37</f>
        <v>1</v>
      </c>
      <c r="G10" s="119">
        <f>[3]Icelandair!$KA$37</f>
        <v>16</v>
      </c>
      <c r="H10" s="119">
        <f>[3]Southwest!$KA$27</f>
        <v>1891</v>
      </c>
      <c r="I10" s="119">
        <f>'[3]Sun Country'!$KA$27+'[3]Sun Country'!$KA$37</f>
        <v>4271</v>
      </c>
      <c r="J10" s="119">
        <f>[3]Alaska!$KA$27</f>
        <v>754</v>
      </c>
      <c r="K10" s="112">
        <f>SUM(B10:J10)</f>
        <v>7234</v>
      </c>
    </row>
    <row r="11" spans="1:14" x14ac:dyDescent="0.2">
      <c r="A11" s="43" t="s">
        <v>33</v>
      </c>
      <c r="B11" s="122">
        <f>[3]Frontier!$KA$28+[3]Frontier!$KA$38</f>
        <v>188</v>
      </c>
      <c r="C11" s="122">
        <f>'[3]Allegiant '!$KA$28</f>
        <v>0</v>
      </c>
      <c r="D11" s="122">
        <f>'[3]Aer Lingus'!$KA$28+'[3]Aer Lingus'!$KA$38</f>
        <v>12</v>
      </c>
      <c r="E11" s="122">
        <f>'[3]Denver Air'!$KA$28+'[3]Denver Air'!$KA$38</f>
        <v>71</v>
      </c>
      <c r="F11" s="122">
        <f>[3]WestJet!$KA$28+[3]WestJet!$KA$38</f>
        <v>1</v>
      </c>
      <c r="G11" s="122">
        <f>[3]Icelandair!$KA$38</f>
        <v>14</v>
      </c>
      <c r="H11" s="122">
        <f>[3]Southwest!$KA$28</f>
        <v>2007</v>
      </c>
      <c r="I11" s="122">
        <f>'[3]Sun Country'!$KA$28+'[3]Sun Country'!$KA$38</f>
        <v>4182</v>
      </c>
      <c r="J11" s="122">
        <f>[3]Alaska!$KA$28</f>
        <v>744</v>
      </c>
      <c r="K11" s="112">
        <f>SUM(B11:J11)</f>
        <v>7219</v>
      </c>
    </row>
    <row r="12" spans="1:14" ht="15.75" thickBot="1" x14ac:dyDescent="0.3">
      <c r="A12" s="44" t="s">
        <v>34</v>
      </c>
      <c r="B12" s="115">
        <f>SUM(B10:B11)</f>
        <v>406</v>
      </c>
      <c r="C12" s="115">
        <f t="shared" ref="C12:F12" si="2">SUM(C10:C11)</f>
        <v>0</v>
      </c>
      <c r="D12" s="115">
        <f>SUM(D10:D11)</f>
        <v>32</v>
      </c>
      <c r="E12" s="115">
        <f>SUM(E10:E11)</f>
        <v>134</v>
      </c>
      <c r="F12" s="115">
        <f t="shared" si="2"/>
        <v>2</v>
      </c>
      <c r="G12" s="115">
        <f t="shared" ref="G12:J12" si="3">SUM(G10:G11)</f>
        <v>30</v>
      </c>
      <c r="H12" s="115">
        <f t="shared" si="3"/>
        <v>3898</v>
      </c>
      <c r="I12" s="115">
        <f>SUM(I10:I11)</f>
        <v>8453</v>
      </c>
      <c r="J12" s="115">
        <f t="shared" si="3"/>
        <v>1498</v>
      </c>
      <c r="K12" s="123">
        <f>SUM(B12:J12)</f>
        <v>14453</v>
      </c>
      <c r="N12" s="89"/>
    </row>
    <row r="13" spans="1:14" ht="15" x14ac:dyDescent="0.25">
      <c r="A13" s="40"/>
      <c r="B13" s="207"/>
      <c r="C13" s="207"/>
      <c r="D13" s="207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[3]Frontier!$KA$4+[3]Frontier!$KA$15</f>
        <v>113</v>
      </c>
      <c r="C16" s="79">
        <f>'[3]Allegiant '!$KA$4</f>
        <v>0</v>
      </c>
      <c r="D16" s="89">
        <f>'[3]Aer Lingus'!$KA$4+'[3]Aer Lingus'!$KA$15</f>
        <v>30</v>
      </c>
      <c r="E16" s="89">
        <f>'[3]Denver Air'!$KA$4+'[3]Denver Air'!$KA$15</f>
        <v>77</v>
      </c>
      <c r="F16" s="79">
        <f>[3]WestJet!$KA$4+[3]WestJet!$KA$15</f>
        <v>101</v>
      </c>
      <c r="G16" s="89">
        <f>[3]Icelandair!$KA$15</f>
        <v>30</v>
      </c>
      <c r="H16" s="79">
        <f>[3]Southwest!$KA$4</f>
        <v>489</v>
      </c>
      <c r="I16" s="89">
        <f>'[3]Sun Country'!$KA$4+'[3]Sun Country'!$KA$15</f>
        <v>1184</v>
      </c>
      <c r="J16" s="89">
        <f>[3]Alaska!$KA$4</f>
        <v>143</v>
      </c>
      <c r="K16" s="112">
        <f>SUM(B16:J16)</f>
        <v>2167</v>
      </c>
    </row>
    <row r="17" spans="1:258" x14ac:dyDescent="0.2">
      <c r="A17" s="43" t="s">
        <v>23</v>
      </c>
      <c r="B17" s="89">
        <f>[3]Frontier!$KA$5+[3]Frontier!$KA$16</f>
        <v>113</v>
      </c>
      <c r="C17" s="79">
        <f>'[3]Allegiant '!$KA$5</f>
        <v>0</v>
      </c>
      <c r="D17" s="89">
        <f>'[3]Aer Lingus'!$KA$5+'[3]Aer Lingus'!$KA$16</f>
        <v>30</v>
      </c>
      <c r="E17" s="89">
        <f>'[3]Denver Air'!$KA$5+'[3]Denver Air'!$KA$16</f>
        <v>77</v>
      </c>
      <c r="F17" s="79">
        <f>[3]WestJet!$KA$5+[3]WestJet!$KA$16</f>
        <v>101</v>
      </c>
      <c r="G17" s="89">
        <f>[3]Icelandair!$KA$16</f>
        <v>30</v>
      </c>
      <c r="H17" s="79">
        <f>[3]Southwest!$KA$5</f>
        <v>490</v>
      </c>
      <c r="I17" s="89">
        <f>'[3]Sun Country'!$KA$5+'[3]Sun Country'!$KA$16</f>
        <v>1182</v>
      </c>
      <c r="J17" s="89">
        <f>[3]Alaska!$KA$5</f>
        <v>141</v>
      </c>
      <c r="K17" s="112">
        <f>SUM(B17:J17)</f>
        <v>2164</v>
      </c>
    </row>
    <row r="18" spans="1:258" x14ac:dyDescent="0.2">
      <c r="A18" s="47" t="s">
        <v>24</v>
      </c>
      <c r="B18" s="113">
        <f t="shared" ref="B18" si="4">SUM(B16:B17)</f>
        <v>226</v>
      </c>
      <c r="C18" s="113">
        <f t="shared" ref="C18:F18" si="5">SUM(C16:C17)</f>
        <v>0</v>
      </c>
      <c r="D18" s="113">
        <f t="shared" si="5"/>
        <v>60</v>
      </c>
      <c r="E18" s="113">
        <f t="shared" si="5"/>
        <v>154</v>
      </c>
      <c r="F18" s="113">
        <f t="shared" si="5"/>
        <v>202</v>
      </c>
      <c r="G18" s="113">
        <f t="shared" ref="G18:J18" si="6">SUM(G16:G17)</f>
        <v>60</v>
      </c>
      <c r="H18" s="113">
        <f t="shared" si="6"/>
        <v>979</v>
      </c>
      <c r="I18" s="113">
        <f t="shared" si="6"/>
        <v>2366</v>
      </c>
      <c r="J18" s="113">
        <f t="shared" si="6"/>
        <v>284</v>
      </c>
      <c r="K18" s="114">
        <f>SUM(B18:J18)</f>
        <v>4331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[3]Frontier!$KA$8</f>
        <v>0</v>
      </c>
      <c r="C20" s="89">
        <f>'[3]Allegiant '!$KA$8</f>
        <v>0</v>
      </c>
      <c r="D20" s="89">
        <f>'[3]Aer Lingus'!$KA$8</f>
        <v>0</v>
      </c>
      <c r="E20" s="89">
        <f>'[3]Denver Air'!$KA$8</f>
        <v>0</v>
      </c>
      <c r="F20" s="89">
        <f>[3]WestJet!$KA$8</f>
        <v>0</v>
      </c>
      <c r="G20" s="89">
        <f>[3]Icelandair!$KA$8</f>
        <v>0</v>
      </c>
      <c r="H20" s="89">
        <f>[3]Southwest!$KA$8</f>
        <v>0</v>
      </c>
      <c r="I20" s="89">
        <f>'[3]Sun Country'!$KA$8</f>
        <v>83</v>
      </c>
      <c r="J20" s="89">
        <f>[3]Alaska!$KA$8</f>
        <v>1</v>
      </c>
      <c r="K20" s="112">
        <f>SUM(B20:J20)</f>
        <v>84</v>
      </c>
    </row>
    <row r="21" spans="1:258" x14ac:dyDescent="0.2">
      <c r="A21" s="43" t="s">
        <v>26</v>
      </c>
      <c r="B21" s="89">
        <f>[3]Frontier!$KA$9</f>
        <v>0</v>
      </c>
      <c r="C21" s="89">
        <f>'[3]Allegiant '!$KA$9</f>
        <v>0</v>
      </c>
      <c r="D21" s="89">
        <f>'[3]Aer Lingus'!$KA$9</f>
        <v>0</v>
      </c>
      <c r="E21" s="89">
        <f>'[3]Denver Air'!$KA$9</f>
        <v>0</v>
      </c>
      <c r="F21" s="89">
        <f>[3]WestJet!$KA$9</f>
        <v>0</v>
      </c>
      <c r="G21" s="89">
        <f>[3]Icelandair!$KA$9</f>
        <v>0</v>
      </c>
      <c r="H21" s="89">
        <f>[3]Southwest!$KA$9</f>
        <v>0</v>
      </c>
      <c r="I21" s="89">
        <f>'[3]Sun Country'!$KA$9</f>
        <v>81</v>
      </c>
      <c r="J21" s="89">
        <f>[3]Alaska!$KA$9</f>
        <v>0</v>
      </c>
      <c r="K21" s="112">
        <f>SUM(B21:J21)</f>
        <v>81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164</v>
      </c>
      <c r="J22" s="113">
        <f t="shared" si="9"/>
        <v>1</v>
      </c>
      <c r="K22" s="114">
        <f>SUM(B22:J22)</f>
        <v>165</v>
      </c>
    </row>
    <row r="23" spans="1:258" ht="15.75" thickBot="1" x14ac:dyDescent="0.3">
      <c r="A23" s="44" t="s">
        <v>28</v>
      </c>
      <c r="B23" s="115">
        <f t="shared" ref="B23" si="10">B22+B18</f>
        <v>226</v>
      </c>
      <c r="C23" s="115">
        <f t="shared" ref="C23:F23" si="11">C22+C18</f>
        <v>0</v>
      </c>
      <c r="D23" s="115">
        <f t="shared" si="11"/>
        <v>60</v>
      </c>
      <c r="E23" s="115">
        <f t="shared" si="11"/>
        <v>154</v>
      </c>
      <c r="F23" s="115">
        <f t="shared" si="11"/>
        <v>202</v>
      </c>
      <c r="G23" s="115">
        <f t="shared" ref="G23:J23" si="12">G22+G18</f>
        <v>60</v>
      </c>
      <c r="H23" s="115">
        <f t="shared" si="12"/>
        <v>979</v>
      </c>
      <c r="I23" s="115">
        <f>I22+I18</f>
        <v>2530</v>
      </c>
      <c r="J23" s="115">
        <f t="shared" si="12"/>
        <v>285</v>
      </c>
      <c r="K23" s="116">
        <f>SUM(B23:J23)</f>
        <v>4496</v>
      </c>
      <c r="O23" s="89"/>
    </row>
    <row r="24" spans="1:258" x14ac:dyDescent="0.2">
      <c r="A24" s="11"/>
      <c r="B24" s="11"/>
      <c r="C24" s="11"/>
      <c r="D24" s="34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1"/>
      <c r="C25" s="301"/>
      <c r="D25" s="301"/>
      <c r="E25" s="301"/>
      <c r="F25" s="301"/>
      <c r="G25" s="301"/>
      <c r="H25" s="301"/>
      <c r="I25" s="301"/>
      <c r="J25" s="301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[3]Frontier!$KA$47</f>
        <v>0</v>
      </c>
      <c r="C28" s="89">
        <f>'[3]Allegiant '!$KA$47</f>
        <v>0</v>
      </c>
      <c r="D28" s="89">
        <f>'[3]Aer Lingus'!$KA$47</f>
        <v>0</v>
      </c>
      <c r="E28" s="89">
        <f>'[3]Denver Air'!$KA$47</f>
        <v>0</v>
      </c>
      <c r="F28" s="89">
        <f>[3]WestJet!$KA$47</f>
        <v>0</v>
      </c>
      <c r="G28" s="89">
        <f>[3]Icelandair!$KA$47</f>
        <v>170</v>
      </c>
      <c r="H28" s="89">
        <f>[3]Southwest!$KA$47</f>
        <v>188561</v>
      </c>
      <c r="I28" s="89">
        <f>'[3]Sun Country'!$KA$47</f>
        <v>0</v>
      </c>
      <c r="J28" s="89">
        <f>[3]Alaska!$KA$47</f>
        <v>27864</v>
      </c>
      <c r="K28" s="112">
        <f>SUM(B28:J28)</f>
        <v>216595</v>
      </c>
    </row>
    <row r="29" spans="1:258" x14ac:dyDescent="0.2">
      <c r="A29" s="43" t="s">
        <v>38</v>
      </c>
      <c r="B29" s="89">
        <f>[3]Frontier!$KA$48</f>
        <v>0</v>
      </c>
      <c r="C29" s="89">
        <f>'[3]Allegiant '!$KA$48</f>
        <v>0</v>
      </c>
      <c r="D29" s="89">
        <f>'[3]Aer Lingus'!$KA$48</f>
        <v>0</v>
      </c>
      <c r="E29" s="89">
        <f>'[3]Denver Air'!$KA$48</f>
        <v>0</v>
      </c>
      <c r="F29" s="89">
        <f>[3]WestJet!$KA$48</f>
        <v>0</v>
      </c>
      <c r="G29" s="89">
        <f>[3]Icelandair!$KA$48</f>
        <v>0</v>
      </c>
      <c r="H29" s="89">
        <f>[3]Southwest!$KA$48</f>
        <v>0</v>
      </c>
      <c r="I29" s="89">
        <f>'[3]Sun Country'!$KA$48</f>
        <v>0</v>
      </c>
      <c r="J29" s="89">
        <f>[3]Alaska!$KA$48</f>
        <v>669</v>
      </c>
      <c r="K29" s="112">
        <f>SUM(B29:J29)</f>
        <v>669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170</v>
      </c>
      <c r="H30" s="127">
        <f t="shared" si="15"/>
        <v>188561</v>
      </c>
      <c r="I30" s="127">
        <f t="shared" si="15"/>
        <v>0</v>
      </c>
      <c r="J30" s="127">
        <f t="shared" si="15"/>
        <v>28533</v>
      </c>
      <c r="K30" s="129">
        <f>SUM(B30:J30)</f>
        <v>217264</v>
      </c>
    </row>
    <row r="31" spans="1:258" x14ac:dyDescent="0.2">
      <c r="A31" s="43"/>
      <c r="B31" s="119"/>
      <c r="C31" s="119"/>
      <c r="D31" s="348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[3]Frontier!$KA$52</f>
        <v>0</v>
      </c>
      <c r="C33" s="89">
        <f>'[3]Allegiant '!$KA$52</f>
        <v>0</v>
      </c>
      <c r="D33" s="89">
        <f>'[3]Aer Lingus'!$KA$52</f>
        <v>0</v>
      </c>
      <c r="E33" s="89">
        <f>'[3]Denver Air'!$KA$52</f>
        <v>0</v>
      </c>
      <c r="F33" s="89">
        <f>[3]WestJet!$KA$52</f>
        <v>0</v>
      </c>
      <c r="G33" s="89">
        <f>[3]Icelandair!$KA$52</f>
        <v>0</v>
      </c>
      <c r="H33" s="89">
        <f>[3]Southwest!$KA$52</f>
        <v>70973</v>
      </c>
      <c r="I33" s="89">
        <f>'[3]Sun Country'!$KA$52</f>
        <v>0</v>
      </c>
      <c r="J33" s="89">
        <f>[3]Alaska!$KA$52</f>
        <v>14576</v>
      </c>
      <c r="K33" s="112">
        <f>SUM(B33:J33)</f>
        <v>85549</v>
      </c>
    </row>
    <row r="34" spans="1:11" x14ac:dyDescent="0.2">
      <c r="A34" s="43" t="s">
        <v>38</v>
      </c>
      <c r="B34" s="89">
        <f>[3]Frontier!$KA$53</f>
        <v>0</v>
      </c>
      <c r="C34" s="89">
        <f>'[3]Allegiant '!$KA$53</f>
        <v>0</v>
      </c>
      <c r="D34" s="89">
        <f>'[3]Aer Lingus'!$KA$53</f>
        <v>0</v>
      </c>
      <c r="E34" s="89">
        <f>'[3]Denver Air'!$KA$53</f>
        <v>0</v>
      </c>
      <c r="F34" s="89">
        <f>[3]WestJet!$KA$53</f>
        <v>0</v>
      </c>
      <c r="G34" s="89">
        <f>[3]Icelandair!$KA$53</f>
        <v>0</v>
      </c>
      <c r="H34" s="89">
        <f>[3]Southwest!$KA$53</f>
        <v>0</v>
      </c>
      <c r="I34" s="89">
        <f>'[3]Sun Country'!$KA$53</f>
        <v>0</v>
      </c>
      <c r="J34" s="89">
        <f>[3]Alaska!$KA$53</f>
        <v>0</v>
      </c>
      <c r="K34" s="128">
        <f>SUM(B34:J34)</f>
        <v>0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70973</v>
      </c>
      <c r="I35" s="113">
        <f t="shared" si="18"/>
        <v>0</v>
      </c>
      <c r="J35" s="113">
        <f t="shared" si="18"/>
        <v>14576</v>
      </c>
      <c r="K35" s="129">
        <f>SUM(B35:J35)</f>
        <v>85549</v>
      </c>
    </row>
    <row r="36" spans="1:11" hidden="1" x14ac:dyDescent="0.2">
      <c r="A36" s="43"/>
      <c r="B36" s="119"/>
      <c r="C36" s="119"/>
      <c r="D36" s="348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48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[3]Frontier!$KA$57</f>
        <v>0</v>
      </c>
      <c r="C38" s="119">
        <f>'[3]Allegiant '!$KA$57</f>
        <v>0</v>
      </c>
      <c r="D38" s="348">
        <f>'[3]Aer Lingus'!$KA$57</f>
        <v>0</v>
      </c>
      <c r="E38" s="119">
        <f>'[3]Denver Air'!$KA$57</f>
        <v>0</v>
      </c>
      <c r="F38" s="119">
        <f>[3]WestJet!$KA$57</f>
        <v>0</v>
      </c>
      <c r="G38" s="119">
        <f>[3]Icelandair!$KA$57</f>
        <v>0</v>
      </c>
      <c r="H38" s="119">
        <f>[3]Southwest!$KA$57</f>
        <v>0</v>
      </c>
      <c r="I38" s="119">
        <f>'[3]Sun Country'!$KA$57</f>
        <v>0</v>
      </c>
      <c r="J38" s="119">
        <f>[3]Alaska!$KA$57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[3]Frontier!$KA$58</f>
        <v>0</v>
      </c>
      <c r="C39" s="122">
        <f>'[3]Allegiant '!$KA$58</f>
        <v>0</v>
      </c>
      <c r="D39" s="122">
        <f>'[3]Aer Lingus'!$KA$58</f>
        <v>0</v>
      </c>
      <c r="E39" s="122">
        <f>'[3]Denver Air'!$KA$58</f>
        <v>0</v>
      </c>
      <c r="F39" s="122">
        <f>[3]WestJet!$KA$58</f>
        <v>0</v>
      </c>
      <c r="G39" s="122">
        <f>[3]Icelandair!$KA$58</f>
        <v>0</v>
      </c>
      <c r="H39" s="122">
        <f>[3]Southwest!$KA$58</f>
        <v>0</v>
      </c>
      <c r="I39" s="122">
        <f>'[3]Sun Country'!$KA$58</f>
        <v>0</v>
      </c>
      <c r="J39" s="122">
        <f>[3]Alaska!$KA$58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0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48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48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48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170</v>
      </c>
      <c r="H43" s="119">
        <f t="shared" si="24"/>
        <v>259534</v>
      </c>
      <c r="I43" s="119">
        <f t="shared" si="24"/>
        <v>0</v>
      </c>
      <c r="J43" s="119">
        <f t="shared" si="24"/>
        <v>42440</v>
      </c>
      <c r="K43" s="112">
        <f>SUM(B43:J43)</f>
        <v>302144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669</v>
      </c>
      <c r="K44" s="112">
        <f>SUM(B44:J44)</f>
        <v>669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170</v>
      </c>
      <c r="H45" s="131">
        <f t="shared" si="30"/>
        <v>259534</v>
      </c>
      <c r="I45" s="131">
        <f t="shared" si="30"/>
        <v>0</v>
      </c>
      <c r="J45" s="131">
        <f t="shared" si="30"/>
        <v>43109</v>
      </c>
      <c r="K45" s="132">
        <f>SUM(B45:J45)</f>
        <v>302813</v>
      </c>
    </row>
    <row r="48" spans="1:11" x14ac:dyDescent="0.2">
      <c r="A48" s="266" t="s">
        <v>119</v>
      </c>
      <c r="B48" s="277"/>
      <c r="C48" s="277"/>
      <c r="D48" s="277"/>
      <c r="E48" s="277"/>
      <c r="F48" s="277"/>
      <c r="H48" s="233">
        <f>[3]Southwest!$KA$70+[3]Southwest!$KA$73</f>
        <v>0</v>
      </c>
      <c r="I48" s="233">
        <f>'[3]Sun Country'!$KA$70+'[3]Sun Country'!$KA$73</f>
        <v>0</v>
      </c>
      <c r="J48" s="277"/>
      <c r="K48" s="222">
        <f>SUM(B48:J48)</f>
        <v>0</v>
      </c>
    </row>
    <row r="49" spans="1:11" x14ac:dyDescent="0.2">
      <c r="A49" s="279" t="s">
        <v>120</v>
      </c>
      <c r="B49" s="277"/>
      <c r="C49" s="277"/>
      <c r="D49" s="277"/>
      <c r="E49" s="277"/>
      <c r="F49" s="277"/>
      <c r="H49" s="233">
        <f>[3]Southwest!$KA$71+[3]Southwest!$KA$74</f>
        <v>0</v>
      </c>
      <c r="I49" s="233">
        <f>'[3]Sun Country'!$KA$71+'[3]Sun Country'!$KA$74</f>
        <v>0</v>
      </c>
      <c r="J49" s="277"/>
      <c r="K49" s="222">
        <f>SUM(B49:J49)</f>
        <v>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June 2026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0"/>
  <sheetViews>
    <sheetView zoomScale="115" zoomScaleNormal="115" zoomScaleSheetLayoutView="115" workbookViewId="0">
      <selection activeCell="F4" sqref="F4"/>
    </sheetView>
  </sheetViews>
  <sheetFormatPr defaultRowHeight="12.75" x14ac:dyDescent="0.2"/>
  <cols>
    <col min="1" max="1" width="25.28515625" bestFit="1" customWidth="1"/>
    <col min="2" max="2" width="13.28515625" customWidth="1"/>
    <col min="3" max="3" width="9.28515625" customWidth="1"/>
    <col min="4" max="4" width="10.42578125" bestFit="1" customWidth="1"/>
    <col min="5" max="6" width="10" customWidth="1"/>
    <col min="7" max="7" width="10.28515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5" x14ac:dyDescent="0.2">
      <c r="A1" s="275"/>
    </row>
    <row r="2" spans="1:15" ht="26.25" thickBot="1" x14ac:dyDescent="0.25">
      <c r="A2" s="384">
        <v>46174</v>
      </c>
      <c r="B2" s="451" t="s">
        <v>153</v>
      </c>
      <c r="C2" s="451" t="s">
        <v>155</v>
      </c>
      <c r="D2" s="451" t="s">
        <v>160</v>
      </c>
      <c r="E2" s="451" t="s">
        <v>159</v>
      </c>
      <c r="F2" s="451" t="s">
        <v>178</v>
      </c>
      <c r="G2" s="451" t="s">
        <v>164</v>
      </c>
      <c r="H2" s="451" t="s">
        <v>167</v>
      </c>
      <c r="I2" s="451" t="s">
        <v>163</v>
      </c>
      <c r="J2" s="451" t="s">
        <v>114</v>
      </c>
      <c r="K2" s="451" t="s">
        <v>21</v>
      </c>
    </row>
    <row r="3" spans="1:15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6"/>
    </row>
    <row r="4" spans="1:15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2"/>
    </row>
    <row r="5" spans="1:15" x14ac:dyDescent="0.2">
      <c r="A5" s="43" t="s">
        <v>30</v>
      </c>
      <c r="B5" s="81">
        <f>[3]Pinnacle!$KA$22+[3]Pinnacle!$KA$32</f>
        <v>66797</v>
      </c>
      <c r="C5" s="81">
        <f>[3]MESA_UA!$KA$22</f>
        <v>637</v>
      </c>
      <c r="D5" s="89">
        <f>'[3]Sky West'!$KA$22+'[3]Sky West'!$KA$32</f>
        <v>157381</v>
      </c>
      <c r="E5" s="89">
        <f>'[3]Sky West_UA'!$KA$22</f>
        <v>4984</v>
      </c>
      <c r="F5" s="89">
        <f>'[3]Sky West_AA'!$KA$22</f>
        <v>0</v>
      </c>
      <c r="G5" s="89">
        <f>[3]Republic!$KA$22</f>
        <v>3793</v>
      </c>
      <c r="H5" s="89">
        <f>[3]Republic_UA!$KA$22</f>
        <v>256</v>
      </c>
      <c r="I5" s="89">
        <f>'[3]American Eagle'!$KA$22</f>
        <v>5129</v>
      </c>
      <c r="J5" s="89">
        <f>'Other Regional'!H5</f>
        <v>11054</v>
      </c>
      <c r="K5" s="82">
        <f>SUM(B5:J5)</f>
        <v>250031</v>
      </c>
    </row>
    <row r="6" spans="1:15" s="6" customFormat="1" x14ac:dyDescent="0.2">
      <c r="A6" s="43" t="s">
        <v>31</v>
      </c>
      <c r="B6" s="81">
        <f>[3]Pinnacle!$KA$23+[3]Pinnacle!$KA$33</f>
        <v>66749</v>
      </c>
      <c r="C6" s="81">
        <f>[3]MESA_UA!$KA$23</f>
        <v>640</v>
      </c>
      <c r="D6" s="89">
        <f>'[3]Sky West'!$KA$23+'[3]Sky West'!$KA$33</f>
        <v>159987</v>
      </c>
      <c r="E6" s="89">
        <f>'[3]Sky West_UA'!$KA$23</f>
        <v>4545</v>
      </c>
      <c r="F6" s="89">
        <f>'[3]Sky West_AA'!$KA$23</f>
        <v>0</v>
      </c>
      <c r="G6" s="89">
        <f>[3]Republic!$KA$23</f>
        <v>3705</v>
      </c>
      <c r="H6" s="89">
        <f>[3]Republic_UA!$KA$23</f>
        <v>252</v>
      </c>
      <c r="I6" s="89">
        <f>'[3]American Eagle'!$KA$23</f>
        <v>5035</v>
      </c>
      <c r="J6" s="89">
        <f>'Other Regional'!H6</f>
        <v>10655</v>
      </c>
      <c r="K6" s="86">
        <f>SUM(B6:J6)</f>
        <v>251568</v>
      </c>
    </row>
    <row r="7" spans="1:15" ht="15" thickBot="1" x14ac:dyDescent="0.25">
      <c r="A7" s="52" t="s">
        <v>7</v>
      </c>
      <c r="B7" s="99">
        <f>SUM(B5:B6)</f>
        <v>133546</v>
      </c>
      <c r="C7" s="99">
        <f t="shared" ref="C7:J7" si="0">SUM(C5:C6)</f>
        <v>1277</v>
      </c>
      <c r="D7" s="99">
        <f t="shared" si="0"/>
        <v>317368</v>
      </c>
      <c r="E7" s="99">
        <f t="shared" si="0"/>
        <v>9529</v>
      </c>
      <c r="F7" s="99">
        <f t="shared" ref="F7" si="1">SUM(F5:F6)</f>
        <v>0</v>
      </c>
      <c r="G7" s="99">
        <f t="shared" si="0"/>
        <v>7498</v>
      </c>
      <c r="H7" s="99">
        <f t="shared" si="0"/>
        <v>508</v>
      </c>
      <c r="I7" s="99">
        <f t="shared" si="0"/>
        <v>10164</v>
      </c>
      <c r="J7" s="99">
        <f t="shared" si="0"/>
        <v>21709</v>
      </c>
      <c r="K7" s="100">
        <f>SUM(B7:J7)</f>
        <v>501599</v>
      </c>
    </row>
    <row r="8" spans="1:15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101"/>
      <c r="N8" s="89"/>
    </row>
    <row r="9" spans="1:15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2"/>
    </row>
    <row r="10" spans="1:15" x14ac:dyDescent="0.2">
      <c r="A10" s="43" t="s">
        <v>30</v>
      </c>
      <c r="B10" s="81">
        <f>[3]Pinnacle!$KA$27+[3]Pinnacle!$KA$37</f>
        <v>1750</v>
      </c>
      <c r="C10" s="81">
        <f>[3]MESA_UA!$KA$27</f>
        <v>22</v>
      </c>
      <c r="D10" s="89">
        <f>'[3]Sky West'!$KA$27+'[3]Sky West'!$KA$37</f>
        <v>4925</v>
      </c>
      <c r="E10" s="89">
        <f>'[3]Sky West_UA'!$KA$27</f>
        <v>119</v>
      </c>
      <c r="F10" s="89">
        <f>'[3]Sky West_AA'!$KA$27</f>
        <v>0</v>
      </c>
      <c r="G10" s="89">
        <f>[3]Republic!$KA$27</f>
        <v>247</v>
      </c>
      <c r="H10" s="89">
        <f>[3]Republic_UA!$KA$27</f>
        <v>11</v>
      </c>
      <c r="I10" s="89">
        <f>'[3]American Eagle'!$KA$27</f>
        <v>195</v>
      </c>
      <c r="J10" s="89">
        <f>'Other Regional'!H10</f>
        <v>262</v>
      </c>
      <c r="K10" s="82">
        <f>SUM(B10:J10)</f>
        <v>7531</v>
      </c>
    </row>
    <row r="11" spans="1:15" x14ac:dyDescent="0.2">
      <c r="A11" s="43" t="s">
        <v>33</v>
      </c>
      <c r="B11" s="81">
        <f>[3]Pinnacle!$KA$28+[3]Pinnacle!$KA$38</f>
        <v>1749</v>
      </c>
      <c r="C11" s="81">
        <f>[3]MESA_UA!$KA$28</f>
        <v>29</v>
      </c>
      <c r="D11" s="89">
        <f>'[3]Sky West'!$KA$28+'[3]Sky West'!$KA$38</f>
        <v>4886</v>
      </c>
      <c r="E11" s="89">
        <f>'[3]Sky West_UA'!$KA$28</f>
        <v>241</v>
      </c>
      <c r="F11" s="89">
        <f>'[3]Sky West_AA'!$KA$28</f>
        <v>0</v>
      </c>
      <c r="G11" s="89">
        <f>[3]Republic!$KA$28</f>
        <v>254</v>
      </c>
      <c r="H11" s="89">
        <f>[3]Republic_UA!$KA$28</f>
        <v>24</v>
      </c>
      <c r="I11" s="89">
        <f>'[3]American Eagle'!$KA$28</f>
        <v>228</v>
      </c>
      <c r="J11" s="89">
        <f>'Other Regional'!H11</f>
        <v>274</v>
      </c>
      <c r="K11" s="86">
        <f>SUM(B11:J11)</f>
        <v>7685</v>
      </c>
      <c r="N11" s="330"/>
      <c r="O11" s="330"/>
    </row>
    <row r="12" spans="1:15" ht="15" thickBot="1" x14ac:dyDescent="0.25">
      <c r="A12" s="53" t="s">
        <v>34</v>
      </c>
      <c r="B12" s="102">
        <f t="shared" ref="B12:J12" si="2">SUM(B10:B11)</f>
        <v>3499</v>
      </c>
      <c r="C12" s="102">
        <f t="shared" si="2"/>
        <v>51</v>
      </c>
      <c r="D12" s="102">
        <f t="shared" si="2"/>
        <v>9811</v>
      </c>
      <c r="E12" s="102">
        <f t="shared" si="2"/>
        <v>360</v>
      </c>
      <c r="F12" s="102">
        <f t="shared" ref="F12" si="3">SUM(F10:F11)</f>
        <v>0</v>
      </c>
      <c r="G12" s="102">
        <f t="shared" si="2"/>
        <v>501</v>
      </c>
      <c r="H12" s="102">
        <f t="shared" si="2"/>
        <v>35</v>
      </c>
      <c r="I12" s="102">
        <f t="shared" si="2"/>
        <v>423</v>
      </c>
      <c r="J12" s="102">
        <f t="shared" si="2"/>
        <v>536</v>
      </c>
      <c r="K12" s="103">
        <f>SUM(B12:J12)</f>
        <v>15216</v>
      </c>
      <c r="N12" s="89"/>
      <c r="O12" s="89"/>
    </row>
    <row r="13" spans="1:15" ht="13.5" thickBot="1" x14ac:dyDescent="0.25">
      <c r="B13" s="89"/>
      <c r="C13" s="89"/>
      <c r="D13" s="89"/>
      <c r="E13" s="89"/>
      <c r="F13" s="89"/>
      <c r="G13" s="89"/>
      <c r="H13" s="89"/>
      <c r="I13" s="89"/>
    </row>
    <row r="14" spans="1:15" ht="15.75" thickTop="1" x14ac:dyDescent="0.25">
      <c r="A14" s="42" t="s">
        <v>9</v>
      </c>
      <c r="B14" s="423" t="s">
        <v>210</v>
      </c>
      <c r="C14" s="77"/>
      <c r="D14" s="76"/>
      <c r="E14" s="76"/>
      <c r="F14" s="76"/>
      <c r="G14" s="76"/>
      <c r="H14" s="76"/>
      <c r="I14" s="76"/>
      <c r="J14" s="76"/>
      <c r="K14" s="78"/>
      <c r="O14" s="89"/>
    </row>
    <row r="15" spans="1:15" x14ac:dyDescent="0.2">
      <c r="A15" s="43" t="s">
        <v>52</v>
      </c>
      <c r="B15" s="11">
        <f>[3]Pinnacle!$KA$4+[3]Pinnacle!$KA$15</f>
        <v>1091</v>
      </c>
      <c r="C15" s="80">
        <f>[3]MESA_UA!$KA$4</f>
        <v>10</v>
      </c>
      <c r="D15" s="79">
        <f>'[3]Sky West'!$KA$4+'[3]Sky West'!$KA$15</f>
        <v>2655</v>
      </c>
      <c r="E15" s="79">
        <f>'[3]Sky West_UA'!$KA$4</f>
        <v>74</v>
      </c>
      <c r="F15" s="79">
        <f>'[3]Sky West_AA'!$KA$4</f>
        <v>1</v>
      </c>
      <c r="G15" s="81">
        <f>[3]Republic!$KA$4</f>
        <v>61</v>
      </c>
      <c r="H15" s="323">
        <f>[3]Republic_UA!$KA$4</f>
        <v>5</v>
      </c>
      <c r="I15" s="81">
        <f>'[3]American Eagle'!$KA$4</f>
        <v>84</v>
      </c>
      <c r="J15" s="80">
        <f>'Other Regional'!H15</f>
        <v>182</v>
      </c>
      <c r="K15" s="82">
        <f t="shared" ref="K15:K20" si="4">SUM(B15:J15)</f>
        <v>4163</v>
      </c>
    </row>
    <row r="16" spans="1:15" x14ac:dyDescent="0.2">
      <c r="A16" s="43" t="s">
        <v>53</v>
      </c>
      <c r="B16" s="7">
        <f>[3]Pinnacle!$KA$5+[3]Pinnacle!$KA$16</f>
        <v>1087</v>
      </c>
      <c r="C16" s="84">
        <f>[3]MESA_UA!$KA$5</f>
        <v>11</v>
      </c>
      <c r="D16" s="83">
        <f>'[3]Sky West'!$KA$5+'[3]Sky West'!$KA$16</f>
        <v>2651</v>
      </c>
      <c r="E16" s="83">
        <f>'[3]Sky West_UA'!$KA$5</f>
        <v>75</v>
      </c>
      <c r="F16" s="83">
        <f>'[3]Sky West_AA'!$KA$5</f>
        <v>1</v>
      </c>
      <c r="G16" s="85">
        <f>[3]Republic!$KA$5</f>
        <v>61</v>
      </c>
      <c r="H16" s="210">
        <f>[3]Republic_UA!$KA$5</f>
        <v>5</v>
      </c>
      <c r="I16" s="85">
        <f>'[3]American Eagle'!$KA$5</f>
        <v>84</v>
      </c>
      <c r="J16" s="84">
        <f>'Other Regional'!H16</f>
        <v>182</v>
      </c>
      <c r="K16" s="86">
        <f t="shared" si="4"/>
        <v>4157</v>
      </c>
      <c r="M16" s="89"/>
      <c r="N16" s="89"/>
    </row>
    <row r="17" spans="1:11" x14ac:dyDescent="0.2">
      <c r="A17" s="47" t="s">
        <v>54</v>
      </c>
      <c r="B17" s="87">
        <f t="shared" ref="B17:D17" si="5">SUM(B15:B16)</f>
        <v>2178</v>
      </c>
      <c r="C17" s="87">
        <f t="shared" si="5"/>
        <v>21</v>
      </c>
      <c r="D17" s="87">
        <f t="shared" si="5"/>
        <v>5306</v>
      </c>
      <c r="E17" s="87">
        <f>SUM(E15:E16)</f>
        <v>149</v>
      </c>
      <c r="F17" s="87">
        <f>SUM(F15:F16)</f>
        <v>2</v>
      </c>
      <c r="G17" s="87">
        <f>SUM(G15:G16)</f>
        <v>122</v>
      </c>
      <c r="H17" s="87">
        <f t="shared" ref="H17" si="6">SUM(H15:H16)</f>
        <v>10</v>
      </c>
      <c r="I17" s="87">
        <f>SUM(I15:I16)</f>
        <v>168</v>
      </c>
      <c r="J17" s="87">
        <f>SUM(J15:J16)</f>
        <v>364</v>
      </c>
      <c r="K17" s="88">
        <f t="shared" si="4"/>
        <v>8320</v>
      </c>
    </row>
    <row r="18" spans="1:11" x14ac:dyDescent="0.2">
      <c r="A18" s="43" t="s">
        <v>55</v>
      </c>
      <c r="B18" s="89">
        <f>[3]Pinnacle!$KA$8</f>
        <v>0</v>
      </c>
      <c r="C18" s="81">
        <f>[3]MESA_UA!$KA$8</f>
        <v>0</v>
      </c>
      <c r="D18" s="89">
        <f>'[3]Sky West'!$KA$8</f>
        <v>0</v>
      </c>
      <c r="E18" s="89">
        <f>'[3]Sky West_UA'!$KA$8</f>
        <v>0</v>
      </c>
      <c r="F18" s="89">
        <f>'[3]Sky West_AA'!$KA$8</f>
        <v>0</v>
      </c>
      <c r="G18" s="89">
        <f>[3]Republic!$KA$8</f>
        <v>0</v>
      </c>
      <c r="H18" s="89">
        <f>[3]Republic_UA!$KA$8</f>
        <v>0</v>
      </c>
      <c r="I18" s="89">
        <f>'[3]American Eagle'!$KA$8</f>
        <v>0</v>
      </c>
      <c r="J18" s="89">
        <f>'Other Regional'!H18</f>
        <v>0</v>
      </c>
      <c r="K18" s="82">
        <f t="shared" si="4"/>
        <v>0</v>
      </c>
    </row>
    <row r="19" spans="1:11" x14ac:dyDescent="0.2">
      <c r="A19" s="43" t="s">
        <v>56</v>
      </c>
      <c r="B19" s="90">
        <f>[3]Pinnacle!$KA$9</f>
        <v>5</v>
      </c>
      <c r="C19" s="85">
        <f>[3]MESA_UA!$KA$9</f>
        <v>0</v>
      </c>
      <c r="D19" s="90">
        <f>'[3]Sky West'!$KA$9</f>
        <v>4</v>
      </c>
      <c r="E19" s="90">
        <f>'[3]Sky West_UA'!$KA$9</f>
        <v>0</v>
      </c>
      <c r="F19" s="90">
        <f>'[3]Sky West_AA'!$KA$9</f>
        <v>0</v>
      </c>
      <c r="G19" s="90">
        <f>[3]Republic!$KA$9</f>
        <v>0</v>
      </c>
      <c r="H19" s="90">
        <f>[3]Republic_UA!$KA$9</f>
        <v>0</v>
      </c>
      <c r="I19" s="90">
        <f>'[3]American Eagle'!$KA$9</f>
        <v>0</v>
      </c>
      <c r="J19" s="90">
        <f>'Other Regional'!H19</f>
        <v>0</v>
      </c>
      <c r="K19" s="86">
        <f t="shared" si="4"/>
        <v>9</v>
      </c>
    </row>
    <row r="20" spans="1:11" x14ac:dyDescent="0.2">
      <c r="A20" s="47" t="s">
        <v>57</v>
      </c>
      <c r="B20" s="87">
        <f t="shared" ref="B20:J20" si="7">SUM(B18:B19)</f>
        <v>5</v>
      </c>
      <c r="C20" s="87">
        <f t="shared" si="7"/>
        <v>0</v>
      </c>
      <c r="D20" s="87">
        <f t="shared" si="7"/>
        <v>4</v>
      </c>
      <c r="E20" s="87">
        <f t="shared" si="7"/>
        <v>0</v>
      </c>
      <c r="F20" s="87">
        <f t="shared" ref="F20" si="8">SUM(F18:F19)</f>
        <v>0</v>
      </c>
      <c r="G20" s="87">
        <f t="shared" si="7"/>
        <v>0</v>
      </c>
      <c r="H20" s="87">
        <f t="shared" si="7"/>
        <v>0</v>
      </c>
      <c r="I20" s="87">
        <f t="shared" si="7"/>
        <v>0</v>
      </c>
      <c r="J20" s="87">
        <f t="shared" si="7"/>
        <v>0</v>
      </c>
      <c r="K20" s="88">
        <f t="shared" si="4"/>
        <v>9</v>
      </c>
    </row>
    <row r="21" spans="1:11" ht="15.75" thickBot="1" x14ac:dyDescent="0.3">
      <c r="A21" s="51" t="s">
        <v>28</v>
      </c>
      <c r="B21" s="91">
        <f>SUM(B20,B17)</f>
        <v>2183</v>
      </c>
      <c r="C21" s="91">
        <f t="shared" ref="C21:I21" si="9">SUM(C20,C17)</f>
        <v>21</v>
      </c>
      <c r="D21" s="91">
        <f t="shared" si="9"/>
        <v>5310</v>
      </c>
      <c r="E21" s="91">
        <f t="shared" si="9"/>
        <v>149</v>
      </c>
      <c r="F21" s="91">
        <f t="shared" ref="F21" si="10">SUM(F20,F17)</f>
        <v>2</v>
      </c>
      <c r="G21" s="91">
        <f t="shared" si="9"/>
        <v>122</v>
      </c>
      <c r="H21" s="91">
        <f t="shared" si="9"/>
        <v>10</v>
      </c>
      <c r="I21" s="91">
        <f t="shared" si="9"/>
        <v>168</v>
      </c>
      <c r="J21" s="91">
        <f>SUM(J20,J17)</f>
        <v>364</v>
      </c>
      <c r="K21" s="92">
        <f t="shared" ref="K21" si="11">SUM(B21:J21)</f>
        <v>8329</v>
      </c>
    </row>
    <row r="22" spans="1:11" ht="13.5" thickBot="1" x14ac:dyDescent="0.25"/>
    <row r="23" spans="1:11" ht="15.75" thickTop="1" x14ac:dyDescent="0.25">
      <c r="A23" s="46" t="s">
        <v>113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6"/>
    </row>
    <row r="24" spans="1:11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2"/>
    </row>
    <row r="25" spans="1:11" x14ac:dyDescent="0.2">
      <c r="A25" s="43" t="s">
        <v>37</v>
      </c>
      <c r="B25" s="89">
        <f>[3]Pinnacle!$KA$47</f>
        <v>0</v>
      </c>
      <c r="C25" s="81">
        <f>[3]MESA_UA!$KA$47</f>
        <v>0</v>
      </c>
      <c r="D25" s="89">
        <f>'[3]Sky West'!$KA$47</f>
        <v>0</v>
      </c>
      <c r="E25" s="89">
        <f>'[3]Sky West_UA'!$KA$47</f>
        <v>0</v>
      </c>
      <c r="F25" s="89">
        <f>'[3]Sky West_AA'!$KA$47</f>
        <v>0</v>
      </c>
      <c r="G25" s="89">
        <f>[3]Republic!$KA$47</f>
        <v>230</v>
      </c>
      <c r="H25" s="89">
        <f>[3]Republic_UA!$KA$47</f>
        <v>0</v>
      </c>
      <c r="I25" s="89">
        <f>'[3]American Eagle'!$KA$47</f>
        <v>1082</v>
      </c>
      <c r="J25" s="89">
        <f>'Other Regional'!H25</f>
        <v>11163.2</v>
      </c>
      <c r="K25" s="82">
        <f>SUM(B25:J25)</f>
        <v>12475.2</v>
      </c>
    </row>
    <row r="26" spans="1:11" x14ac:dyDescent="0.2">
      <c r="A26" s="43" t="s">
        <v>38</v>
      </c>
      <c r="B26" s="89">
        <f>[3]Pinnacle!$KA$48</f>
        <v>0</v>
      </c>
      <c r="C26" s="81">
        <f>[3]MESA_UA!$KA$48</f>
        <v>0</v>
      </c>
      <c r="D26" s="89">
        <f>'[3]Sky West'!$KA$48</f>
        <v>0</v>
      </c>
      <c r="E26" s="89">
        <f>'[3]Sky West_UA'!$KA$48</f>
        <v>0</v>
      </c>
      <c r="F26" s="89">
        <f>'[3]Sky West_AA'!$KA$48</f>
        <v>0</v>
      </c>
      <c r="G26" s="89">
        <f>[3]Republic!$KA$48</f>
        <v>0</v>
      </c>
      <c r="H26" s="89">
        <f>[3]Republic_UA!$KA$48</f>
        <v>0</v>
      </c>
      <c r="I26" s="89">
        <f>'[3]American Eagle'!$KA$48</f>
        <v>0</v>
      </c>
      <c r="J26" s="89">
        <f>'Other Regional'!H26</f>
        <v>0</v>
      </c>
      <c r="K26" s="82">
        <f>SUM(B26:J26)</f>
        <v>0</v>
      </c>
    </row>
    <row r="27" spans="1:11" ht="15" thickBot="1" x14ac:dyDescent="0.25">
      <c r="A27" s="52" t="s">
        <v>39</v>
      </c>
      <c r="B27" s="99">
        <f t="shared" ref="B27:J27" si="12">SUM(B25:B26)</f>
        <v>0</v>
      </c>
      <c r="C27" s="99">
        <f t="shared" si="12"/>
        <v>0</v>
      </c>
      <c r="D27" s="99">
        <f t="shared" si="12"/>
        <v>0</v>
      </c>
      <c r="E27" s="99">
        <f t="shared" si="12"/>
        <v>0</v>
      </c>
      <c r="F27" s="99">
        <f t="shared" ref="F27" si="13">SUM(F25:F26)</f>
        <v>0</v>
      </c>
      <c r="G27" s="99">
        <f t="shared" si="12"/>
        <v>230</v>
      </c>
      <c r="H27" s="99">
        <f t="shared" si="12"/>
        <v>0</v>
      </c>
      <c r="I27" s="99">
        <f t="shared" si="12"/>
        <v>1082</v>
      </c>
      <c r="J27" s="99">
        <f t="shared" si="12"/>
        <v>11163.2</v>
      </c>
      <c r="K27" s="100">
        <f>SUM(B27:J27)</f>
        <v>12475.2</v>
      </c>
    </row>
    <row r="28" spans="1:11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2"/>
    </row>
    <row r="29" spans="1:11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K29" s="82"/>
    </row>
    <row r="30" spans="1:11" x14ac:dyDescent="0.2">
      <c r="A30" s="43" t="s">
        <v>58</v>
      </c>
      <c r="B30" s="89">
        <f>[3]Pinnacle!$KA$52</f>
        <v>0</v>
      </c>
      <c r="C30" s="81">
        <f>[3]MESA_UA!$KA$52</f>
        <v>0</v>
      </c>
      <c r="D30" s="89">
        <f>'[3]Sky West'!$KA$52</f>
        <v>0</v>
      </c>
      <c r="E30" s="89">
        <f>'[3]Sky West_UA'!$KA$52</f>
        <v>0</v>
      </c>
      <c r="F30" s="89">
        <f>'[3]Sky West_AA'!$KA$52</f>
        <v>0</v>
      </c>
      <c r="G30" s="89">
        <f>[3]Republic!$KA$52</f>
        <v>348</v>
      </c>
      <c r="H30" s="89">
        <f>[3]Republic_UA!$KA$52</f>
        <v>0</v>
      </c>
      <c r="I30" s="89">
        <f>'[3]American Eagle'!$KA$52</f>
        <v>104</v>
      </c>
      <c r="J30" s="89">
        <f>'Other Regional'!H30</f>
        <v>9241.1</v>
      </c>
      <c r="K30" s="82">
        <f t="shared" ref="K30:K37" si="14">SUM(B30:J30)</f>
        <v>9693.1</v>
      </c>
    </row>
    <row r="31" spans="1:11" x14ac:dyDescent="0.2">
      <c r="A31" s="43" t="s">
        <v>59</v>
      </c>
      <c r="B31" s="89">
        <f>[3]Pinnacle!$KA$53</f>
        <v>0</v>
      </c>
      <c r="C31" s="81">
        <f>[3]MESA_UA!$KA$53</f>
        <v>0</v>
      </c>
      <c r="D31" s="89">
        <f>'[3]Sky West'!$KA$53</f>
        <v>0</v>
      </c>
      <c r="E31" s="89">
        <f>'[3]Sky West_UA'!$KA$53</f>
        <v>0</v>
      </c>
      <c r="F31" s="89">
        <f>'[3]Sky West_AA'!$KA$53</f>
        <v>0</v>
      </c>
      <c r="G31" s="89">
        <f>[3]Republic!$KA$53</f>
        <v>0</v>
      </c>
      <c r="H31" s="89">
        <f>[3]Republic_UA!$KA$53</f>
        <v>0</v>
      </c>
      <c r="I31" s="89">
        <f>'[3]American Eagle'!$KA$53</f>
        <v>0</v>
      </c>
      <c r="J31" s="89">
        <f>'Other Regional'!H31</f>
        <v>0</v>
      </c>
      <c r="K31" s="82">
        <f t="shared" si="14"/>
        <v>0</v>
      </c>
    </row>
    <row r="32" spans="1:11" ht="15" thickBot="1" x14ac:dyDescent="0.25">
      <c r="A32" s="52" t="s">
        <v>41</v>
      </c>
      <c r="B32" s="99">
        <f t="shared" ref="B32:I32" si="15">SUM(B30:B31)</f>
        <v>0</v>
      </c>
      <c r="C32" s="99">
        <f t="shared" si="15"/>
        <v>0</v>
      </c>
      <c r="D32" s="99">
        <f t="shared" si="15"/>
        <v>0</v>
      </c>
      <c r="E32" s="99">
        <f t="shared" si="15"/>
        <v>0</v>
      </c>
      <c r="F32" s="99">
        <f t="shared" ref="F32" si="16">SUM(F30:F31)</f>
        <v>0</v>
      </c>
      <c r="G32" s="99">
        <f t="shared" si="15"/>
        <v>348</v>
      </c>
      <c r="H32" s="99">
        <f t="shared" si="15"/>
        <v>0</v>
      </c>
      <c r="I32" s="99">
        <f t="shared" si="15"/>
        <v>104</v>
      </c>
      <c r="J32" s="99">
        <f>SUM(J30:J31)</f>
        <v>9241.1</v>
      </c>
      <c r="K32" s="100">
        <f t="shared" si="14"/>
        <v>9693.1</v>
      </c>
    </row>
    <row r="33" spans="1:11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2">
        <f t="shared" si="14"/>
        <v>0</v>
      </c>
    </row>
    <row r="34" spans="1:11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2">
        <f t="shared" si="14"/>
        <v>0</v>
      </c>
    </row>
    <row r="35" spans="1:11" ht="13.5" hidden="1" thickTop="1" x14ac:dyDescent="0.2">
      <c r="A35" s="43" t="s">
        <v>37</v>
      </c>
      <c r="B35" s="89">
        <f>[3]Pinnacle!$KA$57</f>
        <v>0</v>
      </c>
      <c r="C35" s="81">
        <f>[3]MESA_UA!$KA$57</f>
        <v>0</v>
      </c>
      <c r="D35" s="89">
        <f>'[3]Sky West'!$KA$57</f>
        <v>0</v>
      </c>
      <c r="E35" s="89">
        <f>'[3]Sky West_UA'!$KA$57</f>
        <v>0</v>
      </c>
      <c r="F35" s="89">
        <f>'[3]Sky West_AA'!$KA$57</f>
        <v>0</v>
      </c>
      <c r="G35" s="89">
        <f>[3]Republic!$KA$57</f>
        <v>0</v>
      </c>
      <c r="H35" s="89">
        <f>[3]Republic!$KA$57</f>
        <v>0</v>
      </c>
      <c r="I35" s="89">
        <f>'[3]American Eagle'!$KA$57</f>
        <v>0</v>
      </c>
      <c r="J35" s="89">
        <f>'Other Regional'!H35</f>
        <v>0</v>
      </c>
      <c r="K35" s="82">
        <f t="shared" si="14"/>
        <v>0</v>
      </c>
    </row>
    <row r="36" spans="1:11" ht="13.5" hidden="1" thickTop="1" x14ac:dyDescent="0.2">
      <c r="A36" s="43" t="s">
        <v>38</v>
      </c>
      <c r="B36" s="89">
        <f>[3]Pinnacle!$KA$58</f>
        <v>0</v>
      </c>
      <c r="C36" s="81">
        <f>[3]MESA_UA!$KA$58</f>
        <v>0</v>
      </c>
      <c r="D36" s="89">
        <f>'[3]Sky West'!$KA$58</f>
        <v>0</v>
      </c>
      <c r="E36" s="89">
        <f>'[3]Sky West_UA'!$KA$58</f>
        <v>0</v>
      </c>
      <c r="F36" s="89">
        <f>'[3]Sky West_AA'!$KA$58</f>
        <v>0</v>
      </c>
      <c r="G36" s="89">
        <f>[3]Republic!$KA$58</f>
        <v>0</v>
      </c>
      <c r="H36" s="89">
        <f>[3]Republic!$KA$58</f>
        <v>0</v>
      </c>
      <c r="I36" s="89">
        <f>'[3]American Eagle'!$KA$58</f>
        <v>0</v>
      </c>
      <c r="J36" s="89">
        <f>'Other Regional'!H36</f>
        <v>0</v>
      </c>
      <c r="K36" s="82">
        <f t="shared" si="14"/>
        <v>0</v>
      </c>
    </row>
    <row r="37" spans="1:11" ht="13.5" hidden="1" thickTop="1" x14ac:dyDescent="0.2">
      <c r="A37" s="54" t="s">
        <v>43</v>
      </c>
      <c r="B37" s="107">
        <f t="shared" ref="B37:I37" si="17">SUM(B35:B36)</f>
        <v>0</v>
      </c>
      <c r="C37" s="107">
        <f t="shared" si="17"/>
        <v>0</v>
      </c>
      <c r="D37" s="107">
        <f t="shared" si="17"/>
        <v>0</v>
      </c>
      <c r="E37" s="107">
        <f t="shared" si="17"/>
        <v>0</v>
      </c>
      <c r="F37" s="107">
        <f t="shared" ref="F37" si="18">SUM(F35:F36)</f>
        <v>0</v>
      </c>
      <c r="G37" s="107">
        <f t="shared" si="17"/>
        <v>0</v>
      </c>
      <c r="H37" s="107">
        <f t="shared" si="17"/>
        <v>0</v>
      </c>
      <c r="I37" s="107">
        <f t="shared" si="17"/>
        <v>0</v>
      </c>
      <c r="J37" s="107">
        <f>SUM(J35:J36)</f>
        <v>0</v>
      </c>
      <c r="K37" s="109">
        <f t="shared" si="14"/>
        <v>0</v>
      </c>
    </row>
    <row r="38" spans="1:11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2"/>
    </row>
    <row r="39" spans="1:11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2"/>
    </row>
    <row r="40" spans="1:11" x14ac:dyDescent="0.2">
      <c r="A40" s="43" t="s">
        <v>45</v>
      </c>
      <c r="B40" s="89">
        <f t="shared" ref="B40:H42" si="19">SUM(B35,B30,B25)</f>
        <v>0</v>
      </c>
      <c r="C40" s="89">
        <f>SUM(C35,C30,C25)</f>
        <v>0</v>
      </c>
      <c r="D40" s="89">
        <f t="shared" si="19"/>
        <v>0</v>
      </c>
      <c r="E40" s="89">
        <f t="shared" ref="E40:E42" si="20">SUM(E35,E30,E25)</f>
        <v>0</v>
      </c>
      <c r="F40" s="89">
        <f t="shared" ref="F40" si="21">SUM(F35,F30,F25)</f>
        <v>0</v>
      </c>
      <c r="G40" s="89">
        <f t="shared" si="19"/>
        <v>578</v>
      </c>
      <c r="H40" s="89">
        <f t="shared" si="19"/>
        <v>0</v>
      </c>
      <c r="I40" s="89">
        <f>SUM(I35,I30,I25)</f>
        <v>1186</v>
      </c>
      <c r="J40" s="89">
        <f>J35+J30+J25</f>
        <v>20404.300000000003</v>
      </c>
      <c r="K40" s="82">
        <f>SUM(B40:J40)</f>
        <v>22168.300000000003</v>
      </c>
    </row>
    <row r="41" spans="1:11" x14ac:dyDescent="0.2">
      <c r="A41" s="43" t="s">
        <v>38</v>
      </c>
      <c r="B41" s="89">
        <f t="shared" si="19"/>
        <v>0</v>
      </c>
      <c r="C41" s="89">
        <f>SUM(C36,C31,C26)</f>
        <v>0</v>
      </c>
      <c r="D41" s="89">
        <f t="shared" si="19"/>
        <v>0</v>
      </c>
      <c r="E41" s="89">
        <f t="shared" si="20"/>
        <v>0</v>
      </c>
      <c r="F41" s="89">
        <f t="shared" ref="F41" si="22">SUM(F36,F31,F26)</f>
        <v>0</v>
      </c>
      <c r="G41" s="89">
        <f t="shared" si="19"/>
        <v>0</v>
      </c>
      <c r="H41" s="89">
        <f t="shared" si="19"/>
        <v>0</v>
      </c>
      <c r="I41" s="89">
        <f>SUM(I36,I31,I26)</f>
        <v>0</v>
      </c>
      <c r="J41" s="89">
        <f>J36+J31+J26</f>
        <v>0</v>
      </c>
      <c r="K41" s="82">
        <f>SUM(B41:J41)</f>
        <v>0</v>
      </c>
    </row>
    <row r="42" spans="1:11" ht="15" thickBot="1" x14ac:dyDescent="0.25">
      <c r="A42" s="53" t="s">
        <v>46</v>
      </c>
      <c r="B42" s="102">
        <f t="shared" si="19"/>
        <v>0</v>
      </c>
      <c r="C42" s="102">
        <f>SUM(C37,C32,C27)</f>
        <v>0</v>
      </c>
      <c r="D42" s="102">
        <f t="shared" si="19"/>
        <v>0</v>
      </c>
      <c r="E42" s="102">
        <f t="shared" si="20"/>
        <v>0</v>
      </c>
      <c r="F42" s="102">
        <f t="shared" ref="F42" si="23">SUM(F37,F32,F27)</f>
        <v>0</v>
      </c>
      <c r="G42" s="102">
        <f t="shared" si="19"/>
        <v>578</v>
      </c>
      <c r="H42" s="102">
        <f t="shared" si="19"/>
        <v>0</v>
      </c>
      <c r="I42" s="102">
        <f>SUM(I37,I32,I27)</f>
        <v>1186</v>
      </c>
      <c r="J42" s="102">
        <f>SUM(J37,J32,J27)</f>
        <v>20404.300000000003</v>
      </c>
      <c r="K42" s="103">
        <f>SUM(B42:J42)</f>
        <v>22168.300000000003</v>
      </c>
    </row>
    <row r="44" spans="1:11" x14ac:dyDescent="0.2">
      <c r="A44" s="266" t="s">
        <v>119</v>
      </c>
      <c r="B44" s="232">
        <f>[3]Pinnacle!$KA$70+[3]Pinnacle!$KA$73</f>
        <v>24549.459766399999</v>
      </c>
      <c r="D44" s="233">
        <f>'[3]Sky West'!$KA$70+'[3]Sky West'!$KA$73</f>
        <v>50952.318433</v>
      </c>
      <c r="E44" s="2"/>
      <c r="F44" s="2"/>
      <c r="J44" s="233">
        <f>+'Other Regional'!H46</f>
        <v>0</v>
      </c>
      <c r="K44" s="222">
        <f>SUM(B44:J44)</f>
        <v>75501.778199399996</v>
      </c>
    </row>
    <row r="45" spans="1:11" x14ac:dyDescent="0.2">
      <c r="A45" s="279" t="s">
        <v>120</v>
      </c>
      <c r="B45" s="232">
        <f>[3]Pinnacle!$KA$71+[3]Pinnacle!$KA$74</f>
        <v>42199.540234</v>
      </c>
      <c r="D45" s="233">
        <f>'[3]Sky West'!$KA$71+'[3]Sky West'!$KA$74</f>
        <v>109029.681537</v>
      </c>
      <c r="E45" s="2"/>
      <c r="F45" s="2"/>
      <c r="J45" s="233">
        <f>+'Other Regional'!H47</f>
        <v>0</v>
      </c>
      <c r="K45" s="222">
        <f>SUM(B45:J45)</f>
        <v>151229.22177100001</v>
      </c>
    </row>
    <row r="46" spans="1:11" x14ac:dyDescent="0.2">
      <c r="A46" s="223" t="s">
        <v>121</v>
      </c>
      <c r="B46" s="224">
        <f>SUM(B44:B45)</f>
        <v>66749.000000400003</v>
      </c>
      <c r="J46" s="2"/>
      <c r="K46" s="209"/>
    </row>
    <row r="47" spans="1:11" x14ac:dyDescent="0.2">
      <c r="A47" s="225"/>
      <c r="B47" s="226" t="b">
        <f>IF(B46=B6,TRUE,FALSE)</f>
        <v>0</v>
      </c>
    </row>
    <row r="50" spans="11:11" x14ac:dyDescent="0.2">
      <c r="K50" s="89"/>
    </row>
  </sheetData>
  <phoneticPr fontId="6" type="noConversion"/>
  <pageMargins left="0.75" right="0.75" top="1" bottom="1" header="0.5" footer="0.5"/>
  <pageSetup scale="84" orientation="landscape" r:id="rId1"/>
  <headerFooter alignWithMargins="0">
    <oddHeader>&amp;L
Schedule 4
&amp;CMinneapolis-St. Paul International Airport
&amp;"Arial,Bold"Regional Major
June 2026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7"/>
  <sheetViews>
    <sheetView zoomScaleNormal="100" zoomScaleSheetLayoutView="100" workbookViewId="0">
      <selection activeCell="F4" sqref="F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28515625" customWidth="1"/>
    <col min="5" max="5" width="10" customWidth="1"/>
    <col min="6" max="6" width="10.28515625" customWidth="1"/>
    <col min="7" max="7" width="9.28515625" bestFit="1" customWidth="1"/>
    <col min="8" max="8" width="12.28515625" customWidth="1"/>
  </cols>
  <sheetData>
    <row r="1" spans="1:8" ht="12.75" customHeight="1" x14ac:dyDescent="0.2">
      <c r="A1" s="275"/>
    </row>
    <row r="2" spans="1:8" ht="55.5" customHeight="1" thickBot="1" x14ac:dyDescent="0.25">
      <c r="A2" s="384">
        <v>46174</v>
      </c>
      <c r="B2" s="392" t="s">
        <v>162</v>
      </c>
      <c r="C2" s="392" t="s">
        <v>161</v>
      </c>
      <c r="D2" s="392" t="s">
        <v>202</v>
      </c>
      <c r="E2" s="392" t="s">
        <v>168</v>
      </c>
      <c r="F2" s="392" t="s">
        <v>165</v>
      </c>
      <c r="G2" s="392" t="s">
        <v>156</v>
      </c>
      <c r="H2" s="392" t="s">
        <v>21</v>
      </c>
    </row>
    <row r="3" spans="1:8" ht="15" x14ac:dyDescent="0.25">
      <c r="A3" s="195" t="s">
        <v>3</v>
      </c>
      <c r="B3" s="291"/>
      <c r="C3" s="291"/>
      <c r="D3" s="291"/>
      <c r="E3" s="291"/>
      <c r="F3" s="292"/>
      <c r="G3" s="292"/>
      <c r="H3" s="346"/>
    </row>
    <row r="4" spans="1:8" x14ac:dyDescent="0.2">
      <c r="A4" s="43" t="s">
        <v>29</v>
      </c>
      <c r="B4" s="97"/>
      <c r="C4" s="97"/>
      <c r="D4" s="98"/>
      <c r="E4" s="98"/>
      <c r="F4" s="81"/>
      <c r="G4" s="81"/>
      <c r="H4" s="82"/>
    </row>
    <row r="5" spans="1:8" x14ac:dyDescent="0.2">
      <c r="A5" s="43" t="s">
        <v>30</v>
      </c>
      <c r="B5" s="81">
        <f>'[3]Shuttle America'!$KA$22</f>
        <v>0</v>
      </c>
      <c r="C5" s="81">
        <f>'[3]Shuttle America_Delta'!$KA$22</f>
        <v>0</v>
      </c>
      <c r="D5" s="323">
        <f>[3]Jazz_AC!$KA$22+[3]Jazz_AC!$KA$32</f>
        <v>3074</v>
      </c>
      <c r="E5" s="323">
        <f>[3]PSA!$KA$22</f>
        <v>7980</v>
      </c>
      <c r="F5" s="81">
        <f>'[3]Continental Express'!$KA$22</f>
        <v>0</v>
      </c>
      <c r="G5" s="11">
        <f>'[3]Go Jet'!$KA$22+'[3]Go Jet'!$KA$32</f>
        <v>0</v>
      </c>
      <c r="H5" s="82">
        <f>SUM(B5:G5)</f>
        <v>11054</v>
      </c>
    </row>
    <row r="6" spans="1:8" s="6" customFormat="1" x14ac:dyDescent="0.2">
      <c r="A6" s="43" t="s">
        <v>31</v>
      </c>
      <c r="B6" s="81">
        <f>'[3]Shuttle America'!$KA$23</f>
        <v>0</v>
      </c>
      <c r="C6" s="81">
        <f>'[3]Shuttle America_Delta'!$KA$23</f>
        <v>0</v>
      </c>
      <c r="D6" s="323">
        <f>[3]Jazz_AC!$KA$23+[3]Jazz_AC!$KA$33</f>
        <v>3302</v>
      </c>
      <c r="E6" s="323">
        <f>[3]PSA!$KA$23</f>
        <v>7353</v>
      </c>
      <c r="F6" s="81">
        <f>'[3]Continental Express'!$KA$23</f>
        <v>0</v>
      </c>
      <c r="G6" s="7">
        <f>'[3]Go Jet'!$KA$23+'[3]Go Jet'!$KA$33</f>
        <v>0</v>
      </c>
      <c r="H6" s="86">
        <f>SUM(B6:G6)</f>
        <v>10655</v>
      </c>
    </row>
    <row r="7" spans="1:8" ht="15" thickBot="1" x14ac:dyDescent="0.25">
      <c r="A7" s="52" t="s">
        <v>7</v>
      </c>
      <c r="B7" s="99">
        <f t="shared" ref="B7:F7" si="0">SUM(B5:B6)</f>
        <v>0</v>
      </c>
      <c r="C7" s="99">
        <f t="shared" si="0"/>
        <v>0</v>
      </c>
      <c r="D7" s="99">
        <f t="shared" ref="D7" si="1">SUM(D5:D6)</f>
        <v>6376</v>
      </c>
      <c r="E7" s="99">
        <f t="shared" si="0"/>
        <v>15333</v>
      </c>
      <c r="F7" s="99">
        <f t="shared" si="0"/>
        <v>0</v>
      </c>
      <c r="G7" s="99">
        <f>SUM(G5:G6)</f>
        <v>0</v>
      </c>
      <c r="H7" s="100">
        <f>SUM(B7:G7)</f>
        <v>21709</v>
      </c>
    </row>
    <row r="8" spans="1:8" ht="13.5" thickTop="1" x14ac:dyDescent="0.2">
      <c r="A8" s="43"/>
      <c r="B8" s="81"/>
      <c r="C8" s="81"/>
      <c r="D8" s="323"/>
      <c r="E8" s="323"/>
      <c r="F8" s="81"/>
      <c r="G8" s="240"/>
      <c r="H8" s="101"/>
    </row>
    <row r="9" spans="1:8" s="6" customFormat="1" x14ac:dyDescent="0.2">
      <c r="A9" s="43" t="s">
        <v>32</v>
      </c>
      <c r="B9" s="81"/>
      <c r="C9" s="81"/>
      <c r="D9" s="323"/>
      <c r="E9" s="323"/>
      <c r="F9" s="81"/>
      <c r="G9" s="11"/>
      <c r="H9" s="82"/>
    </row>
    <row r="10" spans="1:8" x14ac:dyDescent="0.2">
      <c r="A10" s="43" t="s">
        <v>30</v>
      </c>
      <c r="B10" s="81">
        <f>'[3]Shuttle America'!$KA$27</f>
        <v>0</v>
      </c>
      <c r="C10" s="81">
        <f>'[3]Shuttle America_Delta'!$KA$27</f>
        <v>0</v>
      </c>
      <c r="D10" s="323">
        <f>[3]Jazz_AC!$KA$27+[3]Jazz_AC!$KA$37</f>
        <v>64</v>
      </c>
      <c r="E10" s="323">
        <f>[3]PSA!$KA$27</f>
        <v>198</v>
      </c>
      <c r="F10" s="81">
        <f>'[3]Continental Express'!$KA$27</f>
        <v>0</v>
      </c>
      <c r="G10" s="11">
        <f>'[3]Go Jet'!$KA$27+'[3]Go Jet'!$KA$37</f>
        <v>0</v>
      </c>
      <c r="H10" s="82">
        <f>SUM(B10:G10)</f>
        <v>262</v>
      </c>
    </row>
    <row r="11" spans="1:8" x14ac:dyDescent="0.2">
      <c r="A11" s="43" t="s">
        <v>33</v>
      </c>
      <c r="B11" s="81">
        <f>'[3]Shuttle America'!$KA$28</f>
        <v>0</v>
      </c>
      <c r="C11" s="81">
        <f>'[3]Shuttle America_Delta'!$KA$28</f>
        <v>0</v>
      </c>
      <c r="D11" s="323">
        <f>[3]Jazz_AC!$KA$28+[3]Jazz_AC!$KA$38</f>
        <v>46</v>
      </c>
      <c r="E11" s="323">
        <f>[3]PSA!$KA$28</f>
        <v>228</v>
      </c>
      <c r="F11" s="81">
        <f>'[3]Continental Express'!$KA$28</f>
        <v>0</v>
      </c>
      <c r="G11" s="7">
        <f>'[3]Go Jet'!$KA$28+'[3]Go Jet'!$KA$38</f>
        <v>0</v>
      </c>
      <c r="H11" s="86">
        <f>SUM(B11:G11)</f>
        <v>274</v>
      </c>
    </row>
    <row r="12" spans="1:8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" si="2">SUM(D10:D11)</f>
        <v>110</v>
      </c>
      <c r="E12" s="102">
        <f t="shared" ref="E12" si="3">SUM(E10:E11)</f>
        <v>426</v>
      </c>
      <c r="F12" s="102">
        <f t="shared" ref="F12" si="4">SUM(F10:F11)</f>
        <v>0</v>
      </c>
      <c r="G12" s="102">
        <f t="shared" ref="G12" si="5">SUM(G10:G11)</f>
        <v>0</v>
      </c>
      <c r="H12" s="103">
        <f>SUM(B12:G12)</f>
        <v>536</v>
      </c>
    </row>
    <row r="13" spans="1:8" ht="13.5" thickBot="1" x14ac:dyDescent="0.25">
      <c r="D13" s="89"/>
      <c r="E13" s="89"/>
    </row>
    <row r="14" spans="1:8" ht="15.75" thickTop="1" x14ac:dyDescent="0.25">
      <c r="A14" s="42" t="s">
        <v>9</v>
      </c>
      <c r="B14" s="76"/>
      <c r="C14" s="76"/>
      <c r="D14" s="76"/>
      <c r="E14" s="76"/>
      <c r="F14" s="77"/>
      <c r="G14" s="76"/>
      <c r="H14" s="78"/>
    </row>
    <row r="15" spans="1:8" x14ac:dyDescent="0.2">
      <c r="A15" s="43" t="s">
        <v>52</v>
      </c>
      <c r="B15" s="79">
        <f>'[3]Shuttle America'!$KA$4</f>
        <v>0</v>
      </c>
      <c r="C15" s="79">
        <f>'[3]Shuttle America_Delta'!$KA$4</f>
        <v>0</v>
      </c>
      <c r="D15" s="324">
        <f>[3]Jazz_AC!$KA$4+[3]Jazz_AC!$KA$15</f>
        <v>51</v>
      </c>
      <c r="E15" s="324">
        <f>[3]PSA!$KA$4</f>
        <v>131</v>
      </c>
      <c r="F15" s="80">
        <f>'[3]Continental Express'!$KA$4</f>
        <v>0</v>
      </c>
      <c r="G15" s="11">
        <f>'[3]Go Jet'!$KA$4+'[3]Go Jet'!$KA$15</f>
        <v>0</v>
      </c>
      <c r="H15" s="82">
        <f>SUM(B15:G15)</f>
        <v>182</v>
      </c>
    </row>
    <row r="16" spans="1:8" x14ac:dyDescent="0.2">
      <c r="A16" s="43" t="s">
        <v>53</v>
      </c>
      <c r="B16" s="83">
        <f>'[3]Shuttle America'!$KA$5</f>
        <v>0</v>
      </c>
      <c r="C16" s="83">
        <f>'[3]Shuttle America_Delta'!$KA$5</f>
        <v>0</v>
      </c>
      <c r="D16" s="325">
        <f>[3]Jazz_AC!$KA$5+[3]Jazz_AC!$KA$16</f>
        <v>51</v>
      </c>
      <c r="E16" s="325">
        <f>[3]PSA!$KA$5</f>
        <v>131</v>
      </c>
      <c r="F16" s="84">
        <f>'[3]Continental Express'!$KA$5</f>
        <v>0</v>
      </c>
      <c r="G16" s="7">
        <f>'[3]Go Jet'!$KA$5+'[3]Go Jet'!$KA$16</f>
        <v>0</v>
      </c>
      <c r="H16" s="86">
        <f>SUM(B16:G16)</f>
        <v>182</v>
      </c>
    </row>
    <row r="17" spans="1:11" x14ac:dyDescent="0.2">
      <c r="A17" s="47" t="s">
        <v>54</v>
      </c>
      <c r="B17" s="87">
        <f>SUM(B15:B16)</f>
        <v>0</v>
      </c>
      <c r="C17" s="87">
        <f>SUM(C15:C16)</f>
        <v>0</v>
      </c>
      <c r="D17" s="87">
        <f t="shared" ref="D17" si="6">SUM(D15:D16)</f>
        <v>102</v>
      </c>
      <c r="E17" s="87">
        <f t="shared" ref="E17" si="7">SUM(E15:E16)</f>
        <v>262</v>
      </c>
      <c r="F17" s="87">
        <f t="shared" ref="F17" si="8">SUM(F15:F16)</f>
        <v>0</v>
      </c>
      <c r="G17" s="202">
        <f>SUM(G15:G16)</f>
        <v>0</v>
      </c>
      <c r="H17" s="88">
        <f>SUM(B17:G17)</f>
        <v>364</v>
      </c>
    </row>
    <row r="18" spans="1:11" x14ac:dyDescent="0.2">
      <c r="A18" s="43" t="s">
        <v>55</v>
      </c>
      <c r="B18" s="89">
        <f>'[3]Shuttle America'!$KA$8</f>
        <v>0</v>
      </c>
      <c r="C18" s="89">
        <f>'[3]Shuttle America_Delta'!$KA$8</f>
        <v>0</v>
      </c>
      <c r="D18" s="89">
        <f>[3]Jazz_AC!$KA$8</f>
        <v>0</v>
      </c>
      <c r="E18" s="89">
        <f>[3]PSA!$KA$8</f>
        <v>0</v>
      </c>
      <c r="F18" s="81">
        <f>'[3]Continental Express'!$KA$8</f>
        <v>0</v>
      </c>
      <c r="G18" s="11">
        <f>'[3]Go Jet'!$KA$8</f>
        <v>0</v>
      </c>
      <c r="H18" s="82">
        <f t="shared" ref="H18:H21" si="9">SUM(B18:G18)</f>
        <v>0</v>
      </c>
      <c r="K18" s="269"/>
    </row>
    <row r="19" spans="1:11" x14ac:dyDescent="0.2">
      <c r="A19" s="43" t="s">
        <v>56</v>
      </c>
      <c r="B19" s="90">
        <f>'[3]Shuttle America'!$KA$9</f>
        <v>0</v>
      </c>
      <c r="C19" s="90">
        <f>'[3]Shuttle America_Delta'!$KA$9</f>
        <v>0</v>
      </c>
      <c r="D19" s="90">
        <f>[3]Jazz_AC!$KA$9</f>
        <v>0</v>
      </c>
      <c r="E19" s="90">
        <f>[3]PSA!$KA$9</f>
        <v>0</v>
      </c>
      <c r="F19" s="85">
        <f>'[3]Continental Express'!$KA$9</f>
        <v>0</v>
      </c>
      <c r="G19" s="7">
        <f>'[3]Go Jet'!$KA$9</f>
        <v>0</v>
      </c>
      <c r="H19" s="86">
        <f t="shared" si="9"/>
        <v>0</v>
      </c>
    </row>
    <row r="20" spans="1:11" x14ac:dyDescent="0.2">
      <c r="A20" s="47" t="s">
        <v>57</v>
      </c>
      <c r="B20" s="87">
        <f>SUM(B18:B19)</f>
        <v>0</v>
      </c>
      <c r="C20" s="87">
        <f>SUM(C18:C19)</f>
        <v>0</v>
      </c>
      <c r="D20" s="87">
        <f t="shared" ref="D20" si="10">SUM(D18:D19)</f>
        <v>0</v>
      </c>
      <c r="E20" s="87">
        <f t="shared" ref="E20" si="11">SUM(E18:E19)</f>
        <v>0</v>
      </c>
      <c r="F20" s="87">
        <f t="shared" ref="F20" si="12">SUM(F18:F19)</f>
        <v>0</v>
      </c>
      <c r="G20" s="202">
        <f>SUM(G18:G19)</f>
        <v>0</v>
      </c>
      <c r="H20" s="88">
        <f t="shared" si="9"/>
        <v>0</v>
      </c>
    </row>
    <row r="21" spans="1:11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" si="13">SUM(D20,D17)</f>
        <v>102</v>
      </c>
      <c r="E21" s="91">
        <f t="shared" ref="E21" si="14">SUM(E20,E17)</f>
        <v>262</v>
      </c>
      <c r="F21" s="91">
        <f t="shared" ref="F21" si="15">SUM(F20,F17)</f>
        <v>0</v>
      </c>
      <c r="G21" s="91">
        <f t="shared" ref="G21" si="16">SUM(G20,G17)</f>
        <v>0</v>
      </c>
      <c r="H21" s="92">
        <f t="shared" si="9"/>
        <v>364</v>
      </c>
    </row>
    <row r="22" spans="1:11" ht="3.75" customHeight="1" thickBot="1" x14ac:dyDescent="0.25"/>
    <row r="23" spans="1:11" ht="15.75" thickTop="1" x14ac:dyDescent="0.25">
      <c r="A23" s="46" t="s">
        <v>113</v>
      </c>
      <c r="B23" s="104"/>
      <c r="C23" s="104"/>
      <c r="D23" s="104"/>
      <c r="E23" s="104"/>
      <c r="F23" s="105"/>
      <c r="G23" s="104"/>
      <c r="H23" s="106"/>
    </row>
    <row r="24" spans="1:11" x14ac:dyDescent="0.2">
      <c r="A24" s="43" t="s">
        <v>36</v>
      </c>
      <c r="B24" s="89"/>
      <c r="C24" s="89"/>
      <c r="D24" s="89"/>
      <c r="E24" s="89"/>
      <c r="F24" s="81"/>
      <c r="H24" s="82"/>
    </row>
    <row r="25" spans="1:11" x14ac:dyDescent="0.2">
      <c r="A25" s="43" t="s">
        <v>37</v>
      </c>
      <c r="B25" s="89">
        <f>'[3]Shuttle America'!$KA$47</f>
        <v>0</v>
      </c>
      <c r="C25" s="89">
        <f>'[3]Shuttle America_Delta'!$KA$47</f>
        <v>0</v>
      </c>
      <c r="D25" s="89">
        <f>[3]Jazz_AC!$KA$47</f>
        <v>11163.2</v>
      </c>
      <c r="E25" s="89">
        <f>[3]PSA!$KA$47</f>
        <v>0</v>
      </c>
      <c r="F25" s="81">
        <f>'[3]Continental Express'!$KA$47</f>
        <v>0</v>
      </c>
      <c r="G25" s="89">
        <f>'[3]Go Jet'!$KA$47</f>
        <v>0</v>
      </c>
      <c r="H25" s="82">
        <f>SUM(B25:G25)</f>
        <v>11163.2</v>
      </c>
    </row>
    <row r="26" spans="1:11" x14ac:dyDescent="0.2">
      <c r="A26" s="43" t="s">
        <v>38</v>
      </c>
      <c r="B26" s="89">
        <f>'[3]Shuttle America'!$KA$48</f>
        <v>0</v>
      </c>
      <c r="C26" s="89">
        <f>'[3]Shuttle America_Delta'!$KA$48</f>
        <v>0</v>
      </c>
      <c r="D26" s="89">
        <f>[3]Jazz_AC!$KA$48</f>
        <v>0</v>
      </c>
      <c r="E26" s="89">
        <f>[3]PSA!$KA$48</f>
        <v>0</v>
      </c>
      <c r="F26" s="81">
        <f>'[3]Continental Express'!$KA$48</f>
        <v>0</v>
      </c>
      <c r="G26" s="89">
        <f>'[3]Go Jet'!$KA$48</f>
        <v>0</v>
      </c>
      <c r="H26" s="82">
        <f>SUM(B26:G26)</f>
        <v>0</v>
      </c>
    </row>
    <row r="27" spans="1:11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" si="17">SUM(D25:D26)</f>
        <v>11163.2</v>
      </c>
      <c r="E27" s="99">
        <f t="shared" ref="E27" si="18">SUM(E25:E26)</f>
        <v>0</v>
      </c>
      <c r="F27" s="99">
        <f t="shared" ref="F27" si="19">SUM(F25:F26)</f>
        <v>0</v>
      </c>
      <c r="G27" s="99">
        <f>SUM(G25:G26)</f>
        <v>0</v>
      </c>
      <c r="H27" s="100">
        <f>SUM(B27:G27)</f>
        <v>11163.2</v>
      </c>
    </row>
    <row r="28" spans="1:11" ht="7.5" customHeight="1" thickTop="1" x14ac:dyDescent="0.2">
      <c r="A28" s="43"/>
      <c r="B28" s="89"/>
      <c r="C28" s="89"/>
      <c r="D28" s="89"/>
      <c r="E28" s="89"/>
      <c r="F28" s="81"/>
      <c r="G28" s="89"/>
      <c r="H28" s="82"/>
    </row>
    <row r="29" spans="1:11" x14ac:dyDescent="0.2">
      <c r="A29" s="43" t="s">
        <v>40</v>
      </c>
      <c r="B29" s="89"/>
      <c r="C29" s="89"/>
      <c r="D29" s="89"/>
      <c r="E29" s="89"/>
      <c r="F29" s="81"/>
      <c r="G29" s="89"/>
      <c r="H29" s="82"/>
    </row>
    <row r="30" spans="1:11" x14ac:dyDescent="0.2">
      <c r="A30" s="43" t="s">
        <v>58</v>
      </c>
      <c r="B30" s="89">
        <f>'[3]Shuttle America'!$KA$52</f>
        <v>0</v>
      </c>
      <c r="C30" s="89">
        <f>'[3]Shuttle America_Delta'!$KA$52</f>
        <v>0</v>
      </c>
      <c r="D30" s="89">
        <f>[3]Jazz_AC!$KA$52</f>
        <v>9241.1</v>
      </c>
      <c r="E30" s="89">
        <f>[3]PSA!$KA$52</f>
        <v>0</v>
      </c>
      <c r="F30" s="81">
        <f>'[3]Continental Express'!$KA$52</f>
        <v>0</v>
      </c>
      <c r="G30" s="89">
        <f>'[3]Go Jet'!$KA$52</f>
        <v>0</v>
      </c>
      <c r="H30" s="82">
        <f>SUM(B30:G30)</f>
        <v>9241.1</v>
      </c>
    </row>
    <row r="31" spans="1:11" x14ac:dyDescent="0.2">
      <c r="A31" s="43" t="s">
        <v>59</v>
      </c>
      <c r="B31" s="89">
        <f>'[3]Shuttle America'!$KA$53</f>
        <v>0</v>
      </c>
      <c r="C31" s="89">
        <f>'[3]Shuttle America_Delta'!$KA$53</f>
        <v>0</v>
      </c>
      <c r="D31" s="89">
        <f>[3]Jazz_AC!$KA$53</f>
        <v>0</v>
      </c>
      <c r="E31" s="89">
        <f>[3]PSA!$KA$53</f>
        <v>0</v>
      </c>
      <c r="F31" s="81">
        <f>'[3]Continental Express'!$KA$53</f>
        <v>0</v>
      </c>
      <c r="G31" s="89">
        <f>'[3]Go Jet'!$KA$53</f>
        <v>0</v>
      </c>
      <c r="H31" s="82">
        <f>SUM(B31:G31)</f>
        <v>0</v>
      </c>
    </row>
    <row r="32" spans="1:11" ht="15" thickBot="1" x14ac:dyDescent="0.25">
      <c r="A32" s="52" t="s">
        <v>41</v>
      </c>
      <c r="B32" s="99">
        <f t="shared" ref="B32:F32" si="20">SUM(B30:B31)</f>
        <v>0</v>
      </c>
      <c r="C32" s="99">
        <f t="shared" si="20"/>
        <v>0</v>
      </c>
      <c r="D32" s="99">
        <f t="shared" ref="D32" si="21">SUM(D30:D31)</f>
        <v>9241.1</v>
      </c>
      <c r="E32" s="99">
        <f t="shared" si="20"/>
        <v>0</v>
      </c>
      <c r="F32" s="99">
        <f t="shared" si="20"/>
        <v>0</v>
      </c>
      <c r="G32" s="99">
        <f t="shared" ref="G32" si="22">SUM(G30:G31)</f>
        <v>0</v>
      </c>
      <c r="H32" s="100">
        <f>SUM(B32:G32)</f>
        <v>9241.1</v>
      </c>
    </row>
    <row r="33" spans="1:8" ht="13.5" hidden="1" thickTop="1" x14ac:dyDescent="0.2">
      <c r="A33" s="43"/>
      <c r="B33" s="89"/>
      <c r="C33" s="89"/>
      <c r="D33" s="89"/>
      <c r="E33" s="89"/>
      <c r="F33" s="81"/>
      <c r="G33" s="89"/>
      <c r="H33" s="82"/>
    </row>
    <row r="34" spans="1:8" ht="13.5" hidden="1" thickTop="1" x14ac:dyDescent="0.2">
      <c r="A34" s="43" t="s">
        <v>42</v>
      </c>
      <c r="B34" s="89"/>
      <c r="C34" s="89"/>
      <c r="D34" s="89"/>
      <c r="E34" s="89"/>
      <c r="F34" s="81"/>
      <c r="G34" s="89"/>
      <c r="H34" s="82"/>
    </row>
    <row r="35" spans="1:8" ht="13.5" hidden="1" thickTop="1" x14ac:dyDescent="0.2">
      <c r="A35" s="43" t="s">
        <v>37</v>
      </c>
      <c r="B35" s="89">
        <f>'[3]Shuttle America'!$KA$57</f>
        <v>0</v>
      </c>
      <c r="C35" s="89">
        <f>'[3]Shuttle America_Delta'!$KA$57</f>
        <v>0</v>
      </c>
      <c r="D35" s="89">
        <f>[3]Jazz_AC!$KA$57</f>
        <v>0</v>
      </c>
      <c r="E35" s="89">
        <f>[3]PSA!$KA$57</f>
        <v>0</v>
      </c>
      <c r="F35" s="81">
        <f>'[3]Continental Express'!$KA$57</f>
        <v>0</v>
      </c>
      <c r="G35" s="89">
        <f>'[3]Go Jet'!$KA$57</f>
        <v>0</v>
      </c>
      <c r="H35" s="82">
        <f>SUM(B35:G35)</f>
        <v>0</v>
      </c>
    </row>
    <row r="36" spans="1:8" ht="13.5" hidden="1" thickTop="1" x14ac:dyDescent="0.2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[3]Jazz_AC!BF$58</f>
        <v>0</v>
      </c>
      <c r="E36" s="89">
        <f>[3]PSA!BG$58</f>
        <v>0</v>
      </c>
      <c r="F36" s="81">
        <f>'[3]Continental Express'!BG$58</f>
        <v>0</v>
      </c>
      <c r="G36" s="89">
        <f>'[3]Go Jet'!BK$58</f>
        <v>0</v>
      </c>
      <c r="H36" s="82">
        <f>SUM(B36:G36)</f>
        <v>0</v>
      </c>
    </row>
    <row r="37" spans="1:8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" si="23">SUM(D35:D36)</f>
        <v>0</v>
      </c>
      <c r="E37" s="107">
        <f t="shared" ref="E37" si="24">SUM(E35:E36)</f>
        <v>0</v>
      </c>
      <c r="F37" s="108">
        <f t="shared" ref="F37" si="25">SUM(F35:F36)</f>
        <v>0</v>
      </c>
      <c r="G37" s="107">
        <f>SUM(G35:G36)</f>
        <v>0</v>
      </c>
      <c r="H37" s="109">
        <f>SUM(B37:G37)</f>
        <v>0</v>
      </c>
    </row>
    <row r="38" spans="1:8" ht="6.75" customHeight="1" thickTop="1" x14ac:dyDescent="0.2">
      <c r="A38" s="43"/>
      <c r="B38" s="89"/>
      <c r="C38" s="89"/>
      <c r="D38" s="89"/>
      <c r="E38" s="89"/>
      <c r="F38" s="81"/>
      <c r="G38" s="89"/>
      <c r="H38" s="82"/>
    </row>
    <row r="39" spans="1:8" x14ac:dyDescent="0.2">
      <c r="A39" s="43" t="s">
        <v>44</v>
      </c>
      <c r="B39" s="89"/>
      <c r="C39" s="89"/>
      <c r="D39" s="89"/>
      <c r="E39" s="89"/>
      <c r="F39" s="81"/>
      <c r="G39" s="89"/>
      <c r="H39" s="82"/>
    </row>
    <row r="40" spans="1:8" x14ac:dyDescent="0.2">
      <c r="A40" s="43" t="s">
        <v>45</v>
      </c>
      <c r="B40" s="89">
        <f t="shared" ref="B40:F40" si="26">SUM(B35,B30,B25)</f>
        <v>0</v>
      </c>
      <c r="C40" s="89">
        <f>SUM(C35,C30,C25)</f>
        <v>0</v>
      </c>
      <c r="D40" s="89">
        <f t="shared" ref="D40" si="27">SUM(D35,D30,D25)</f>
        <v>20404.300000000003</v>
      </c>
      <c r="E40" s="89">
        <f t="shared" ref="E40:E41" si="28">SUM(E35,E30,E25)</f>
        <v>0</v>
      </c>
      <c r="F40" s="89">
        <f t="shared" si="26"/>
        <v>0</v>
      </c>
      <c r="G40" s="89">
        <f t="shared" ref="G40" si="29">SUM(G35,G30,G25)</f>
        <v>0</v>
      </c>
      <c r="H40" s="82">
        <f>SUM(B40:G40)</f>
        <v>20404.300000000003</v>
      </c>
    </row>
    <row r="41" spans="1:8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ref="D41" si="30">SUM(D36,D31,D26)</f>
        <v>0</v>
      </c>
      <c r="E41" s="89">
        <f t="shared" si="28"/>
        <v>0</v>
      </c>
      <c r="F41" s="89">
        <f t="shared" ref="F41" si="31">SUM(F36,F31,F26)</f>
        <v>0</v>
      </c>
      <c r="G41" s="89">
        <f t="shared" ref="G41" si="32">SUM(G36,G31,G26)</f>
        <v>0</v>
      </c>
      <c r="H41" s="82">
        <f>SUM(B41:G41)</f>
        <v>0</v>
      </c>
    </row>
    <row r="42" spans="1:8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" si="33">SUM(D40:D41)</f>
        <v>20404.300000000003</v>
      </c>
      <c r="E42" s="102">
        <f t="shared" ref="E42" si="34">SUM(E40:E41)</f>
        <v>0</v>
      </c>
      <c r="F42" s="102">
        <f t="shared" ref="F42" si="35">SUM(F40:F41)</f>
        <v>0</v>
      </c>
      <c r="G42" s="102">
        <f t="shared" ref="G42" si="36">SUM(G40:G41)</f>
        <v>0</v>
      </c>
      <c r="H42" s="103">
        <f>SUM(B42:G42)</f>
        <v>20404.300000000003</v>
      </c>
    </row>
    <row r="43" spans="1:8" ht="4.5" customHeight="1" x14ac:dyDescent="0.2"/>
    <row r="44" spans="1:8" hidden="1" x14ac:dyDescent="0.2">
      <c r="A44" s="234" t="s">
        <v>122</v>
      </c>
      <c r="G44" s="233">
        <f>'[3]Go Jet'!BK$70+'[3]Go Jet'!BK$73</f>
        <v>0</v>
      </c>
      <c r="H44" s="222" t="e">
        <f>SUM(#REF!)</f>
        <v>#REF!</v>
      </c>
    </row>
    <row r="45" spans="1:8" hidden="1" x14ac:dyDescent="0.2">
      <c r="A45" s="234" t="s">
        <v>123</v>
      </c>
      <c r="G45" s="233">
        <f>'[3]Go Jet'!BK$71+'[3]Go Jet'!BK$74</f>
        <v>0</v>
      </c>
      <c r="H45" s="222" t="e">
        <f>SUM(#REF!)</f>
        <v>#REF!</v>
      </c>
    </row>
    <row r="46" spans="1:8" x14ac:dyDescent="0.2">
      <c r="A46" s="266" t="s">
        <v>119</v>
      </c>
      <c r="C46" s="233">
        <f>'[3]Shuttle America_Delta'!$KA$70+'[3]Shuttle America_Delta'!$KA$73</f>
        <v>0</v>
      </c>
      <c r="G46" s="233">
        <f>'[3]Go Jet'!$KA$70+'[3]Go Jet'!$KA$73</f>
        <v>0</v>
      </c>
      <c r="H46" s="278">
        <f>SUM(B46:G46)</f>
        <v>0</v>
      </c>
    </row>
    <row r="47" spans="1:8" x14ac:dyDescent="0.2">
      <c r="A47" s="279" t="s">
        <v>120</v>
      </c>
      <c r="C47" s="233">
        <f>'[3]Shuttle America_Delta'!$KA$71+'[3]Shuttle America_Delta'!$KA$74</f>
        <v>0</v>
      </c>
      <c r="G47" s="233">
        <f>'[3]Go Jet'!$KA$71+'[3]Go Jet'!$KA$74</f>
        <v>0</v>
      </c>
      <c r="H47" s="278">
        <f>SUM(B47:G47)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June 2026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I8" sqref="I8"/>
    </sheetView>
  </sheetViews>
  <sheetFormatPr defaultColWidth="9.7109375" defaultRowHeight="12.75" x14ac:dyDescent="0.2"/>
  <cols>
    <col min="1" max="1" width="21.42578125" bestFit="1" customWidth="1"/>
    <col min="2" max="2" width="10.7109375" bestFit="1" customWidth="1"/>
    <col min="3" max="4" width="10.42578125" bestFit="1" customWidth="1"/>
    <col min="5" max="5" width="11.5703125" customWidth="1"/>
    <col min="6" max="6" width="11.28515625" customWidth="1"/>
    <col min="7" max="8" width="11.42578125" bestFit="1" customWidth="1"/>
    <col min="9" max="9" width="12" customWidth="1"/>
    <col min="10" max="10" width="11.42578125" bestFit="1" customWidth="1"/>
    <col min="11" max="11" width="9.7109375" customWidth="1"/>
    <col min="12" max="13" width="11.42578125" bestFit="1" customWidth="1"/>
    <col min="14" max="14" width="11.5703125" bestFit="1" customWidth="1"/>
    <col min="15" max="15" width="12.425781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46174</v>
      </c>
      <c r="B2" s="141" t="s">
        <v>115</v>
      </c>
      <c r="C2" s="141" t="s">
        <v>149</v>
      </c>
      <c r="D2" s="75" t="s">
        <v>76</v>
      </c>
      <c r="E2" s="75" t="s">
        <v>150</v>
      </c>
      <c r="F2" s="75" t="s">
        <v>209</v>
      </c>
      <c r="G2" s="141" t="s">
        <v>128</v>
      </c>
      <c r="H2" s="138" t="s">
        <v>77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3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3">
        <f>'[3]Charter Misc'!$KA$22</f>
        <v>176</v>
      </c>
      <c r="C5" s="145">
        <f>[3]Ryan!$KA$22</f>
        <v>0</v>
      </c>
      <c r="D5" s="145">
        <f>'[3]Charter Misc'!$KA$32</f>
        <v>0</v>
      </c>
      <c r="E5" s="145">
        <f>[3]Omni!$KA$32+[3]Omni!$KA$22</f>
        <v>0</v>
      </c>
      <c r="F5" s="145">
        <f>'[3]Red Way'!$KA$32+'[3]Red Way'!$KA$22</f>
        <v>0</v>
      </c>
      <c r="G5" s="145">
        <f>[3]Xtra!$KA$32+[3]Xtra!$KA$22</f>
        <v>0</v>
      </c>
      <c r="H5" s="239">
        <f>SUM(B5:G5)</f>
        <v>176</v>
      </c>
    </row>
    <row r="6" spans="1:18" x14ac:dyDescent="0.2">
      <c r="A6" s="43" t="s">
        <v>31</v>
      </c>
      <c r="B6" s="304">
        <f>'[3]Charter Misc'!$KA$23+'[3]Charter Misc'!$KA$28+'[3]Charter Misc'!$KA$38</f>
        <v>176</v>
      </c>
      <c r="C6" s="148">
        <f>[3]Ryan!$KA$23</f>
        <v>0</v>
      </c>
      <c r="D6" s="148">
        <f>'[3]Charter Misc'!$KA$33</f>
        <v>0</v>
      </c>
      <c r="E6" s="148">
        <f>[3]Omni!$KA$23+[3]Omni!$KA$33+[3]Omni!$KA$28+[3]Omni!$KA$38</f>
        <v>0</v>
      </c>
      <c r="F6" s="148">
        <f>'[3]Red Way'!$KA$33+'[3]Red Way'!$KA$23</f>
        <v>0</v>
      </c>
      <c r="G6" s="148">
        <f>[3]Xtra!$KA$33+[3]Xtra!$KA$23</f>
        <v>0</v>
      </c>
      <c r="H6" s="239">
        <f>SUM(B6:G6)</f>
        <v>176</v>
      </c>
    </row>
    <row r="7" spans="1:18" ht="15.75" thickBot="1" x14ac:dyDescent="0.3">
      <c r="A7" s="144" t="s">
        <v>7</v>
      </c>
      <c r="B7" s="305">
        <f t="shared" ref="B7:G7" si="0">SUM(B5:B6)</f>
        <v>352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352</v>
      </c>
    </row>
    <row r="8" spans="1:18" ht="13.5" thickBot="1" x14ac:dyDescent="0.25"/>
    <row r="9" spans="1:18" x14ac:dyDescent="0.2">
      <c r="A9" s="142" t="s">
        <v>9</v>
      </c>
      <c r="B9" s="306"/>
      <c r="C9" s="28"/>
      <c r="D9" s="28"/>
      <c r="E9" s="28"/>
      <c r="F9" s="28"/>
      <c r="G9" s="28"/>
      <c r="H9" s="38"/>
    </row>
    <row r="10" spans="1:18" x14ac:dyDescent="0.2">
      <c r="A10" s="143" t="s">
        <v>78</v>
      </c>
      <c r="B10" s="303">
        <f>'[3]Charter Misc'!$KA$4+'[3]Charter Misc'!$KA$8</f>
        <v>1</v>
      </c>
      <c r="C10" s="145">
        <f>[3]Ryan!$KA$4</f>
        <v>0</v>
      </c>
      <c r="D10" s="145">
        <f>'[3]Charter Misc'!$KA$15</f>
        <v>0</v>
      </c>
      <c r="E10" s="145">
        <f>[3]Omni!$KA$15+[3]Omni!$KA$4</f>
        <v>0</v>
      </c>
      <c r="F10" s="145">
        <f>'[3]Red Way'!$KA$15+'[3]Red Way'!$KA$4</f>
        <v>0</v>
      </c>
      <c r="G10" s="145">
        <f>[3]Xtra!$KA$15+[3]Xtra!$KA$4</f>
        <v>0</v>
      </c>
      <c r="H10" s="238">
        <f>SUM(B10:G10)</f>
        <v>1</v>
      </c>
    </row>
    <row r="11" spans="1:18" x14ac:dyDescent="0.2">
      <c r="A11" s="143" t="s">
        <v>79</v>
      </c>
      <c r="B11" s="303">
        <f>'[3]Charter Misc'!$KA$5+'[3]Charter Misc'!$KA$9</f>
        <v>2</v>
      </c>
      <c r="C11" s="145">
        <f>[3]Ryan!$KA$5</f>
        <v>0</v>
      </c>
      <c r="D11" s="145">
        <f>'[3]Charter Misc'!$KA$16</f>
        <v>0</v>
      </c>
      <c r="E11" s="145">
        <f>[3]Omni!$KA$16+[3]Omni!$KA$5</f>
        <v>0</v>
      </c>
      <c r="F11" s="145">
        <f>'[3]Red Way'!$KA$16+'[3]Red Way'!$KA$5</f>
        <v>0</v>
      </c>
      <c r="G11" s="145">
        <f>[3]Xtra!$KA$16+[3]Xtra!$KA$5</f>
        <v>0</v>
      </c>
      <c r="H11" s="238">
        <f>SUM(B11:G11)</f>
        <v>2</v>
      </c>
    </row>
    <row r="12" spans="1:18" ht="15.75" thickBot="1" x14ac:dyDescent="0.3">
      <c r="A12" s="193" t="s">
        <v>28</v>
      </c>
      <c r="B12" s="307">
        <f t="shared" ref="B12:G12" si="1">SUM(B10:B11)</f>
        <v>3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3</v>
      </c>
      <c r="R12" s="89"/>
    </row>
    <row r="17" spans="1:19" x14ac:dyDescent="0.2">
      <c r="B17" s="457" t="s">
        <v>147</v>
      </c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9"/>
    </row>
    <row r="18" spans="1:19" ht="13.5" thickBot="1" x14ac:dyDescent="0.25">
      <c r="A18" s="228"/>
      <c r="E18" s="163"/>
      <c r="G18" s="163"/>
      <c r="H18" s="163"/>
      <c r="L18" s="167"/>
      <c r="N18" s="4"/>
    </row>
    <row r="19" spans="1:19" ht="13.5" customHeight="1" thickBot="1" x14ac:dyDescent="0.25">
      <c r="A19" s="293"/>
      <c r="B19" s="460" t="s">
        <v>116</v>
      </c>
      <c r="C19" s="461"/>
      <c r="D19" s="461"/>
      <c r="E19" s="462"/>
      <c r="G19" s="460" t="s">
        <v>117</v>
      </c>
      <c r="H19" s="463"/>
      <c r="I19" s="463"/>
      <c r="J19" s="464"/>
      <c r="L19" s="465" t="s">
        <v>118</v>
      </c>
      <c r="M19" s="466"/>
      <c r="N19" s="466"/>
      <c r="O19" s="467"/>
      <c r="S19" s="379"/>
    </row>
    <row r="20" spans="1:19" ht="13.5" thickBot="1" x14ac:dyDescent="0.25">
      <c r="A20" s="169" t="s">
        <v>98</v>
      </c>
      <c r="B20" s="420" t="s">
        <v>99</v>
      </c>
      <c r="C20" s="420" t="s">
        <v>100</v>
      </c>
      <c r="D20" s="420" t="s">
        <v>239</v>
      </c>
      <c r="E20" s="420" t="s">
        <v>218</v>
      </c>
      <c r="F20" s="420" t="s">
        <v>95</v>
      </c>
      <c r="G20" s="420" t="s">
        <v>99</v>
      </c>
      <c r="H20" s="420" t="s">
        <v>100</v>
      </c>
      <c r="I20" s="420" t="s">
        <v>239</v>
      </c>
      <c r="J20" s="420" t="s">
        <v>218</v>
      </c>
      <c r="K20" s="420" t="s">
        <v>95</v>
      </c>
      <c r="L20" s="420" t="s">
        <v>99</v>
      </c>
      <c r="M20" s="420" t="s">
        <v>100</v>
      </c>
      <c r="N20" s="420" t="s">
        <v>239</v>
      </c>
      <c r="O20" s="420" t="s">
        <v>218</v>
      </c>
      <c r="P20" s="420" t="s">
        <v>95</v>
      </c>
      <c r="S20" s="379"/>
    </row>
    <row r="21" spans="1:19" ht="14.1" customHeight="1" x14ac:dyDescent="0.2">
      <c r="A21" s="174" t="s">
        <v>101</v>
      </c>
      <c r="B21" s="410">
        <f>+[4]Charter!$B$21</f>
        <v>165270</v>
      </c>
      <c r="C21" s="410">
        <f>+[4]Charter!$C$21</f>
        <v>158940</v>
      </c>
      <c r="D21" s="410">
        <f t="shared" ref="D21" si="2">SUM(B21:C21)</f>
        <v>324210</v>
      </c>
      <c r="E21" s="419">
        <f>[5]Charter!$D$21</f>
        <v>311790</v>
      </c>
      <c r="F21" s="411">
        <f t="shared" ref="F21:F32" si="3">(D21-E21)/E21</f>
        <v>3.9834503993072264E-2</v>
      </c>
      <c r="G21" s="410">
        <f t="shared" ref="G21" si="4">L21-B21</f>
        <v>1051371</v>
      </c>
      <c r="H21" s="410">
        <f t="shared" ref="H21" si="5">M21-C21</f>
        <v>1087442</v>
      </c>
      <c r="I21" s="410">
        <f t="shared" ref="I21:I22" si="6">SUM(G21:H21)</f>
        <v>2138813</v>
      </c>
      <c r="J21" s="419">
        <f>[5]Charter!I21</f>
        <v>2244518</v>
      </c>
      <c r="K21" s="416">
        <f t="shared" ref="K21:K32" si="7">(I21-J21)/J21</f>
        <v>-4.7094743726715488E-2</v>
      </c>
      <c r="L21" s="410">
        <f>+[4]Charter!$L$21</f>
        <v>1216641</v>
      </c>
      <c r="M21" s="410">
        <f>+[4]Charter!$M$21</f>
        <v>1246382</v>
      </c>
      <c r="N21" s="419">
        <f t="shared" ref="N21" si="8">SUM(L21:M21)</f>
        <v>2463023</v>
      </c>
      <c r="O21" s="419">
        <f>[5]Charter!N21</f>
        <v>2556308</v>
      </c>
      <c r="P21" s="415">
        <f>(N21-O21)/O21</f>
        <v>-3.6492081548858746E-2</v>
      </c>
      <c r="S21" s="379"/>
    </row>
    <row r="22" spans="1:19" ht="14.1" customHeight="1" x14ac:dyDescent="0.2">
      <c r="A22" s="175" t="s">
        <v>102</v>
      </c>
      <c r="B22" s="410">
        <f>+[6]Charter!$B$22</f>
        <v>153288</v>
      </c>
      <c r="C22" s="410">
        <f>+[6]Charter!$C$22</f>
        <v>156814</v>
      </c>
      <c r="D22" s="410">
        <f t="shared" ref="D22" si="9">SUM(B22:C22)</f>
        <v>310102</v>
      </c>
      <c r="E22" s="410">
        <f>[7]Charter!D22</f>
        <v>330848</v>
      </c>
      <c r="F22" s="444">
        <f t="shared" si="3"/>
        <v>-6.270553244994681E-2</v>
      </c>
      <c r="G22" s="410">
        <f t="shared" ref="G22:G26" si="10">L22-B22</f>
        <v>1053803</v>
      </c>
      <c r="H22" s="410">
        <f t="shared" ref="H22:H26" si="11">M22-C22</f>
        <v>1079908</v>
      </c>
      <c r="I22" s="410">
        <f t="shared" si="6"/>
        <v>2133711</v>
      </c>
      <c r="J22" s="410">
        <f>[7]Charter!I22</f>
        <v>2156895</v>
      </c>
      <c r="K22" s="417">
        <f t="shared" si="7"/>
        <v>-1.0748784711355907E-2</v>
      </c>
      <c r="L22" s="410">
        <f>+[6]Charter!$L$22</f>
        <v>1207091</v>
      </c>
      <c r="M22" s="410">
        <f>+[6]Charter!$M$22</f>
        <v>1236722</v>
      </c>
      <c r="N22" s="419">
        <f t="shared" ref="N22" si="12">SUM(L22:M22)</f>
        <v>2443813</v>
      </c>
      <c r="O22" s="410">
        <f>[7]Charter!N22</f>
        <v>2487743</v>
      </c>
      <c r="P22" s="445">
        <f t="shared" ref="P22:P32" si="13">(N22-O22)/O22</f>
        <v>-1.7658576468710795E-2</v>
      </c>
      <c r="S22" s="379"/>
    </row>
    <row r="23" spans="1:19" ht="14.1" customHeight="1" x14ac:dyDescent="0.2">
      <c r="A23" s="175" t="s">
        <v>103</v>
      </c>
      <c r="B23" s="410">
        <f>+[8]Charter!$B$23</f>
        <v>194492</v>
      </c>
      <c r="C23" s="410">
        <f>+[8]Charter!$C$23</f>
        <v>204456</v>
      </c>
      <c r="D23" s="410">
        <f t="shared" ref="D23" si="14">SUM(B23:C23)</f>
        <v>398948</v>
      </c>
      <c r="E23" s="410">
        <f>[9]Charter!D23</f>
        <v>445342</v>
      </c>
      <c r="F23" s="417">
        <f t="shared" si="3"/>
        <v>-0.10417611633306538</v>
      </c>
      <c r="G23" s="410">
        <f t="shared" si="10"/>
        <v>1296932</v>
      </c>
      <c r="H23" s="410">
        <f t="shared" si="11"/>
        <v>1323627</v>
      </c>
      <c r="I23" s="410">
        <f t="shared" ref="I23" si="15">SUM(G23:H23)</f>
        <v>2620559</v>
      </c>
      <c r="J23" s="410">
        <f>[9]Charter!I23</f>
        <v>2782115</v>
      </c>
      <c r="K23" s="417">
        <f t="shared" si="7"/>
        <v>-5.8069490297848941E-2</v>
      </c>
      <c r="L23" s="410">
        <f>+[8]Charter!$L$23</f>
        <v>1491424</v>
      </c>
      <c r="M23" s="410">
        <f>+[8]Charter!$M$23</f>
        <v>1528083</v>
      </c>
      <c r="N23" s="419">
        <f t="shared" ref="N23" si="16">SUM(L23:M23)</f>
        <v>3019507</v>
      </c>
      <c r="O23" s="410">
        <f>[9]Charter!N23</f>
        <v>3227457</v>
      </c>
      <c r="P23" s="445">
        <f t="shared" si="13"/>
        <v>-6.4431532317858919E-2</v>
      </c>
      <c r="S23" s="379"/>
    </row>
    <row r="24" spans="1:19" ht="14.1" customHeight="1" x14ac:dyDescent="0.2">
      <c r="A24" s="175" t="s">
        <v>104</v>
      </c>
      <c r="B24" s="410">
        <f>+[10]Charter!$B$24</f>
        <v>155524</v>
      </c>
      <c r="C24" s="410">
        <f>+[10]Charter!$C$24</f>
        <v>135323</v>
      </c>
      <c r="D24" s="410">
        <f t="shared" ref="D24" si="17">SUM(B24:C24)</f>
        <v>290847</v>
      </c>
      <c r="E24" s="410">
        <f>[11]Charter!D24</f>
        <v>299497</v>
      </c>
      <c r="F24" s="417">
        <f t="shared" si="3"/>
        <v>-2.8881758414942386E-2</v>
      </c>
      <c r="G24" s="410">
        <f t="shared" si="10"/>
        <v>1335589</v>
      </c>
      <c r="H24" s="410">
        <f t="shared" si="11"/>
        <v>1244282</v>
      </c>
      <c r="I24" s="410">
        <f t="shared" ref="I24" si="18">SUM(G24:H24)</f>
        <v>2579871</v>
      </c>
      <c r="J24" s="410">
        <f>[11]Charter!I24</f>
        <v>2606555</v>
      </c>
      <c r="K24" s="417">
        <f t="shared" si="7"/>
        <v>-1.0237267197507822E-2</v>
      </c>
      <c r="L24" s="410">
        <f>+[10]Charter!$L$24</f>
        <v>1491113</v>
      </c>
      <c r="M24" s="410">
        <f>+[10]Charter!$M$24</f>
        <v>1379605</v>
      </c>
      <c r="N24" s="419">
        <f t="shared" ref="N24" si="19">SUM(L24:M24)</f>
        <v>2870718</v>
      </c>
      <c r="O24" s="410">
        <f>[11]Charter!N24</f>
        <v>2906052</v>
      </c>
      <c r="P24" s="445">
        <f t="shared" si="13"/>
        <v>-1.2158763848685432E-2</v>
      </c>
    </row>
    <row r="25" spans="1:19" ht="14.1" customHeight="1" x14ac:dyDescent="0.2">
      <c r="A25" s="168" t="s">
        <v>74</v>
      </c>
      <c r="B25" s="410">
        <f>+[2]Charter!$B$25</f>
        <v>130694</v>
      </c>
      <c r="C25" s="410">
        <f>+[2]Charter!$C$25</f>
        <v>146385</v>
      </c>
      <c r="D25" s="410">
        <f t="shared" ref="D25" si="20">SUM(B25:C25)</f>
        <v>277079</v>
      </c>
      <c r="E25" s="410">
        <f>[12]Charter!D25</f>
        <v>261311</v>
      </c>
      <c r="F25" s="418">
        <f t="shared" si="3"/>
        <v>6.0341891462663264E-2</v>
      </c>
      <c r="G25" s="410">
        <f t="shared" si="10"/>
        <v>1404829</v>
      </c>
      <c r="H25" s="410">
        <f t="shared" si="11"/>
        <v>1355149</v>
      </c>
      <c r="I25" s="410">
        <f t="shared" ref="I25" si="21">SUM(G25:H25)</f>
        <v>2759978</v>
      </c>
      <c r="J25" s="410">
        <f>[12]Charter!I25</f>
        <v>2785540</v>
      </c>
      <c r="K25" s="418">
        <f>(I25-J25)/J25</f>
        <v>-9.176676694644486E-3</v>
      </c>
      <c r="L25" s="410">
        <f>+[2]Charter!$L$25</f>
        <v>1535523</v>
      </c>
      <c r="M25" s="410">
        <f>+[2]Charter!$M$25</f>
        <v>1501534</v>
      </c>
      <c r="N25" s="419">
        <f t="shared" ref="N25" si="22">SUM(L25:M25)</f>
        <v>3037057</v>
      </c>
      <c r="O25" s="410">
        <f>[12]Charter!N25</f>
        <v>3046851</v>
      </c>
      <c r="P25" s="446">
        <f t="shared" si="13"/>
        <v>-3.2144663457451643E-3</v>
      </c>
    </row>
    <row r="26" spans="1:19" ht="14.1" customHeight="1" x14ac:dyDescent="0.2">
      <c r="A26" s="175" t="s">
        <v>105</v>
      </c>
      <c r="B26" s="410">
        <f>+'Intl Detail'!$P$4+'Intl Detail'!$P$9</f>
        <v>149945</v>
      </c>
      <c r="C26" s="410">
        <f>+'Intl Detail'!$P$5+'Intl Detail'!$P$10</f>
        <v>159285</v>
      </c>
      <c r="D26" s="410">
        <f t="shared" ref="D26" si="23">SUM(B26:C26)</f>
        <v>309230</v>
      </c>
      <c r="E26" s="410">
        <f>[1]Charter!D26</f>
        <v>310661</v>
      </c>
      <c r="F26" s="412">
        <f t="shared" si="3"/>
        <v>-4.6063071965904961E-3</v>
      </c>
      <c r="G26" s="410">
        <f t="shared" si="10"/>
        <v>1550164</v>
      </c>
      <c r="H26" s="410">
        <f t="shared" si="11"/>
        <v>1531398</v>
      </c>
      <c r="I26" s="410">
        <f t="shared" ref="I26" si="24">SUM(G26:H26)</f>
        <v>3081562</v>
      </c>
      <c r="J26" s="410">
        <f>[1]Charter!I26</f>
        <v>3133219</v>
      </c>
      <c r="K26" s="417">
        <f t="shared" si="7"/>
        <v>-1.6486878191406346E-2</v>
      </c>
      <c r="L26" s="410">
        <f>+'Monthly Summary'!$B$11</f>
        <v>1700109</v>
      </c>
      <c r="M26" s="410">
        <f>+'Monthly Summary'!$C$11</f>
        <v>1690683</v>
      </c>
      <c r="N26" s="419">
        <f t="shared" ref="N26" si="25">SUM(L26:M26)</f>
        <v>3390792</v>
      </c>
      <c r="O26" s="410">
        <f>[1]Charter!N26</f>
        <v>3443880</v>
      </c>
      <c r="P26" s="407">
        <f t="shared" si="13"/>
        <v>-1.5415171260322659E-2</v>
      </c>
    </row>
    <row r="27" spans="1:19" ht="14.1" customHeight="1" x14ac:dyDescent="0.2">
      <c r="A27" s="168" t="s">
        <v>106</v>
      </c>
      <c r="B27" s="410"/>
      <c r="C27" s="410"/>
      <c r="D27" s="410">
        <f t="shared" ref="D27" si="26">SUM(B27:C27)</f>
        <v>0</v>
      </c>
      <c r="E27" s="410">
        <f>[13]Charter!D27</f>
        <v>331340</v>
      </c>
      <c r="F27" s="413">
        <f t="shared" si="3"/>
        <v>-1</v>
      </c>
      <c r="G27" s="410">
        <f t="shared" ref="G27:G32" si="27">L27-B27</f>
        <v>0</v>
      </c>
      <c r="H27" s="410">
        <f t="shared" ref="H27:H32" si="28">M27-C27</f>
        <v>0</v>
      </c>
      <c r="I27" s="410">
        <f t="shared" ref="I27" si="29">SUM(G27:H27)</f>
        <v>0</v>
      </c>
      <c r="J27" s="410">
        <f>[13]Charter!I27</f>
        <v>3317080</v>
      </c>
      <c r="K27" s="418">
        <f t="shared" si="7"/>
        <v>-1</v>
      </c>
      <c r="L27" s="410"/>
      <c r="M27" s="410"/>
      <c r="N27" s="419">
        <f t="shared" ref="N27" si="30">SUM(L27:M27)</f>
        <v>0</v>
      </c>
      <c r="O27" s="410">
        <f>[13]Charter!N27</f>
        <v>3648420</v>
      </c>
      <c r="P27" s="408">
        <f t="shared" si="13"/>
        <v>-1</v>
      </c>
    </row>
    <row r="28" spans="1:19" ht="14.1" customHeight="1" x14ac:dyDescent="0.2">
      <c r="A28" s="175" t="s">
        <v>107</v>
      </c>
      <c r="B28" s="410"/>
      <c r="C28" s="410"/>
      <c r="D28" s="410">
        <f t="shared" ref="D28" si="31">SUM(B28:C28)</f>
        <v>0</v>
      </c>
      <c r="E28" s="410">
        <f>[14]Charter!D28</f>
        <v>330036</v>
      </c>
      <c r="F28" s="412">
        <f t="shared" si="3"/>
        <v>-1</v>
      </c>
      <c r="G28" s="410">
        <f t="shared" si="27"/>
        <v>0</v>
      </c>
      <c r="H28" s="410">
        <f t="shared" si="28"/>
        <v>0</v>
      </c>
      <c r="I28" s="410">
        <f t="shared" ref="I28" si="32">SUM(G28:H28)</f>
        <v>0</v>
      </c>
      <c r="J28" s="410">
        <f>[14]Charter!I28</f>
        <v>3121862</v>
      </c>
      <c r="K28" s="417">
        <f t="shared" si="7"/>
        <v>-1</v>
      </c>
      <c r="L28" s="410"/>
      <c r="M28" s="410"/>
      <c r="N28" s="419">
        <f t="shared" ref="N28" si="33">SUM(L28:M28)</f>
        <v>0</v>
      </c>
      <c r="O28" s="410">
        <f>[14]Charter!N28</f>
        <v>3451898</v>
      </c>
      <c r="P28" s="407">
        <f t="shared" si="13"/>
        <v>-1</v>
      </c>
    </row>
    <row r="29" spans="1:19" ht="14.1" customHeight="1" x14ac:dyDescent="0.2">
      <c r="A29" s="168" t="s">
        <v>108</v>
      </c>
      <c r="B29" s="410"/>
      <c r="C29" s="410"/>
      <c r="D29" s="410">
        <f t="shared" ref="D29" si="34">SUM(B29:C29)</f>
        <v>0</v>
      </c>
      <c r="E29" s="410">
        <f>[15]Charter!D29</f>
        <v>272028</v>
      </c>
      <c r="F29" s="413">
        <f t="shared" si="3"/>
        <v>-1</v>
      </c>
      <c r="G29" s="410">
        <f t="shared" si="27"/>
        <v>0</v>
      </c>
      <c r="H29" s="410">
        <f t="shared" si="28"/>
        <v>0</v>
      </c>
      <c r="I29" s="410">
        <f t="shared" ref="I29" si="35">SUM(G29:H29)</f>
        <v>0</v>
      </c>
      <c r="J29" s="410">
        <f>[15]Charter!I29</f>
        <v>2589499</v>
      </c>
      <c r="K29" s="418">
        <f t="shared" si="7"/>
        <v>-1</v>
      </c>
      <c r="L29" s="410"/>
      <c r="M29" s="410"/>
      <c r="N29" s="419">
        <f t="shared" ref="N29" si="36">SUM(L29:M29)</f>
        <v>0</v>
      </c>
      <c r="O29" s="410">
        <f>[15]Charter!N29</f>
        <v>2861527</v>
      </c>
      <c r="P29" s="408">
        <f t="shared" si="13"/>
        <v>-1</v>
      </c>
    </row>
    <row r="30" spans="1:19" ht="14.1" customHeight="1" x14ac:dyDescent="0.2">
      <c r="A30" s="175" t="s">
        <v>109</v>
      </c>
      <c r="B30" s="410"/>
      <c r="C30" s="410"/>
      <c r="D30" s="410">
        <f t="shared" ref="D30" si="37">SUM(B30:C30)</f>
        <v>0</v>
      </c>
      <c r="E30" s="410">
        <f>[16]Charter!D30</f>
        <v>258310</v>
      </c>
      <c r="F30" s="412">
        <f t="shared" si="3"/>
        <v>-1</v>
      </c>
      <c r="G30" s="410">
        <f t="shared" si="27"/>
        <v>0</v>
      </c>
      <c r="H30" s="410">
        <f t="shared" si="28"/>
        <v>0</v>
      </c>
      <c r="I30" s="410">
        <f t="shared" ref="I30" si="38">SUM(G30:H30)</f>
        <v>0</v>
      </c>
      <c r="J30" s="410">
        <f>[16]Charter!I30</f>
        <v>2816693</v>
      </c>
      <c r="K30" s="417">
        <f t="shared" si="7"/>
        <v>-1</v>
      </c>
      <c r="L30" s="410"/>
      <c r="M30" s="410"/>
      <c r="N30" s="419">
        <f t="shared" ref="N30" si="39">SUM(L30:M30)</f>
        <v>0</v>
      </c>
      <c r="O30" s="410">
        <f>[16]Charter!N30</f>
        <v>3075003</v>
      </c>
      <c r="P30" s="407">
        <f t="shared" si="13"/>
        <v>-1</v>
      </c>
    </row>
    <row r="31" spans="1:19" ht="14.1" customHeight="1" x14ac:dyDescent="0.2">
      <c r="A31" s="168" t="s">
        <v>110</v>
      </c>
      <c r="B31" s="410"/>
      <c r="C31" s="410"/>
      <c r="D31" s="410">
        <f t="shared" ref="D31" si="40">SUM(B31:C31)</f>
        <v>0</v>
      </c>
      <c r="E31" s="410">
        <f>[17]Charter!D31</f>
        <v>197850</v>
      </c>
      <c r="F31" s="413">
        <f t="shared" si="3"/>
        <v>-1</v>
      </c>
      <c r="G31" s="410">
        <f t="shared" si="27"/>
        <v>0</v>
      </c>
      <c r="H31" s="410">
        <f t="shared" si="28"/>
        <v>0</v>
      </c>
      <c r="I31" s="410">
        <f t="shared" ref="I31" si="41">SUM(G31:H31)</f>
        <v>0</v>
      </c>
      <c r="J31" s="410">
        <f>[17]Charter!I31</f>
        <v>2400689</v>
      </c>
      <c r="K31" s="418">
        <f t="shared" si="7"/>
        <v>-1</v>
      </c>
      <c r="L31" s="410"/>
      <c r="M31" s="410"/>
      <c r="N31" s="419">
        <f t="shared" ref="N31" si="42">SUM(L31:M31)</f>
        <v>0</v>
      </c>
      <c r="O31" s="410">
        <f>[17]Charter!N31</f>
        <v>2598539</v>
      </c>
      <c r="P31" s="408">
        <f t="shared" si="13"/>
        <v>-1</v>
      </c>
    </row>
    <row r="32" spans="1:19" ht="14.1" customHeight="1" x14ac:dyDescent="0.2">
      <c r="A32" s="176" t="s">
        <v>111</v>
      </c>
      <c r="B32" s="410"/>
      <c r="C32" s="410"/>
      <c r="D32" s="410">
        <f t="shared" ref="D32" si="43">SUM(B32:C32)</f>
        <v>0</v>
      </c>
      <c r="E32" s="410">
        <f>[18]Charter!D32</f>
        <v>260440</v>
      </c>
      <c r="F32" s="414">
        <f t="shared" si="3"/>
        <v>-1</v>
      </c>
      <c r="G32" s="410">
        <f t="shared" si="27"/>
        <v>0</v>
      </c>
      <c r="H32" s="410">
        <f t="shared" si="28"/>
        <v>0</v>
      </c>
      <c r="I32" s="410">
        <f t="shared" ref="I32" si="44">SUM(G32:H32)</f>
        <v>0</v>
      </c>
      <c r="J32" s="410">
        <f>[18]Charter!I32</f>
        <v>2507509</v>
      </c>
      <c r="K32" s="414">
        <f t="shared" si="7"/>
        <v>-1</v>
      </c>
      <c r="L32" s="410"/>
      <c r="M32" s="410"/>
      <c r="N32" s="419">
        <f t="shared" ref="N32" si="45">SUM(L32:M32)</f>
        <v>0</v>
      </c>
      <c r="O32" s="410">
        <f>[18]Charter!N32</f>
        <v>2767949</v>
      </c>
      <c r="P32" s="409">
        <f t="shared" si="13"/>
        <v>-1</v>
      </c>
    </row>
    <row r="33" spans="1:16" ht="13.5" thickBot="1" x14ac:dyDescent="0.25">
      <c r="A33" s="173" t="s">
        <v>75</v>
      </c>
      <c r="B33" s="179">
        <f>SUM(B21:B32)</f>
        <v>949213</v>
      </c>
      <c r="C33" s="180">
        <f>SUM(C21:C32)</f>
        <v>961203</v>
      </c>
      <c r="D33" s="180">
        <f>SUM(D21:D32)</f>
        <v>1910416</v>
      </c>
      <c r="E33" s="181">
        <f>SUM(E21:E32)</f>
        <v>3609453</v>
      </c>
      <c r="F33" s="171">
        <f>(D33-E33)/E33</f>
        <v>-0.47071869338650485</v>
      </c>
      <c r="G33" s="182">
        <f>SUM(G21:G32)</f>
        <v>7692688</v>
      </c>
      <c r="H33" s="180">
        <f>SUM(H21:H32)</f>
        <v>7621806</v>
      </c>
      <c r="I33" s="180">
        <f>SUM(I21:I32)</f>
        <v>15314494</v>
      </c>
      <c r="J33" s="183">
        <f>SUM(J21:J32)</f>
        <v>32462174</v>
      </c>
      <c r="K33" s="172">
        <f>(I33-J33)/J33</f>
        <v>-0.5282357244465512</v>
      </c>
      <c r="L33" s="182">
        <f>SUM(L21:L32)</f>
        <v>8641901</v>
      </c>
      <c r="M33" s="180">
        <f>SUM(M21:M32)</f>
        <v>8583009</v>
      </c>
      <c r="N33" s="180">
        <f>SUM(N21:N32)</f>
        <v>17224910</v>
      </c>
      <c r="O33" s="181">
        <f>SUM(O21:O32)</f>
        <v>36071627</v>
      </c>
      <c r="P33" s="170">
        <f>(N33-O33)/O33</f>
        <v>-0.52248036940501741</v>
      </c>
    </row>
    <row r="35" spans="1:16" x14ac:dyDescent="0.2">
      <c r="N35" s="89"/>
      <c r="O35" s="89"/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June 2026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H8" sqref="H8"/>
    </sheetView>
  </sheetViews>
  <sheetFormatPr defaultRowHeight="12.75" x14ac:dyDescent="0.2"/>
  <cols>
    <col min="1" max="1" width="24.71093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28515625" bestFit="1" customWidth="1"/>
  </cols>
  <sheetData>
    <row r="1" spans="1:23" s="40" customFormat="1" ht="16.5" thickBot="1" x14ac:dyDescent="0.3">
      <c r="B1" s="471" t="s">
        <v>183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3"/>
    </row>
    <row r="2" spans="1:23" s="26" customFormat="1" ht="43.5" customHeight="1" thickBot="1" x14ac:dyDescent="0.25">
      <c r="A2" s="384">
        <v>46174</v>
      </c>
      <c r="B2" s="315" t="s">
        <v>179</v>
      </c>
      <c r="C2" s="315" t="s">
        <v>241</v>
      </c>
      <c r="D2" s="315" t="s">
        <v>199</v>
      </c>
      <c r="E2" s="347" t="s">
        <v>201</v>
      </c>
      <c r="F2" s="347" t="s">
        <v>200</v>
      </c>
      <c r="G2" s="315" t="s">
        <v>184</v>
      </c>
      <c r="H2" s="347" t="s">
        <v>207</v>
      </c>
      <c r="I2" s="347" t="s">
        <v>181</v>
      </c>
      <c r="J2" s="316" t="s">
        <v>80</v>
      </c>
      <c r="K2" s="347" t="s">
        <v>166</v>
      </c>
      <c r="L2" s="315" t="s">
        <v>185</v>
      </c>
      <c r="M2" s="347" t="s">
        <v>84</v>
      </c>
      <c r="N2" s="315" t="s">
        <v>205</v>
      </c>
      <c r="O2" s="315" t="s">
        <v>186</v>
      </c>
      <c r="P2" s="315" t="s">
        <v>187</v>
      </c>
      <c r="Q2" s="316" t="s">
        <v>81</v>
      </c>
      <c r="R2" s="347" t="s">
        <v>125</v>
      </c>
      <c r="S2" s="347" t="s">
        <v>21</v>
      </c>
    </row>
    <row r="3" spans="1:23" ht="15" x14ac:dyDescent="0.25">
      <c r="A3" s="151" t="s">
        <v>9</v>
      </c>
      <c r="B3" s="354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5"/>
      <c r="U3" s="330"/>
      <c r="V3" s="330"/>
      <c r="W3" s="330"/>
    </row>
    <row r="4" spans="1:23" x14ac:dyDescent="0.2">
      <c r="A4" s="36" t="s">
        <v>52</v>
      </c>
      <c r="B4" s="177">
        <f>'[3]Atlas Air'!$KA$4</f>
        <v>0</v>
      </c>
      <c r="C4" s="126">
        <f>[3]DHL!$KA$8+[3]DHL!$KA$4</f>
        <v>20</v>
      </c>
      <c r="D4" s="126">
        <f>[3]Airborne!$KA$4+[3]Airborne!$KA$15</f>
        <v>1</v>
      </c>
      <c r="E4" s="89">
        <f>[3]DHL_Bemidji!$KA$4</f>
        <v>44</v>
      </c>
      <c r="F4" s="89">
        <f>[3]Bemidji!$KA$4</f>
        <v>127</v>
      </c>
      <c r="G4" s="126">
        <f>[3]DHL_Encore!$KA$4+[3]DHL_Encore!$KA$15</f>
        <v>0</v>
      </c>
      <c r="H4" s="126">
        <f>[3]DHL_Mesa!$KA$4+[3]DHL_Mesa!$KA$15</f>
        <v>0</v>
      </c>
      <c r="I4" s="126">
        <f>[3]Encore!$KA$4+[3]Encore!$KA$15</f>
        <v>0</v>
      </c>
      <c r="J4" s="126">
        <f>[3]FedEx!$KA$4+[3]FedEx!$KA$15</f>
        <v>77</v>
      </c>
      <c r="K4" s="126">
        <f>[3]IFL!$KA$4+[3]IFL!$KA$15</f>
        <v>17</v>
      </c>
      <c r="L4" s="126">
        <f>[3]DHL_Kalitta!$KA$4+[3]DHL_Kalitta!$KA$15</f>
        <v>3</v>
      </c>
      <c r="M4" s="89">
        <f>'[3]Mountain Cargo'!$KA$4</f>
        <v>21</v>
      </c>
      <c r="N4" s="126">
        <f>[3]DHL_Amerijet!$KA$4+[3]DHL_Amerijet!$KA$15</f>
        <v>0</v>
      </c>
      <c r="O4" s="126">
        <f>[3]DHL_Swift!$KA$4+[3]DHL_Swift!$KA$15</f>
        <v>0</v>
      </c>
      <c r="P4" s="126">
        <f>+'[3]Sun Country Cargo'!$KA$4+'[3]Sun Country Cargo'!$KA$8+'[3]Sun Country Cargo'!$KA$15</f>
        <v>80</v>
      </c>
      <c r="Q4" s="126">
        <f>[3]UPS!$KA$4+[3]UPS!$KA$15</f>
        <v>106</v>
      </c>
      <c r="R4" s="89">
        <f>'[3]Misc Cargo'!$KA$4</f>
        <v>0</v>
      </c>
      <c r="S4" s="356">
        <f>SUM(B4:R4)</f>
        <v>496</v>
      </c>
      <c r="U4" s="330"/>
      <c r="V4" s="330"/>
      <c r="W4" s="209"/>
    </row>
    <row r="5" spans="1:23" x14ac:dyDescent="0.2">
      <c r="A5" s="36" t="s">
        <v>53</v>
      </c>
      <c r="B5" s="357">
        <f>'[3]Atlas Air'!$KA$5</f>
        <v>0</v>
      </c>
      <c r="C5" s="150">
        <f>[3]DHL!$KA$9+[3]DHL!$KA$5</f>
        <v>20</v>
      </c>
      <c r="D5" s="150">
        <f>[3]Airborne!$KA$5</f>
        <v>1</v>
      </c>
      <c r="E5" s="90">
        <f>[3]DHL_Bemidji!$KA$5</f>
        <v>44</v>
      </c>
      <c r="F5" s="90">
        <f>[3]Bemidji!$KA$5</f>
        <v>127</v>
      </c>
      <c r="G5" s="150">
        <f>[3]DHL_Encore!$KA$5</f>
        <v>0</v>
      </c>
      <c r="H5" s="150">
        <f>[3]DHL_Mesa!$KA$5</f>
        <v>0</v>
      </c>
      <c r="I5" s="150">
        <f>[3]Encore!$KA$5</f>
        <v>0</v>
      </c>
      <c r="J5" s="150">
        <f>[3]FedEx!$KA$5</f>
        <v>77</v>
      </c>
      <c r="K5" s="150">
        <f>[3]IFL!$KA$5</f>
        <v>17</v>
      </c>
      <c r="L5" s="150">
        <f>[3]DHL_Kalitta!$KA$5+[3]DHL_Kalitta!$KA$16</f>
        <v>3</v>
      </c>
      <c r="M5" s="90">
        <f>'[3]Mountain Cargo'!$KA$5</f>
        <v>21</v>
      </c>
      <c r="N5" s="150">
        <f>[3]DHL_Amerijet!$KA$5</f>
        <v>0</v>
      </c>
      <c r="O5" s="150">
        <f>[3]DHL_Swift!$KA$5</f>
        <v>0</v>
      </c>
      <c r="P5" s="150">
        <f>+'[3]Sun Country Cargo'!$KA$5+'[3]Sun Country Cargo'!$KA$9+'[3]Sun Country Cargo'!$KA$16</f>
        <v>80</v>
      </c>
      <c r="Q5" s="150">
        <f>[3]UPS!$KA$5+[3]UPS!$KA$16</f>
        <v>106</v>
      </c>
      <c r="R5" s="90">
        <f>'[3]Misc Cargo'!$KA$5</f>
        <v>0</v>
      </c>
      <c r="S5" s="356">
        <f>SUM(B5:R5)</f>
        <v>496</v>
      </c>
      <c r="U5" s="330"/>
      <c r="V5" s="330"/>
      <c r="W5" s="209"/>
    </row>
    <row r="6" spans="1:23" s="149" customFormat="1" x14ac:dyDescent="0.2">
      <c r="A6" s="153" t="s">
        <v>54</v>
      </c>
      <c r="B6" s="358">
        <f t="shared" ref="B6:R6" si="0">SUM(B4:B5)</f>
        <v>0</v>
      </c>
      <c r="C6" s="359">
        <f t="shared" si="0"/>
        <v>40</v>
      </c>
      <c r="D6" s="359">
        <f t="shared" ref="D6:E6" si="1">SUM(D4:D5)</f>
        <v>2</v>
      </c>
      <c r="E6" s="87">
        <f t="shared" si="1"/>
        <v>88</v>
      </c>
      <c r="F6" s="87">
        <f t="shared" si="0"/>
        <v>254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154</v>
      </c>
      <c r="K6" s="359">
        <f t="shared" si="0"/>
        <v>34</v>
      </c>
      <c r="L6" s="359">
        <f t="shared" si="0"/>
        <v>6</v>
      </c>
      <c r="M6" s="87">
        <f t="shared" si="0"/>
        <v>42</v>
      </c>
      <c r="N6" s="359">
        <f t="shared" si="0"/>
        <v>0</v>
      </c>
      <c r="O6" s="359">
        <f t="shared" si="0"/>
        <v>0</v>
      </c>
      <c r="P6" s="359">
        <f t="shared" si="0"/>
        <v>160</v>
      </c>
      <c r="Q6" s="359">
        <f t="shared" si="0"/>
        <v>212</v>
      </c>
      <c r="R6" s="87">
        <f t="shared" si="0"/>
        <v>0</v>
      </c>
      <c r="S6" s="356">
        <f t="shared" ref="S6:S10" si="3">SUM(B6:R6)</f>
        <v>992</v>
      </c>
      <c r="W6" s="277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56"/>
      <c r="U7" s="313"/>
      <c r="V7" s="330"/>
      <c r="W7" s="209"/>
    </row>
    <row r="8" spans="1:23" x14ac:dyDescent="0.2">
      <c r="A8" s="36" t="s">
        <v>55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Cargo'!$KA$8</f>
        <v>0</v>
      </c>
      <c r="S8" s="356">
        <f t="shared" si="3"/>
        <v>0</v>
      </c>
      <c r="U8" s="330"/>
      <c r="V8" s="330"/>
      <c r="W8" s="209"/>
    </row>
    <row r="9" spans="1:23" ht="15" x14ac:dyDescent="0.25">
      <c r="A9" s="36" t="s">
        <v>56</v>
      </c>
      <c r="B9" s="357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Cargo'!$KA$9</f>
        <v>0</v>
      </c>
      <c r="S9" s="356">
        <f t="shared" si="3"/>
        <v>0</v>
      </c>
      <c r="U9" s="330"/>
      <c r="V9" s="8"/>
      <c r="W9" s="209"/>
    </row>
    <row r="10" spans="1:23" s="149" customFormat="1" x14ac:dyDescent="0.2">
      <c r="A10" s="153" t="s">
        <v>57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7">
        <f t="shared" si="5"/>
        <v>0</v>
      </c>
      <c r="F10" s="87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7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7">
        <f t="shared" si="4"/>
        <v>0</v>
      </c>
      <c r="S10" s="356">
        <f t="shared" si="3"/>
        <v>0</v>
      </c>
      <c r="W10" s="277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0"/>
      <c r="U11" s="330"/>
      <c r="V11" s="330"/>
      <c r="W11" s="209"/>
    </row>
    <row r="12" spans="1:23" ht="18" customHeight="1" thickBot="1" x14ac:dyDescent="0.25">
      <c r="A12" s="154" t="s">
        <v>28</v>
      </c>
      <c r="B12" s="361">
        <f t="shared" ref="B12:R12" si="7">B6+B10</f>
        <v>0</v>
      </c>
      <c r="C12" s="155">
        <f t="shared" si="7"/>
        <v>40</v>
      </c>
      <c r="D12" s="155">
        <f t="shared" ref="D12:E12" si="8">D6+D10</f>
        <v>2</v>
      </c>
      <c r="E12" s="156">
        <f t="shared" si="8"/>
        <v>88</v>
      </c>
      <c r="F12" s="156">
        <f t="shared" si="7"/>
        <v>254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154</v>
      </c>
      <c r="K12" s="155">
        <f t="shared" si="7"/>
        <v>34</v>
      </c>
      <c r="L12" s="155">
        <f t="shared" si="7"/>
        <v>6</v>
      </c>
      <c r="M12" s="156">
        <f t="shared" si="7"/>
        <v>42</v>
      </c>
      <c r="N12" s="155">
        <f t="shared" si="7"/>
        <v>0</v>
      </c>
      <c r="O12" s="155">
        <f t="shared" si="7"/>
        <v>0</v>
      </c>
      <c r="P12" s="155">
        <f t="shared" si="7"/>
        <v>160</v>
      </c>
      <c r="Q12" s="155">
        <f t="shared" si="7"/>
        <v>212</v>
      </c>
      <c r="R12" s="156">
        <f t="shared" si="7"/>
        <v>0</v>
      </c>
      <c r="S12" s="362">
        <f>SUM(B12:R12)</f>
        <v>992</v>
      </c>
      <c r="U12" s="330"/>
      <c r="V12" s="330"/>
      <c r="W12" s="209"/>
    </row>
    <row r="13" spans="1:23" ht="18" customHeight="1" thickBot="1" x14ac:dyDescent="0.25">
      <c r="A13" s="140"/>
      <c r="B13" s="363"/>
      <c r="C13" s="364"/>
      <c r="D13" s="364"/>
      <c r="E13" s="251"/>
      <c r="F13" s="251"/>
      <c r="G13" s="364"/>
      <c r="H13" s="364"/>
      <c r="I13" s="364"/>
      <c r="J13" s="364"/>
      <c r="K13" s="364"/>
      <c r="L13" s="364"/>
      <c r="M13" s="251"/>
      <c r="N13" s="364"/>
      <c r="O13" s="364"/>
      <c r="P13" s="364"/>
      <c r="Q13" s="364"/>
      <c r="R13" s="251"/>
      <c r="S13" s="2"/>
      <c r="U13" s="330"/>
      <c r="V13" s="330"/>
      <c r="W13" s="209"/>
    </row>
    <row r="14" spans="1:23" ht="15" x14ac:dyDescent="0.25">
      <c r="A14" s="157" t="s">
        <v>91</v>
      </c>
      <c r="B14" s="365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66"/>
      <c r="U14" s="330"/>
      <c r="V14" s="330"/>
      <c r="W14" s="209"/>
    </row>
    <row r="15" spans="1:23" x14ac:dyDescent="0.2">
      <c r="A15" s="159" t="s">
        <v>92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0"/>
      <c r="V15" s="330"/>
      <c r="W15" s="209"/>
    </row>
    <row r="16" spans="1:23" ht="12.75" customHeight="1" x14ac:dyDescent="0.2">
      <c r="A16" s="36" t="s">
        <v>37</v>
      </c>
      <c r="B16" s="177">
        <f>'[3]Atlas Air'!$KA$47</f>
        <v>0</v>
      </c>
      <c r="C16" s="126">
        <f>[3]DHL!$KA$47</f>
        <v>693929</v>
      </c>
      <c r="D16" s="126">
        <f>[3]Airborne!$KA$47</f>
        <v>39061</v>
      </c>
      <c r="E16" s="126">
        <f>[3]DHL_Bemidji!$KA$47</f>
        <v>106894</v>
      </c>
      <c r="F16" s="468" t="s">
        <v>85</v>
      </c>
      <c r="G16" s="126">
        <f>[3]DHL_Encore!$KA$47</f>
        <v>0</v>
      </c>
      <c r="H16" s="126">
        <f>[3]DHL_Mesa!$KA$47</f>
        <v>0</v>
      </c>
      <c r="I16" s="126">
        <f>[3]Encore!$KA$47</f>
        <v>0</v>
      </c>
      <c r="J16" s="126">
        <f>[3]FedEx!$KA$47</f>
        <v>5487258</v>
      </c>
      <c r="K16" s="126">
        <f>[3]IFL!$KA$47</f>
        <v>66393</v>
      </c>
      <c r="L16" s="126">
        <f>[3]DHL_Kalitta!$KA$47</f>
        <v>98156</v>
      </c>
      <c r="M16" s="89">
        <f>'[3]Mountain Cargo'!$KA$47</f>
        <v>0</v>
      </c>
      <c r="N16" s="126">
        <f>[3]DHL_Amerijet!$KA$47</f>
        <v>0</v>
      </c>
      <c r="O16" s="126">
        <f>[3]DHL_Swift!$KA$47</f>
        <v>0</v>
      </c>
      <c r="P16" s="126">
        <f>+'[3]Sun Country Cargo'!$KA$47</f>
        <v>2096853</v>
      </c>
      <c r="Q16" s="126">
        <f>[3]UPS!$KA$47</f>
        <v>4781971</v>
      </c>
      <c r="R16" s="89">
        <f>'[3]Misc Cargo'!$KA$47</f>
        <v>0</v>
      </c>
      <c r="S16" s="356">
        <f>SUM(B16:E16)+SUM(G16:R16)</f>
        <v>13370515</v>
      </c>
      <c r="U16" s="330"/>
      <c r="V16" s="330"/>
      <c r="W16" s="209"/>
    </row>
    <row r="17" spans="1:23" x14ac:dyDescent="0.2">
      <c r="A17" s="36" t="s">
        <v>38</v>
      </c>
      <c r="B17" s="177">
        <f>'[3]Atlas Air'!$KA$48</f>
        <v>0</v>
      </c>
      <c r="C17" s="126">
        <f>[3]DHL!$KA$48</f>
        <v>0</v>
      </c>
      <c r="D17" s="126">
        <f>[3]Airborne!$KA$48</f>
        <v>0</v>
      </c>
      <c r="E17" s="126">
        <f>[3]DHL_Bemidji!$KA$48</f>
        <v>0</v>
      </c>
      <c r="F17" s="469"/>
      <c r="G17" s="126">
        <f>[3]DHL_Encore!$KA$48</f>
        <v>0</v>
      </c>
      <c r="H17" s="126">
        <f>[3]DHL_Mesa!$KA$48</f>
        <v>0</v>
      </c>
      <c r="I17" s="126">
        <f>[3]Encore!$KA$48</f>
        <v>0</v>
      </c>
      <c r="J17" s="126">
        <f>[3]FedEx!$KA$48</f>
        <v>0</v>
      </c>
      <c r="K17" s="126">
        <f>[3]IFL!$KA$48</f>
        <v>0</v>
      </c>
      <c r="L17" s="126">
        <f>[3]DHL_Kalitta!$KA$48</f>
        <v>0</v>
      </c>
      <c r="M17" s="89">
        <f>'[3]Mountain Cargo'!$KA$48</f>
        <v>56296</v>
      </c>
      <c r="N17" s="126">
        <f>[3]DHL_Amerijet!$KA$48</f>
        <v>0</v>
      </c>
      <c r="O17" s="126">
        <f>[3]DHL_Swift!$KA$48</f>
        <v>0</v>
      </c>
      <c r="P17" s="126">
        <f>+'[3]Sun Country Cargo'!$KA$48</f>
        <v>0</v>
      </c>
      <c r="Q17" s="126">
        <f>[3]UPS!$KA$48</f>
        <v>3033033</v>
      </c>
      <c r="R17" s="89">
        <f>'[3]Misc Cargo'!$KA$48</f>
        <v>0</v>
      </c>
      <c r="S17" s="356">
        <f>SUM(B17:E17)+SUM(G17:R17)</f>
        <v>3089329</v>
      </c>
      <c r="U17" s="330"/>
      <c r="V17" s="330"/>
      <c r="W17" s="209"/>
    </row>
    <row r="18" spans="1:23" ht="18" customHeight="1" x14ac:dyDescent="0.2">
      <c r="A18" s="160" t="s">
        <v>39</v>
      </c>
      <c r="B18" s="367">
        <f>SUM(B16:B17)</f>
        <v>0</v>
      </c>
      <c r="C18" s="215">
        <f>SUM(C16:C17)</f>
        <v>693929</v>
      </c>
      <c r="D18" s="215">
        <f>SUM(D16:D17)</f>
        <v>39061</v>
      </c>
      <c r="E18" s="215">
        <f>SUM(E16:E17)</f>
        <v>106894</v>
      </c>
      <c r="F18" s="469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5487258</v>
      </c>
      <c r="K18" s="215">
        <f>SUM(K16:K17)</f>
        <v>66393</v>
      </c>
      <c r="L18" s="215">
        <f t="shared" ref="L18:R18" si="10">SUM(L16:L17)</f>
        <v>98156</v>
      </c>
      <c r="M18" s="216">
        <f t="shared" si="10"/>
        <v>56296</v>
      </c>
      <c r="N18" s="215">
        <f t="shared" si="10"/>
        <v>0</v>
      </c>
      <c r="O18" s="215">
        <f t="shared" si="10"/>
        <v>0</v>
      </c>
      <c r="P18" s="215">
        <f t="shared" si="10"/>
        <v>2096853</v>
      </c>
      <c r="Q18" s="215">
        <f t="shared" si="10"/>
        <v>7815004</v>
      </c>
      <c r="R18" s="216">
        <f t="shared" si="10"/>
        <v>0</v>
      </c>
      <c r="S18" s="368">
        <f>SUM(B18:D18)+SUM(G18:R18)</f>
        <v>16352950</v>
      </c>
      <c r="U18" s="330"/>
      <c r="V18" s="330"/>
      <c r="W18" s="209"/>
    </row>
    <row r="19" spans="1:23" x14ac:dyDescent="0.2">
      <c r="A19" s="36"/>
      <c r="B19" s="177"/>
      <c r="C19" s="126"/>
      <c r="D19" s="126"/>
      <c r="E19" s="126"/>
      <c r="F19" s="469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56"/>
      <c r="U19" s="313"/>
      <c r="V19" s="330"/>
      <c r="W19" s="209"/>
    </row>
    <row r="20" spans="1:23" x14ac:dyDescent="0.2">
      <c r="A20" s="159" t="s">
        <v>86</v>
      </c>
      <c r="B20" s="177"/>
      <c r="C20" s="126"/>
      <c r="D20" s="126"/>
      <c r="E20" s="126"/>
      <c r="F20" s="469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56"/>
      <c r="U20" s="313"/>
      <c r="V20" s="330"/>
      <c r="W20" s="209"/>
    </row>
    <row r="21" spans="1:23" x14ac:dyDescent="0.2">
      <c r="A21" s="36" t="s">
        <v>58</v>
      </c>
      <c r="B21" s="177">
        <f>'[3]Atlas Air'!$KA$52</f>
        <v>0</v>
      </c>
      <c r="C21" s="126">
        <f>[3]DHL!$KA$52</f>
        <v>585595</v>
      </c>
      <c r="D21" s="126">
        <f>[3]Airborne!$KA$52</f>
        <v>49119</v>
      </c>
      <c r="E21" s="126">
        <f>[3]DHL_Bemidji!$KA$52</f>
        <v>61234</v>
      </c>
      <c r="F21" s="469"/>
      <c r="G21" s="126">
        <f>[3]DHL_Encore!$KA$52</f>
        <v>0</v>
      </c>
      <c r="H21" s="126">
        <f>[3]DHL_Mesa!$KA$52</f>
        <v>0</v>
      </c>
      <c r="I21" s="126">
        <f>[3]Encore!$KA$52</f>
        <v>0</v>
      </c>
      <c r="J21" s="126">
        <f>[3]FedEx!$KA$52</f>
        <v>5043403</v>
      </c>
      <c r="K21" s="126">
        <f>[3]IFL!$KA$52</f>
        <v>0</v>
      </c>
      <c r="L21" s="126">
        <f>[3]DHL_Kalitta!$KA$52</f>
        <v>0</v>
      </c>
      <c r="M21" s="89">
        <f>'[3]Mountain Cargo'!$KA$52</f>
        <v>0</v>
      </c>
      <c r="N21" s="126">
        <f>[3]DHL_Amerijet!$KA$52</f>
        <v>0</v>
      </c>
      <c r="O21" s="126">
        <f>[3]DHL_Swift!$KA$52</f>
        <v>0</v>
      </c>
      <c r="P21" s="126">
        <f>+'[3]Sun Country Cargo'!$KA$52</f>
        <v>2600314</v>
      </c>
      <c r="Q21" s="126">
        <f>[3]UPS!$KA$52</f>
        <v>3526720</v>
      </c>
      <c r="R21" s="89">
        <f>'[3]Misc Cargo'!$KA$52</f>
        <v>0</v>
      </c>
      <c r="S21" s="356">
        <f>SUM(B21:E21)+SUM(G21:R21)</f>
        <v>11866385</v>
      </c>
      <c r="U21" s="330"/>
      <c r="V21" s="330"/>
      <c r="W21" s="209"/>
    </row>
    <row r="22" spans="1:23" x14ac:dyDescent="0.2">
      <c r="A22" s="36" t="s">
        <v>59</v>
      </c>
      <c r="B22" s="177">
        <f>'[3]Atlas Air'!$KA$53</f>
        <v>0</v>
      </c>
      <c r="C22" s="126">
        <f>[3]DHL!$KA$53</f>
        <v>0</v>
      </c>
      <c r="D22" s="126">
        <f>[3]Airborne!$KA$53</f>
        <v>0</v>
      </c>
      <c r="E22" s="126">
        <f>[3]DHL_Bemidji!$KA$53</f>
        <v>0</v>
      </c>
      <c r="F22" s="469"/>
      <c r="G22" s="126">
        <f>[3]DHL_Encore!$KA$53</f>
        <v>0</v>
      </c>
      <c r="H22" s="126">
        <f>[3]DHL_Mesa!$KA$53</f>
        <v>0</v>
      </c>
      <c r="I22" s="126">
        <f>[3]Encore!$KA$53</f>
        <v>0</v>
      </c>
      <c r="J22" s="126">
        <f>[3]FedEx!$KA$53</f>
        <v>0</v>
      </c>
      <c r="K22" s="126">
        <f>[3]IFL!$KA$53</f>
        <v>0</v>
      </c>
      <c r="L22" s="126">
        <f>[3]DHL_Kalitta!$KA$53</f>
        <v>0</v>
      </c>
      <c r="M22" s="89">
        <f>'[3]Mountain Cargo'!$KA$53</f>
        <v>85501</v>
      </c>
      <c r="N22" s="126">
        <f>[3]DHL_Amerijet!$KA$53</f>
        <v>0</v>
      </c>
      <c r="O22" s="126">
        <f>[3]DHL_Swift!$KA$53</f>
        <v>0</v>
      </c>
      <c r="P22" s="126">
        <f>+'[3]Sun Country Cargo'!$KA$53</f>
        <v>0</v>
      </c>
      <c r="Q22" s="126">
        <f>[3]UPS!$KA$53</f>
        <v>2570295</v>
      </c>
      <c r="R22" s="89">
        <f>'[3]Misc Cargo'!$KA$53</f>
        <v>0</v>
      </c>
      <c r="S22" s="356">
        <f>SUM(B22:E22)+SUM(G22:R22)</f>
        <v>2655796</v>
      </c>
      <c r="U22" s="330"/>
      <c r="V22" s="330"/>
      <c r="W22" s="209"/>
    </row>
    <row r="23" spans="1:23" ht="18" customHeight="1" x14ac:dyDescent="0.2">
      <c r="A23" s="160" t="s">
        <v>41</v>
      </c>
      <c r="B23" s="367">
        <f>SUM(B21:B22)</f>
        <v>0</v>
      </c>
      <c r="C23" s="215">
        <f>SUM(C21:C22)</f>
        <v>585595</v>
      </c>
      <c r="D23" s="215">
        <f t="shared" ref="D23:E23" si="11">SUM(D21:D22)</f>
        <v>49119</v>
      </c>
      <c r="E23" s="215">
        <f t="shared" si="11"/>
        <v>61234</v>
      </c>
      <c r="F23" s="469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5043403</v>
      </c>
      <c r="K23" s="215">
        <f t="shared" si="12"/>
        <v>0</v>
      </c>
      <c r="L23" s="215">
        <f t="shared" si="12"/>
        <v>0</v>
      </c>
      <c r="M23" s="216">
        <f t="shared" si="12"/>
        <v>85501</v>
      </c>
      <c r="N23" s="215">
        <f t="shared" si="12"/>
        <v>0</v>
      </c>
      <c r="O23" s="215">
        <f t="shared" si="12"/>
        <v>0</v>
      </c>
      <c r="P23" s="215">
        <f t="shared" si="12"/>
        <v>2600314</v>
      </c>
      <c r="Q23" s="215">
        <f t="shared" si="12"/>
        <v>6097015</v>
      </c>
      <c r="R23" s="216">
        <f t="shared" si="12"/>
        <v>0</v>
      </c>
      <c r="S23" s="368">
        <f>SUM(B23:D23)+SUM(G23:R23)</f>
        <v>14460947</v>
      </c>
      <c r="U23" s="330"/>
      <c r="V23" s="330"/>
      <c r="W23" s="209"/>
    </row>
    <row r="24" spans="1:23" x14ac:dyDescent="0.2">
      <c r="A24" s="36"/>
      <c r="B24" s="177"/>
      <c r="C24" s="126"/>
      <c r="D24" s="126"/>
      <c r="E24" s="126"/>
      <c r="F24" s="469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56"/>
      <c r="U24" s="330"/>
      <c r="V24" s="330"/>
      <c r="W24" s="209"/>
    </row>
    <row r="25" spans="1:23" x14ac:dyDescent="0.2">
      <c r="A25" s="159" t="s">
        <v>93</v>
      </c>
      <c r="B25" s="177"/>
      <c r="C25" s="126"/>
      <c r="D25" s="126"/>
      <c r="E25" s="126"/>
      <c r="F25" s="469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56"/>
      <c r="U25" s="330"/>
      <c r="V25" s="330"/>
      <c r="W25" s="209"/>
    </row>
    <row r="26" spans="1:23" x14ac:dyDescent="0.2">
      <c r="A26" s="36" t="s">
        <v>58</v>
      </c>
      <c r="B26" s="177">
        <f>'[3]Atlas Air'!$KA$57</f>
        <v>0</v>
      </c>
      <c r="C26" s="126">
        <f>[3]DHL!$KA$57</f>
        <v>0</v>
      </c>
      <c r="D26" s="126">
        <f>[3]Airborne!$KA$57</f>
        <v>0</v>
      </c>
      <c r="E26" s="126">
        <f>[3]DHL_Bemidji!$KA$57</f>
        <v>0</v>
      </c>
      <c r="F26" s="469"/>
      <c r="G26" s="126">
        <f>[3]DHL_Encore!$KA$57</f>
        <v>0</v>
      </c>
      <c r="H26" s="126">
        <f>[3]DHL_Mesa!$KA$57</f>
        <v>0</v>
      </c>
      <c r="I26" s="126">
        <f>[3]Encore!$KA$57</f>
        <v>0</v>
      </c>
      <c r="J26" s="126">
        <f>[3]FedEx!$KA$57</f>
        <v>0</v>
      </c>
      <c r="K26" s="126">
        <f>[3]IFL!$KA$57</f>
        <v>0</v>
      </c>
      <c r="L26" s="126">
        <f>[3]DHL_Kalitta!$KA$57</f>
        <v>0</v>
      </c>
      <c r="M26" s="89">
        <f>'[3]Mountain Cargo'!$KA$57</f>
        <v>0</v>
      </c>
      <c r="N26" s="126">
        <f>[3]DHL_Amerijet!$KA$57</f>
        <v>0</v>
      </c>
      <c r="O26" s="126">
        <f>[3]DHL_Swift!$KA$57</f>
        <v>0</v>
      </c>
      <c r="P26" s="126">
        <f>+'[3]Sun Country Cargo'!$KA$57</f>
        <v>0</v>
      </c>
      <c r="Q26" s="126">
        <f>[3]UPS!$KA$57</f>
        <v>0</v>
      </c>
      <c r="R26" s="89">
        <f>'[3]Misc Cargo'!$KA$57</f>
        <v>0</v>
      </c>
      <c r="S26" s="356">
        <f>SUM(B26:D26)+SUM(G26:R26)</f>
        <v>0</v>
      </c>
      <c r="U26" s="330"/>
      <c r="V26" s="330"/>
      <c r="W26" s="330"/>
    </row>
    <row r="27" spans="1:23" x14ac:dyDescent="0.2">
      <c r="A27" s="36" t="s">
        <v>59</v>
      </c>
      <c r="B27" s="177">
        <f>'[3]Atlas Air'!$KA$58</f>
        <v>0</v>
      </c>
      <c r="C27" s="126">
        <f>[3]DHL!$KA$58</f>
        <v>0</v>
      </c>
      <c r="D27" s="126">
        <f>[3]Airborne!$KA$58</f>
        <v>0</v>
      </c>
      <c r="E27" s="126">
        <f>[3]DHL_Bemidji!$KA$58</f>
        <v>0</v>
      </c>
      <c r="F27" s="469"/>
      <c r="G27" s="126">
        <f>[3]DHL_Encore!$KA$58</f>
        <v>0</v>
      </c>
      <c r="H27" s="126">
        <f>[3]DHL_Mesa!$KA$58</f>
        <v>0</v>
      </c>
      <c r="I27" s="126">
        <f>[3]Encore!$KA$58</f>
        <v>0</v>
      </c>
      <c r="J27" s="126">
        <f>[3]FedEx!$KA$58</f>
        <v>0</v>
      </c>
      <c r="K27" s="126">
        <f>[3]IFL!$KA$58</f>
        <v>0</v>
      </c>
      <c r="L27" s="126">
        <f>[3]DHL_Kalitta!$KA$58</f>
        <v>0</v>
      </c>
      <c r="M27" s="89">
        <f>'[3]Mountain Cargo'!$KA$58</f>
        <v>0</v>
      </c>
      <c r="N27" s="126">
        <f>[3]DHL_Amerijet!$KA$58</f>
        <v>0</v>
      </c>
      <c r="O27" s="126">
        <f>[3]DHL_Swift!$KA$58</f>
        <v>0</v>
      </c>
      <c r="P27" s="126">
        <f>+'[3]Sun Country Cargo'!$KA$58</f>
        <v>0</v>
      </c>
      <c r="Q27" s="126">
        <f>[3]UPS!$KA$58</f>
        <v>0</v>
      </c>
      <c r="R27" s="89">
        <f>'[3]Misc Cargo'!$KA$58</f>
        <v>0</v>
      </c>
      <c r="S27" s="356">
        <f>SUM(B27:D27)+SUM(G27:R27)</f>
        <v>0</v>
      </c>
      <c r="U27" s="330"/>
      <c r="V27" s="330"/>
      <c r="W27" s="209"/>
    </row>
    <row r="28" spans="1:23" ht="18" customHeight="1" x14ac:dyDescent="0.2">
      <c r="A28" s="160" t="s">
        <v>43</v>
      </c>
      <c r="B28" s="367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69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68">
        <f>SUM(B28:D28)+SUM(G28:R28)</f>
        <v>0</v>
      </c>
      <c r="U28" s="330"/>
      <c r="V28" s="330"/>
      <c r="W28" s="330"/>
    </row>
    <row r="29" spans="1:23" x14ac:dyDescent="0.2">
      <c r="A29" s="36"/>
      <c r="B29" s="177"/>
      <c r="C29" s="126"/>
      <c r="D29" s="126"/>
      <c r="E29" s="126"/>
      <c r="F29" s="469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56"/>
      <c r="U29" s="330"/>
      <c r="V29" s="330"/>
      <c r="W29" s="330"/>
    </row>
    <row r="30" spans="1:23" x14ac:dyDescent="0.2">
      <c r="A30" s="161" t="s">
        <v>44</v>
      </c>
      <c r="B30" s="177"/>
      <c r="C30" s="126"/>
      <c r="D30" s="126"/>
      <c r="E30" s="126"/>
      <c r="F30" s="469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56"/>
      <c r="U30" s="330"/>
      <c r="V30" s="330"/>
      <c r="W30" s="330"/>
    </row>
    <row r="31" spans="1:23" x14ac:dyDescent="0.2">
      <c r="A31" s="36" t="s">
        <v>87</v>
      </c>
      <c r="B31" s="177">
        <f>B26+B21+B16</f>
        <v>0</v>
      </c>
      <c r="C31" s="126">
        <f t="shared" ref="C31:R33" si="17">C26+C21+C16</f>
        <v>1279524</v>
      </c>
      <c r="D31" s="126">
        <f t="shared" si="17"/>
        <v>88180</v>
      </c>
      <c r="E31" s="126">
        <f t="shared" si="17"/>
        <v>168128</v>
      </c>
      <c r="F31" s="469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10530661</v>
      </c>
      <c r="K31" s="126">
        <f t="shared" si="18"/>
        <v>66393</v>
      </c>
      <c r="L31" s="126">
        <f t="shared" si="18"/>
        <v>98156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4697167</v>
      </c>
      <c r="Q31" s="126">
        <f t="shared" si="17"/>
        <v>8308691</v>
      </c>
      <c r="R31" s="89">
        <f>R26+R21+R16</f>
        <v>0</v>
      </c>
      <c r="S31" s="356">
        <f>SUM(B31:E31)+SUM(G31:R31)</f>
        <v>25236900</v>
      </c>
    </row>
    <row r="32" spans="1:23" x14ac:dyDescent="0.2">
      <c r="A32" s="36" t="s">
        <v>59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0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141797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5603328</v>
      </c>
      <c r="R32" s="89">
        <f>R27+R22+R17</f>
        <v>0</v>
      </c>
      <c r="S32" s="356">
        <f>SUM(B32:E32)+SUM(G32:R32)</f>
        <v>5745125</v>
      </c>
    </row>
    <row r="33" spans="1:19" ht="18" customHeight="1" thickBot="1" x14ac:dyDescent="0.25">
      <c r="A33" s="154" t="s">
        <v>46</v>
      </c>
      <c r="B33" s="361">
        <f>B28+B23+B18</f>
        <v>0</v>
      </c>
      <c r="C33" s="155">
        <f t="shared" ref="C33:I33" si="21">C28+C23+C18</f>
        <v>1279524</v>
      </c>
      <c r="D33" s="155">
        <f t="shared" si="21"/>
        <v>88180</v>
      </c>
      <c r="E33" s="155">
        <f t="shared" si="21"/>
        <v>168128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10530661</v>
      </c>
      <c r="K33" s="155">
        <f t="shared" si="18"/>
        <v>66393</v>
      </c>
      <c r="L33" s="155">
        <f t="shared" si="18"/>
        <v>98156</v>
      </c>
      <c r="M33" s="156">
        <f>M28+M23+M18</f>
        <v>141797</v>
      </c>
      <c r="N33" s="155">
        <f t="shared" si="18"/>
        <v>0</v>
      </c>
      <c r="O33" s="155">
        <f t="shared" si="18"/>
        <v>0</v>
      </c>
      <c r="P33" s="155">
        <f t="shared" si="17"/>
        <v>4697167</v>
      </c>
      <c r="Q33" s="155">
        <f t="shared" si="17"/>
        <v>13912019</v>
      </c>
      <c r="R33" s="156">
        <f t="shared" si="17"/>
        <v>0</v>
      </c>
      <c r="S33" s="362">
        <f>SUM(B33:E33)+SUM(G33:R33)</f>
        <v>30982025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89</v>
      </c>
    </row>
    <row r="37" spans="1:19" x14ac:dyDescent="0.2">
      <c r="A37" t="s">
        <v>90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6" orientation="landscape" r:id="rId1"/>
  <headerFooter alignWithMargins="0">
    <oddHeader>&amp;L
Schedule 7
&amp;CMinneapolis-St. Paul International Airport
&amp;"Arial,Bold"Cargo
June 2026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E27" sqref="E27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71093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28515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46174</v>
      </c>
      <c r="B2" s="55" t="s">
        <v>198</v>
      </c>
      <c r="C2" s="55" t="s">
        <v>62</v>
      </c>
      <c r="D2" s="55" t="s">
        <v>63</v>
      </c>
      <c r="E2" s="227" t="s">
        <v>73</v>
      </c>
      <c r="F2" s="56" t="s">
        <v>233</v>
      </c>
      <c r="G2" s="56" t="s">
        <v>219</v>
      </c>
      <c r="H2" s="57" t="s">
        <v>64</v>
      </c>
      <c r="I2" s="58" t="s">
        <v>227</v>
      </c>
      <c r="J2" s="58" t="s">
        <v>217</v>
      </c>
      <c r="K2" s="67" t="s">
        <v>2</v>
      </c>
      <c r="M2" s="389"/>
    </row>
    <row r="3" spans="1:18" ht="20.25" customHeight="1" x14ac:dyDescent="0.2">
      <c r="A3" s="64" t="s">
        <v>65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66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67</v>
      </c>
      <c r="B5" s="133">
        <f>'Major Airline Stats'!J28</f>
        <v>6337978.7999999998</v>
      </c>
      <c r="C5" s="89">
        <f>'Regional Major'!K25</f>
        <v>12475.2</v>
      </c>
      <c r="D5" s="89">
        <f>Cargo!S16</f>
        <v>13370515</v>
      </c>
      <c r="E5" s="89">
        <f>SUM(B5:D5)</f>
        <v>19720969</v>
      </c>
      <c r="F5" s="89">
        <f>E5*0.00045359237</f>
        <v>8945.2810674065295</v>
      </c>
      <c r="G5" s="89">
        <f>'[1]Cargo Summary'!F5</f>
        <v>8598.9397514675275</v>
      </c>
      <c r="H5" s="73">
        <f>(F5-G5)/G5</f>
        <v>4.0277211603895018E-2</v>
      </c>
      <c r="I5" s="89">
        <f>'[2]Cargo Summary'!$I$5+F5</f>
        <v>48132.260831567735</v>
      </c>
      <c r="J5" s="89">
        <f>+'[1]Cargo Summary'!I5</f>
        <v>48458.844766098999</v>
      </c>
      <c r="K5" s="63">
        <f>(I5-J5)/J5</f>
        <v>-6.7394081742480176E-3</v>
      </c>
      <c r="M5" s="12"/>
      <c r="O5" s="388"/>
    </row>
    <row r="6" spans="1:18" x14ac:dyDescent="0.2">
      <c r="A6" s="43" t="s">
        <v>16</v>
      </c>
      <c r="B6" s="133">
        <f>'Major Airline Stats'!J29</f>
        <v>165000</v>
      </c>
      <c r="C6" s="89">
        <f>'Regional Major'!K26</f>
        <v>0</v>
      </c>
      <c r="D6" s="89">
        <f>Cargo!S17</f>
        <v>3089329</v>
      </c>
      <c r="E6" s="89">
        <f>SUM(B6:D6)</f>
        <v>3254329</v>
      </c>
      <c r="F6" s="89">
        <f>E6*0.00045359237</f>
        <v>1476.1388038697301</v>
      </c>
      <c r="G6" s="89">
        <f>'[1]Cargo Summary'!F6</f>
        <v>1178.50827359342</v>
      </c>
      <c r="H6" s="3">
        <f>(F6-G6)/G6</f>
        <v>0.25254852846199982</v>
      </c>
      <c r="I6" s="89">
        <f>'[2]Cargo Summary'!$I$6+F6</f>
        <v>9341.5017136718197</v>
      </c>
      <c r="J6" s="89">
        <f>+'[1]Cargo Summary'!I6</f>
        <v>6741.83275300689</v>
      </c>
      <c r="K6" s="63">
        <f>(I6-J6)/J6</f>
        <v>0.38560270714301903</v>
      </c>
      <c r="M6" s="12"/>
    </row>
    <row r="7" spans="1:18" ht="18" customHeight="1" thickBot="1" x14ac:dyDescent="0.25">
      <c r="A7" s="52" t="s">
        <v>70</v>
      </c>
      <c r="B7" s="135">
        <f>SUM(B5:B6)</f>
        <v>6502978.7999999998</v>
      </c>
      <c r="C7" s="99">
        <f t="shared" ref="C7:J7" si="0">SUM(C5:C6)</f>
        <v>12475.2</v>
      </c>
      <c r="D7" s="99">
        <f t="shared" si="0"/>
        <v>16459844</v>
      </c>
      <c r="E7" s="99">
        <f t="shared" si="0"/>
        <v>22975298</v>
      </c>
      <c r="F7" s="99">
        <f t="shared" si="0"/>
        <v>10421.419871276259</v>
      </c>
      <c r="G7" s="99">
        <f t="shared" si="0"/>
        <v>9777.4480250609467</v>
      </c>
      <c r="H7" s="27">
        <f>(F7-G7)/G7</f>
        <v>6.58629782091118E-2</v>
      </c>
      <c r="I7" s="99">
        <f t="shared" si="0"/>
        <v>57473.762545239559</v>
      </c>
      <c r="J7" s="99">
        <f t="shared" si="0"/>
        <v>55200.677519105891</v>
      </c>
      <c r="K7" s="229">
        <f>(I7-J7)/J7</f>
        <v>4.1178571138858103E-2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68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67</v>
      </c>
      <c r="B10" s="133">
        <f>'Major Airline Stats'!J33</f>
        <v>3199863</v>
      </c>
      <c r="C10" s="89">
        <f>'Regional Major'!K30</f>
        <v>9693.1</v>
      </c>
      <c r="D10" s="89">
        <f>Cargo!S21</f>
        <v>11866385</v>
      </c>
      <c r="E10" s="89">
        <f>SUM(B10:D10)</f>
        <v>15075941.1</v>
      </c>
      <c r="F10" s="89">
        <f>E10*0.00045359237</f>
        <v>6838.3318535294065</v>
      </c>
      <c r="G10" s="89">
        <f>'[1]Cargo Summary'!F10</f>
        <v>6383.3206465960466</v>
      </c>
      <c r="H10" s="3">
        <f>(F10-G10)/G10</f>
        <v>7.1281270693490564E-2</v>
      </c>
      <c r="I10" s="89">
        <f>'[2]Cargo Summary'!$I$10+F10</f>
        <v>38315.686839484071</v>
      </c>
      <c r="J10" s="89">
        <f>+'[1]Cargo Summary'!I10</f>
        <v>37677.220979590267</v>
      </c>
      <c r="K10" s="63">
        <f>(I10-J10)/J10</f>
        <v>1.6945672830797703E-2</v>
      </c>
      <c r="M10" s="12"/>
      <c r="O10" s="388"/>
    </row>
    <row r="11" spans="1:18" x14ac:dyDescent="0.2">
      <c r="A11" s="43" t="s">
        <v>16</v>
      </c>
      <c r="B11" s="133">
        <f>'Major Airline Stats'!J34</f>
        <v>12053</v>
      </c>
      <c r="C11" s="89">
        <f>'Regional Major'!K31</f>
        <v>0</v>
      </c>
      <c r="D11" s="89">
        <f>Cargo!S22</f>
        <v>2655796</v>
      </c>
      <c r="E11" s="89">
        <f>SUM(B11:D11)</f>
        <v>2667849</v>
      </c>
      <c r="F11" s="89">
        <f>E11*0.00045359237</f>
        <v>1210.1159507121299</v>
      </c>
      <c r="G11" s="89">
        <f>'[1]Cargo Summary'!F11</f>
        <v>1394.3991908338799</v>
      </c>
      <c r="H11" s="24">
        <f>(F11-G11)/G11</f>
        <v>-0.13215960058865547</v>
      </c>
      <c r="I11" s="89">
        <f>'[2]Cargo Summary'!$I$11+F11</f>
        <v>8183.9280887310106</v>
      </c>
      <c r="J11" s="89">
        <f>+'[1]Cargo Summary'!I11</f>
        <v>6056.0704891994992</v>
      </c>
      <c r="K11" s="63">
        <f>(I11-J11)/J11</f>
        <v>0.35135945054245477</v>
      </c>
      <c r="M11" s="12"/>
    </row>
    <row r="12" spans="1:18" ht="18" customHeight="1" thickBot="1" x14ac:dyDescent="0.25">
      <c r="A12" s="52" t="s">
        <v>71</v>
      </c>
      <c r="B12" s="135">
        <f>SUM(B10:B11)</f>
        <v>3211916</v>
      </c>
      <c r="C12" s="99">
        <f t="shared" ref="C12:J12" si="1">SUM(C10:C11)</f>
        <v>9693.1</v>
      </c>
      <c r="D12" s="99">
        <f t="shared" si="1"/>
        <v>14522181</v>
      </c>
      <c r="E12" s="99">
        <f t="shared" si="1"/>
        <v>17743790.100000001</v>
      </c>
      <c r="F12" s="99">
        <f t="shared" si="1"/>
        <v>8048.4478042415367</v>
      </c>
      <c r="G12" s="99">
        <f t="shared" si="1"/>
        <v>7777.719837429926</v>
      </c>
      <c r="H12" s="27">
        <f>(F12-G12)/G12</f>
        <v>3.4808140749522064E-2</v>
      </c>
      <c r="I12" s="99">
        <f>SUM(I10:I11)</f>
        <v>46499.61492821508</v>
      </c>
      <c r="J12" s="99">
        <f t="shared" si="1"/>
        <v>43733.291468789765</v>
      </c>
      <c r="K12" s="229">
        <f>(I12-J12)/J12</f>
        <v>6.3254407946849833E-2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69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67</v>
      </c>
      <c r="B15" s="133">
        <f>'Major Airline Stats'!J38</f>
        <v>0</v>
      </c>
      <c r="C15" s="89">
        <f>'Regional Major'!K35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s="422">
        <v>0</v>
      </c>
      <c r="I15" s="89">
        <f>+'[2]Cargo Summary'!$I$15+F15</f>
        <v>0</v>
      </c>
      <c r="J15" s="89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3">
        <f>'Major Airline Stats'!J39</f>
        <v>0</v>
      </c>
      <c r="C16" s="89">
        <f>'Regional Major'!K36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>
        <v>0</v>
      </c>
      <c r="I16" s="89">
        <f>'[2]Cargo Summary'!$I$16+F16</f>
        <v>0</v>
      </c>
      <c r="J16" s="89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72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/>
      <c r="I17" s="99">
        <f>SUM(I15:I16)</f>
        <v>0</v>
      </c>
      <c r="J17" s="99">
        <f t="shared" si="2"/>
        <v>0</v>
      </c>
      <c r="K17" s="229"/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67</v>
      </c>
      <c r="B20" s="133">
        <f t="shared" ref="B20:D21" si="3">B15+B10+B5</f>
        <v>9537841.8000000007</v>
      </c>
      <c r="C20" s="89">
        <f>C15+C10+C5</f>
        <v>22168.300000000003</v>
      </c>
      <c r="D20" s="89">
        <f t="shared" si="3"/>
        <v>25236900</v>
      </c>
      <c r="E20" s="89">
        <f>SUM(B20:D20)</f>
        <v>34796910.100000001</v>
      </c>
      <c r="F20" s="89">
        <f>E20*0.00045359237</f>
        <v>15783.612920935937</v>
      </c>
      <c r="G20" s="89">
        <f>'[1]Cargo Summary'!F20</f>
        <v>14982.260398063574</v>
      </c>
      <c r="H20" s="3">
        <f>(F20-G20)/G20</f>
        <v>5.3486757110157823E-2</v>
      </c>
      <c r="I20" s="89">
        <f>'[2]Cargo Summary'!$I$20+F20</f>
        <v>86447.947671051792</v>
      </c>
      <c r="J20" s="89">
        <f>+'[1]Cargo Summary'!I20</f>
        <v>86136.065745689266</v>
      </c>
      <c r="K20" s="63">
        <f>(I20-J20)/J20</f>
        <v>3.6208053230958534E-3</v>
      </c>
      <c r="M20" s="12"/>
    </row>
    <row r="21" spans="1:13" x14ac:dyDescent="0.2">
      <c r="A21" s="43" t="s">
        <v>16</v>
      </c>
      <c r="B21" s="133">
        <f t="shared" si="3"/>
        <v>177053</v>
      </c>
      <c r="C21" s="90">
        <f t="shared" si="3"/>
        <v>0</v>
      </c>
      <c r="D21" s="90">
        <f t="shared" si="3"/>
        <v>5745125</v>
      </c>
      <c r="E21" s="89">
        <f>SUM(B21:D21)</f>
        <v>5922178</v>
      </c>
      <c r="F21" s="89">
        <f>E21*0.00045359237</f>
        <v>2686.2547545818597</v>
      </c>
      <c r="G21" s="89">
        <f>'[1]Cargo Summary'!F21</f>
        <v>2572.9074644273001</v>
      </c>
      <c r="H21" s="3">
        <f>(F21-G21)/G21</f>
        <v>4.4054165072660127E-2</v>
      </c>
      <c r="I21" s="89">
        <f>'[2]Cargo Summary'!$I$21+F21</f>
        <v>17525.429802402828</v>
      </c>
      <c r="J21" s="89">
        <f>+'[1]Cargo Summary'!I21</f>
        <v>12797.90324220639</v>
      </c>
      <c r="K21" s="63">
        <f>(I21-J21)/J21</f>
        <v>0.3693985233929149</v>
      </c>
      <c r="M21" s="12"/>
    </row>
    <row r="22" spans="1:13" ht="18" customHeight="1" thickBot="1" x14ac:dyDescent="0.25">
      <c r="A22" s="65" t="s">
        <v>61</v>
      </c>
      <c r="B22" s="136">
        <f>SUM(B20:B21)</f>
        <v>9714894.8000000007</v>
      </c>
      <c r="C22" s="137">
        <f t="shared" ref="C22:J22" si="4">SUM(C20:C21)</f>
        <v>22168.300000000003</v>
      </c>
      <c r="D22" s="137">
        <f t="shared" si="4"/>
        <v>30982025</v>
      </c>
      <c r="E22" s="137">
        <f t="shared" si="4"/>
        <v>40719088.100000001</v>
      </c>
      <c r="F22" s="137">
        <f t="shared" si="4"/>
        <v>18469.867675517795</v>
      </c>
      <c r="G22" s="137">
        <f t="shared" si="4"/>
        <v>17555.167862490875</v>
      </c>
      <c r="H22" s="235">
        <f>(F22-G22)/G22</f>
        <v>5.2104304566708656E-2</v>
      </c>
      <c r="I22" s="137">
        <f>SUM(I20:I21)</f>
        <v>103973.37747345462</v>
      </c>
      <c r="J22" s="137">
        <f t="shared" si="4"/>
        <v>98933.968987895656</v>
      </c>
      <c r="K22" s="236">
        <f>(I22-J22)/J22</f>
        <v>5.0937090031994176E-2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8
&amp;CMinneapolis-St. Paul International Airport
&amp;"Arial,Bold"Cargo Summary
June 2026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J13" sqref="J13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28515625" bestFit="1" customWidth="1"/>
    <col min="5" max="5" width="10.7109375" bestFit="1" customWidth="1"/>
    <col min="6" max="7" width="8.7109375" bestFit="1" customWidth="1"/>
    <col min="8" max="8" width="10.7109375" bestFit="1" customWidth="1"/>
    <col min="9" max="9" width="9.71093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7109375" bestFit="1" customWidth="1"/>
    <col min="15" max="15" width="14.42578125" bestFit="1" customWidth="1"/>
    <col min="16" max="16" width="14" bestFit="1" customWidth="1"/>
    <col min="17" max="17" width="10.71093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0" t="s">
        <v>174</v>
      </c>
      <c r="B2" s="481"/>
      <c r="C2" s="326" t="s">
        <v>229</v>
      </c>
      <c r="D2" s="327" t="s">
        <v>220</v>
      </c>
      <c r="E2" s="382" t="s">
        <v>94</v>
      </c>
      <c r="F2" s="329" t="s">
        <v>230</v>
      </c>
      <c r="G2" s="327" t="s">
        <v>221</v>
      </c>
      <c r="H2" s="383" t="s">
        <v>95</v>
      </c>
      <c r="I2" s="328" t="s">
        <v>134</v>
      </c>
      <c r="J2" s="480" t="s">
        <v>170</v>
      </c>
      <c r="K2" s="481"/>
      <c r="L2" s="326" t="s">
        <v>231</v>
      </c>
      <c r="M2" s="327" t="s">
        <v>224</v>
      </c>
      <c r="N2" s="382" t="s">
        <v>94</v>
      </c>
      <c r="O2" s="329" t="s">
        <v>232</v>
      </c>
      <c r="P2" s="327" t="s">
        <v>225</v>
      </c>
      <c r="Q2" s="383" t="s">
        <v>95</v>
      </c>
      <c r="R2" s="328" t="s">
        <v>134</v>
      </c>
      <c r="T2" s="380"/>
    </row>
    <row r="3" spans="1:20" s="9" customFormat="1" ht="13.5" customHeight="1" thickBot="1" x14ac:dyDescent="0.25">
      <c r="A3" s="482">
        <v>46174</v>
      </c>
      <c r="B3" s="483"/>
      <c r="C3" s="484" t="s">
        <v>9</v>
      </c>
      <c r="D3" s="485"/>
      <c r="E3" s="485"/>
      <c r="F3" s="485"/>
      <c r="G3" s="485"/>
      <c r="H3" s="486"/>
      <c r="I3" s="353"/>
      <c r="J3" s="482">
        <f>+A3</f>
        <v>46174</v>
      </c>
      <c r="K3" s="483"/>
      <c r="L3" s="477" t="s">
        <v>171</v>
      </c>
      <c r="M3" s="478"/>
      <c r="N3" s="478"/>
      <c r="O3" s="478"/>
      <c r="P3" s="478"/>
      <c r="Q3" s="478"/>
      <c r="R3" s="479"/>
      <c r="T3" s="380"/>
    </row>
    <row r="4" spans="1:20" x14ac:dyDescent="0.2">
      <c r="A4" s="241"/>
      <c r="B4" s="242"/>
      <c r="C4" s="243"/>
      <c r="D4" s="244"/>
      <c r="E4" s="245"/>
      <c r="F4" s="369"/>
      <c r="G4" s="244"/>
      <c r="H4" s="338"/>
      <c r="I4" s="245"/>
      <c r="J4" s="246"/>
      <c r="K4" s="242"/>
      <c r="L4" s="253"/>
      <c r="M4" s="2"/>
      <c r="N4" s="63"/>
      <c r="O4" s="36"/>
      <c r="R4" s="37"/>
      <c r="T4" s="379"/>
    </row>
    <row r="5" spans="1:20" ht="14.1" customHeight="1" x14ac:dyDescent="0.2">
      <c r="A5" s="248" t="s">
        <v>188</v>
      </c>
      <c r="B5" s="37"/>
      <c r="C5" s="370">
        <f>SUM(C6:C7)</f>
        <v>160</v>
      </c>
      <c r="D5" s="370">
        <f>SUM(D6:D7)</f>
        <v>226</v>
      </c>
      <c r="E5" s="371">
        <f>(C5-D5)/D5</f>
        <v>-0.29203539823008851</v>
      </c>
      <c r="F5" s="370">
        <f>SUM(F6:F7)</f>
        <v>924</v>
      </c>
      <c r="G5" s="370">
        <f>SUM(G6:G7)</f>
        <v>1172</v>
      </c>
      <c r="H5" s="372">
        <f>(F5-G5)/G5</f>
        <v>-0.21160409556313994</v>
      </c>
      <c r="I5" s="371">
        <f>+F5/$F$34</f>
        <v>0.15986159169550174</v>
      </c>
      <c r="J5" s="248" t="s">
        <v>188</v>
      </c>
      <c r="K5" s="37"/>
      <c r="L5" s="370">
        <f>SUM(L6:L7)</f>
        <v>4697167</v>
      </c>
      <c r="M5" s="370">
        <f>SUM(M6:M7)</f>
        <v>5632748</v>
      </c>
      <c r="N5" s="371">
        <f>(L5-M5)/M5</f>
        <v>-0.16609672578996965</v>
      </c>
      <c r="O5" s="370">
        <f>SUM(O6:O7)</f>
        <v>26859861</v>
      </c>
      <c r="P5" s="370">
        <f>SUM(P6:P7)</f>
        <v>29411171</v>
      </c>
      <c r="Q5" s="372">
        <f>(O5-P5)/P5</f>
        <v>-8.674629106063135E-2</v>
      </c>
      <c r="R5" s="371">
        <f>O5/$O$34</f>
        <v>0.15021892956333843</v>
      </c>
      <c r="T5" s="379"/>
    </row>
    <row r="6" spans="1:20" ht="14.1" customHeight="1" x14ac:dyDescent="0.2">
      <c r="A6" s="36"/>
      <c r="B6" s="308" t="s">
        <v>189</v>
      </c>
      <c r="C6" s="312">
        <f>+'[3]Atlas Air'!$KA$19</f>
        <v>0</v>
      </c>
      <c r="D6" s="209">
        <f>+'[3]Atlas Air'!$JM$19</f>
        <v>0</v>
      </c>
      <c r="E6" s="314">
        <f>IFERROR((C6-D6)/D6,0)</f>
        <v>0</v>
      </c>
      <c r="F6" s="312">
        <f>+SUM('[3]Atlas Air'!$JV$19:$KA$19)</f>
        <v>10</v>
      </c>
      <c r="G6" s="209">
        <f>+SUM('[3]Atlas Air'!$JH$19:$JM$19)</f>
        <v>8</v>
      </c>
      <c r="H6" s="313">
        <f>IFERROR((F6-G6)/G6,0)</f>
        <v>0.25</v>
      </c>
      <c r="I6" s="314">
        <f>+F6/$F$34</f>
        <v>1.7301038062283738E-3</v>
      </c>
      <c r="J6" s="36"/>
      <c r="K6" s="308" t="s">
        <v>189</v>
      </c>
      <c r="L6" s="312">
        <f>+'[3]Atlas Air'!$KA$64</f>
        <v>0</v>
      </c>
      <c r="M6" s="209">
        <f>+'[3]Atlas Air'!$JM$64</f>
        <v>0</v>
      </c>
      <c r="N6" s="314">
        <f>IFERROR((L6-M6)/M6,0)</f>
        <v>0</v>
      </c>
      <c r="O6" s="209">
        <f>+SUM('[3]Atlas Air'!$JV$64:$KA$64)</f>
        <v>151018</v>
      </c>
      <c r="P6" s="209">
        <f>+SUM('[3]Atlas Air'!$JH$64:$JM$64)</f>
        <v>108656</v>
      </c>
      <c r="Q6" s="313">
        <f>IFERROR((O6-P6)/P6,0)</f>
        <v>0.3898726255337947</v>
      </c>
      <c r="R6" s="314">
        <f>O6/$O$34</f>
        <v>8.4459715948627747E-4</v>
      </c>
      <c r="T6" s="379"/>
    </row>
    <row r="7" spans="1:20" ht="14.1" customHeight="1" x14ac:dyDescent="0.2">
      <c r="A7" s="36"/>
      <c r="B7" s="308" t="s">
        <v>49</v>
      </c>
      <c r="C7" s="312">
        <f>+'[3]Sun Country Cargo'!$KA$19</f>
        <v>160</v>
      </c>
      <c r="D7" s="209">
        <f>+'[3]Sun Country Cargo'!$JM$19</f>
        <v>226</v>
      </c>
      <c r="E7" s="314">
        <f>(C7-D7)/D7</f>
        <v>-0.29203539823008851</v>
      </c>
      <c r="F7" s="312">
        <f>+SUM('[3]Sun Country Cargo'!$JV$19:$KA$19)</f>
        <v>914</v>
      </c>
      <c r="G7" s="209">
        <f>+SUM('[3]Sun Country Cargo'!$JH$19:$JM$19)</f>
        <v>1164</v>
      </c>
      <c r="H7" s="313">
        <f>(F7-G7)/G7</f>
        <v>-0.21477663230240548</v>
      </c>
      <c r="I7" s="314">
        <f>+F7/$F$34</f>
        <v>0.15813148788927336</v>
      </c>
      <c r="J7" s="36"/>
      <c r="K7" s="308" t="s">
        <v>49</v>
      </c>
      <c r="L7" s="312">
        <f>+'[3]Sun Country Cargo'!$KA$64</f>
        <v>4697167</v>
      </c>
      <c r="M7" s="209">
        <f>+'[3]Sun Country Cargo'!$JM$64</f>
        <v>5632748</v>
      </c>
      <c r="N7" s="314">
        <f>(L7-M7)/M7</f>
        <v>-0.16609672578996965</v>
      </c>
      <c r="O7" s="209">
        <f>+SUM('[3]Sun Country Cargo'!$JV$64:$KA$64)</f>
        <v>26708843</v>
      </c>
      <c r="P7" s="209">
        <f>+SUM('[3]Sun Country Cargo'!$JH$64:$JM$64)</f>
        <v>29302515</v>
      </c>
      <c r="Q7" s="313">
        <f>(O7-P7)/P7</f>
        <v>-8.8513630997202802E-2</v>
      </c>
      <c r="R7" s="314">
        <f>O7/$O$34</f>
        <v>0.14937433240385217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8" t="s">
        <v>190</v>
      </c>
      <c r="B9" s="37"/>
      <c r="C9" s="370">
        <f>SUM(C10:C18)</f>
        <v>136</v>
      </c>
      <c r="D9" s="370">
        <f>SUM(D10:D18)</f>
        <v>120</v>
      </c>
      <c r="E9" s="371">
        <f>(C9-D9)/D9</f>
        <v>0.13333333333333333</v>
      </c>
      <c r="F9" s="370">
        <f>SUM(F10:F18)</f>
        <v>736</v>
      </c>
      <c r="G9" s="370">
        <f>SUM(G10:G18)</f>
        <v>730</v>
      </c>
      <c r="H9" s="372">
        <f>(F9-G9)/G9</f>
        <v>8.21917808219178E-3</v>
      </c>
      <c r="I9" s="371">
        <f t="shared" ref="I9:I18" si="0">+F9/$F$34</f>
        <v>0.12733564013840831</v>
      </c>
      <c r="J9" s="248" t="s">
        <v>190</v>
      </c>
      <c r="K9" s="37"/>
      <c r="L9" s="370">
        <f>SUM(L10:L18)</f>
        <v>1633988</v>
      </c>
      <c r="M9" s="370">
        <f>SUM(M10:M18)</f>
        <v>1212697</v>
      </c>
      <c r="N9" s="371">
        <f t="shared" ref="N9:N18" si="1">(L9-M9)/M9</f>
        <v>0.34740005129063567</v>
      </c>
      <c r="O9" s="370">
        <f>SUM(O10:O18)</f>
        <v>9272439</v>
      </c>
      <c r="P9" s="370">
        <f>SUM(P10:P18)</f>
        <v>7196472</v>
      </c>
      <c r="Q9" s="372">
        <f t="shared" ref="Q9:Q18" si="2">(O9-P9)/P9</f>
        <v>0.28847010034917109</v>
      </c>
      <c r="R9" s="371">
        <f t="shared" ref="R9:R18" si="3">O9/$O$34</f>
        <v>5.1857895356247463E-2</v>
      </c>
      <c r="T9" s="379"/>
    </row>
    <row r="10" spans="1:20" ht="14.1" customHeight="1" x14ac:dyDescent="0.2">
      <c r="A10" s="248"/>
      <c r="B10" s="308" t="s">
        <v>191</v>
      </c>
      <c r="C10" s="312">
        <f>+[3]Airborne!$KA$19</f>
        <v>2</v>
      </c>
      <c r="D10" s="209">
        <f>+[3]Airborne!$JM$19</f>
        <v>4</v>
      </c>
      <c r="E10" s="314">
        <f>(C10-D10)/D10</f>
        <v>-0.5</v>
      </c>
      <c r="F10" s="312">
        <f>+SUM([3]Airborne!$JV$19:$KA$19)</f>
        <v>88</v>
      </c>
      <c r="G10" s="209">
        <f>+SUM([3]Airborne!$JH$19:$JM$19)</f>
        <v>38</v>
      </c>
      <c r="H10" s="313">
        <f>(F10-G10)/G10</f>
        <v>1.3157894736842106</v>
      </c>
      <c r="I10" s="314">
        <f t="shared" si="0"/>
        <v>1.5224913494809689E-2</v>
      </c>
      <c r="J10" s="248"/>
      <c r="K10" s="308" t="s">
        <v>191</v>
      </c>
      <c r="L10" s="312">
        <f>+[3]Airborne!$KA$64</f>
        <v>88180</v>
      </c>
      <c r="M10" s="209">
        <f>+[3]Airborne!$JM$64</f>
        <v>222378</v>
      </c>
      <c r="N10" s="314">
        <f t="shared" si="1"/>
        <v>-0.60346796895376342</v>
      </c>
      <c r="O10" s="312">
        <f>+SUM([3]Airborne!$JV$64:$KA$64)</f>
        <v>3073672</v>
      </c>
      <c r="P10" s="209">
        <f>+SUM([3]Airborne!$JH$64:$JM$64)</f>
        <v>1338311</v>
      </c>
      <c r="Q10" s="313">
        <f t="shared" si="2"/>
        <v>1.296679919689818</v>
      </c>
      <c r="R10" s="314">
        <f t="shared" si="3"/>
        <v>1.719010078528722E-2</v>
      </c>
      <c r="T10" s="379"/>
    </row>
    <row r="11" spans="1:20" ht="14.1" customHeight="1" x14ac:dyDescent="0.2">
      <c r="A11" s="248"/>
      <c r="B11" s="37" t="s">
        <v>189</v>
      </c>
      <c r="C11" s="312">
        <f>+[3]DHL_Atlas!$KA$19</f>
        <v>0</v>
      </c>
      <c r="D11" s="209">
        <f>+[3]DHL_Atlas!$JM$19</f>
        <v>0</v>
      </c>
      <c r="E11" s="314">
        <f>IFERROR((C11-D11)/D11,0)</f>
        <v>0</v>
      </c>
      <c r="F11" s="312">
        <f>+SUM([3]DHL_Atlas!$JV$19:$KA$19)</f>
        <v>0</v>
      </c>
      <c r="G11" s="209">
        <f>+SUM([3]DHL_Atlas!$JH$19:$JM$19)</f>
        <v>0</v>
      </c>
      <c r="H11" s="313">
        <f>IFERROR((F11-G11)/G11,0)</f>
        <v>0</v>
      </c>
      <c r="I11" s="314">
        <f t="shared" si="0"/>
        <v>0</v>
      </c>
      <c r="J11" s="248"/>
      <c r="K11" s="37" t="s">
        <v>189</v>
      </c>
      <c r="L11" s="312">
        <f>+[3]DHL_Atlas!$KA$64</f>
        <v>0</v>
      </c>
      <c r="M11" s="209">
        <f>+[3]DHL_Atlas!$JM$64</f>
        <v>0</v>
      </c>
      <c r="N11" s="314">
        <f>IFERROR((L11-M11)/M11,0)</f>
        <v>0</v>
      </c>
      <c r="O11" s="312">
        <f>+SUM([3]DHL_Atlas!$JV$64:$KA$64)</f>
        <v>0</v>
      </c>
      <c r="P11" s="209">
        <f>+SUM([3]DHL_Atlas!$JH$64:$JM$64)</f>
        <v>0</v>
      </c>
      <c r="Q11" s="313">
        <f>IFERROR((O11-P11)/P11,0)</f>
        <v>0</v>
      </c>
      <c r="R11" s="314">
        <f t="shared" si="3"/>
        <v>0</v>
      </c>
      <c r="T11" s="379"/>
    </row>
    <row r="12" spans="1:20" ht="14.1" customHeight="1" x14ac:dyDescent="0.2">
      <c r="A12" s="248"/>
      <c r="B12" s="37" t="s">
        <v>215</v>
      </c>
      <c r="C12" s="312">
        <f>+[3]DHL!$KA$19</f>
        <v>40</v>
      </c>
      <c r="D12" s="209">
        <f>+[3]DHL!$JM$19</f>
        <v>0</v>
      </c>
      <c r="E12" s="314">
        <f>IFERROR((C12-D12)/D12,0)</f>
        <v>0</v>
      </c>
      <c r="F12" s="312">
        <f>+SUM([3]DHL!$JV$19:$KA$19)</f>
        <v>142</v>
      </c>
      <c r="G12" s="209">
        <f>+SUM([3]DHL!$JH$19:$JM$19)</f>
        <v>12</v>
      </c>
      <c r="H12" s="313">
        <f>IFERROR((F12-G12)/G12,0)</f>
        <v>10.833333333333334</v>
      </c>
      <c r="I12" s="314">
        <f t="shared" si="0"/>
        <v>2.4567474048442908E-2</v>
      </c>
      <c r="J12" s="248"/>
      <c r="K12" s="37" t="s">
        <v>215</v>
      </c>
      <c r="L12" s="312">
        <f>+[3]DHL!$KA$64</f>
        <v>1279524</v>
      </c>
      <c r="M12" s="209">
        <f>+[3]DHL!$JM$64</f>
        <v>0</v>
      </c>
      <c r="N12" s="314">
        <f>IFERROR((L12-M12)/M12,0)</f>
        <v>0</v>
      </c>
      <c r="O12" s="312">
        <f>+SUM([3]DHL!$JV$64:$KA$64)</f>
        <v>4563860</v>
      </c>
      <c r="P12" s="209">
        <f>+SUM([3]DHL!$JH$64:$JM$64)</f>
        <v>336675</v>
      </c>
      <c r="Q12" s="313">
        <f>IFERROR((O12-P12)/P12,0)</f>
        <v>12.555684265240959</v>
      </c>
      <c r="R12" s="314">
        <f t="shared" si="3"/>
        <v>2.5524263281814369E-2</v>
      </c>
      <c r="T12" s="379"/>
    </row>
    <row r="13" spans="1:20" ht="14.1" customHeight="1" x14ac:dyDescent="0.2">
      <c r="A13" s="248"/>
      <c r="B13" s="308" t="s">
        <v>82</v>
      </c>
      <c r="C13" s="312">
        <f>+[3]DHL_Bemidji!$KA$19</f>
        <v>88</v>
      </c>
      <c r="D13" s="209">
        <f>+[3]DHL_Bemidji!$JM$19</f>
        <v>78</v>
      </c>
      <c r="E13" s="314">
        <f>(C13-D13)/D13</f>
        <v>0.12820512820512819</v>
      </c>
      <c r="F13" s="312">
        <f>+SUM([3]DHL_Bemidji!$JV$19:$KA$19)</f>
        <v>474</v>
      </c>
      <c r="G13" s="209">
        <f>+SUM([3]DHL_Bemidji!$JH$19:$JM$19)</f>
        <v>474</v>
      </c>
      <c r="H13" s="313">
        <f t="shared" ref="H13:H18" si="4">(F13-G13)/G13</f>
        <v>0</v>
      </c>
      <c r="I13" s="314">
        <f t="shared" si="0"/>
        <v>8.2006920415224907E-2</v>
      </c>
      <c r="J13" s="248"/>
      <c r="K13" s="308" t="s">
        <v>82</v>
      </c>
      <c r="L13" s="312">
        <f>+[3]DHL_Bemidji!$KA$64</f>
        <v>168128</v>
      </c>
      <c r="M13" s="209">
        <f>+[3]DHL_Bemidji!$JM$64</f>
        <v>89227</v>
      </c>
      <c r="N13" s="314">
        <f t="shared" ref="N13" si="5">(L13-M13)/M13</f>
        <v>0.88427269772602468</v>
      </c>
      <c r="O13" s="312">
        <f>+SUM([3]DHL_Bemidji!$JV$64:$KA$64)</f>
        <v>881902</v>
      </c>
      <c r="P13" s="209">
        <f>+SUM([3]DHL_Bemidji!$JH$64:$JM$64)</f>
        <v>497830</v>
      </c>
      <c r="Q13" s="313">
        <f t="shared" ref="Q13" si="6">(O13-P13)/P13</f>
        <v>0.77149227647992291</v>
      </c>
      <c r="R13" s="314">
        <f t="shared" si="3"/>
        <v>4.9322062545210975E-3</v>
      </c>
      <c r="T13" s="379"/>
    </row>
    <row r="14" spans="1:20" ht="14.1" customHeight="1" x14ac:dyDescent="0.2">
      <c r="A14" s="248"/>
      <c r="B14" s="37" t="s">
        <v>180</v>
      </c>
      <c r="C14" s="312">
        <f>+[3]Encore!$KA$19+[3]DHL_Encore!$KA$12</f>
        <v>0</v>
      </c>
      <c r="D14" s="209">
        <f>+[3]Encore!$JM$19+[3]DHL_Encore!$JM$19</f>
        <v>0</v>
      </c>
      <c r="E14" s="314">
        <f>IFERROR((C14-D14)/D14,0)</f>
        <v>0</v>
      </c>
      <c r="F14" s="312">
        <f>+SUM([3]Encore!$JV$19:$KA$19)+SUM([3]DHL_Encore!$JV$19:$KA$19)</f>
        <v>0</v>
      </c>
      <c r="G14" s="209">
        <f>+SUM([3]Encore!$JH$19:$JM$19)+SUM([3]DHL_Encore!$JH$19:$JM$19)</f>
        <v>0</v>
      </c>
      <c r="H14" s="313">
        <f>IFERROR((F14-G14)/G14,0)</f>
        <v>0</v>
      </c>
      <c r="I14" s="314">
        <f t="shared" si="0"/>
        <v>0</v>
      </c>
      <c r="J14" s="248"/>
      <c r="K14" s="37" t="s">
        <v>180</v>
      </c>
      <c r="L14" s="312">
        <f>+[3]Encore!$KA$64+[3]DHL_Encore!$KA$64</f>
        <v>0</v>
      </c>
      <c r="M14" s="209">
        <f>+[3]Encore!$JM$64+[3]DHL_Encore!$JM$64</f>
        <v>0</v>
      </c>
      <c r="N14" s="314">
        <f>IFERROR((L14-M14)/M14,0)</f>
        <v>0</v>
      </c>
      <c r="O14" s="312">
        <f>+SUM([3]Encore!$JV$64:$KA$64)+SUM([3]DHL_Encore!$JV$64:$KA$64)</f>
        <v>0</v>
      </c>
      <c r="P14" s="209">
        <f>+SUM([3]Encore!$JH$64:$JM$64)+SUM([3]DHL_Encore!$JH$64:$JM$64)</f>
        <v>0</v>
      </c>
      <c r="Q14" s="313">
        <f>IFERROR((O14-P14)/P14,0)</f>
        <v>0</v>
      </c>
      <c r="R14" s="314">
        <f t="shared" si="3"/>
        <v>0</v>
      </c>
      <c r="T14" s="379"/>
    </row>
    <row r="15" spans="1:20" ht="14.1" customHeight="1" x14ac:dyDescent="0.2">
      <c r="A15" s="248"/>
      <c r="B15" s="37" t="s">
        <v>192</v>
      </c>
      <c r="C15" s="312">
        <f>+[3]DHL_Kalitta!$KA$19</f>
        <v>6</v>
      </c>
      <c r="D15" s="209">
        <f>+[3]DHL_Kalitta!$JM$19</f>
        <v>38</v>
      </c>
      <c r="E15" s="314">
        <f t="shared" ref="E15:E18" si="7">(C15-D15)/D15</f>
        <v>-0.84210526315789469</v>
      </c>
      <c r="F15" s="312">
        <f>+SUM([3]DHL_Kalitta!$JV$19:$KA$19)</f>
        <v>32</v>
      </c>
      <c r="G15" s="209">
        <f>+SUM([3]DHL_Kalitta!$JH$19:$JM$19)</f>
        <v>206</v>
      </c>
      <c r="H15" s="313">
        <f t="shared" si="4"/>
        <v>-0.84466019417475724</v>
      </c>
      <c r="I15" s="314">
        <f t="shared" si="0"/>
        <v>5.5363321799307957E-3</v>
      </c>
      <c r="J15" s="248"/>
      <c r="K15" s="37" t="s">
        <v>192</v>
      </c>
      <c r="L15" s="312">
        <f>+[3]DHL_Kalitta!$KA$64</f>
        <v>98156</v>
      </c>
      <c r="M15" s="209">
        <f>+[3]DHL_Kalitta!$JM$64</f>
        <v>901092</v>
      </c>
      <c r="N15" s="314">
        <f t="shared" si="1"/>
        <v>-0.89106994624300295</v>
      </c>
      <c r="O15" s="312">
        <f>+SUM([3]DHL_Kalitta!$JV$64:$KA$64)</f>
        <v>753005</v>
      </c>
      <c r="P15" s="209">
        <f>+SUM([3]DHL_Kalitta!$JH$64:$JM$64)</f>
        <v>5023656</v>
      </c>
      <c r="Q15" s="313">
        <f t="shared" si="2"/>
        <v>-0.85010816823444912</v>
      </c>
      <c r="R15" s="314">
        <f t="shared" si="3"/>
        <v>4.2113250346247754E-3</v>
      </c>
      <c r="T15" s="379"/>
    </row>
    <row r="16" spans="1:20" ht="14.1" customHeight="1" x14ac:dyDescent="0.2">
      <c r="A16" s="248"/>
      <c r="B16" s="37" t="s">
        <v>50</v>
      </c>
      <c r="C16" s="312">
        <f>+[3]DHL_Mesa!$KA$19</f>
        <v>0</v>
      </c>
      <c r="D16" s="209">
        <f>+[3]DHL_Mesa!$JM$19</f>
        <v>0</v>
      </c>
      <c r="E16" s="314" t="e">
        <f t="shared" ref="E16" si="8">(C16-D16)/D16</f>
        <v>#DIV/0!</v>
      </c>
      <c r="F16" s="312">
        <f>+SUM([3]DHL_Mesa!$JV$19:$KA$19)</f>
        <v>0</v>
      </c>
      <c r="G16" s="209">
        <f>+SUM([3]DHL_Mesa!$JH$19:$JM$19)</f>
        <v>0</v>
      </c>
      <c r="H16" s="313" t="e">
        <f t="shared" ref="H16" si="9">(F16-G16)/G16</f>
        <v>#DIV/0!</v>
      </c>
      <c r="I16" s="314">
        <f t="shared" ref="I16" si="10">+F16/$F$34</f>
        <v>0</v>
      </c>
      <c r="J16" s="248"/>
      <c r="K16" s="37" t="s">
        <v>50</v>
      </c>
      <c r="L16" s="312">
        <f>+[3]DHL_Mesa!$KA$64</f>
        <v>0</v>
      </c>
      <c r="M16" s="209">
        <f>+[3]DHL_Mesa!$JM$64</f>
        <v>0</v>
      </c>
      <c r="N16" s="314" t="e">
        <f t="shared" ref="N16" si="11">(L16-M16)/M16</f>
        <v>#DIV/0!</v>
      </c>
      <c r="O16" s="312">
        <f>+SUM([3]DHL_Mesa!$JV$64:$KA$64)</f>
        <v>0</v>
      </c>
      <c r="P16" s="209">
        <f>+SUM([3]DHL_Mesa!$JH$64:$JM$64)</f>
        <v>0</v>
      </c>
      <c r="Q16" s="313" t="e">
        <f t="shared" ref="Q16" si="12">(O16-P16)/P16</f>
        <v>#DIV/0!</v>
      </c>
      <c r="R16" s="314">
        <f t="shared" ref="R16" si="13">O16/$O$34</f>
        <v>0</v>
      </c>
      <c r="T16" s="379"/>
    </row>
    <row r="17" spans="1:20" x14ac:dyDescent="0.2">
      <c r="A17" s="248"/>
      <c r="B17" s="37" t="s">
        <v>206</v>
      </c>
      <c r="C17" s="312">
        <f>+[3]DHL_Amerijet!$KA$19</f>
        <v>0</v>
      </c>
      <c r="D17" s="209">
        <f>+[3]DHL_Amerijet!$JM$19</f>
        <v>0</v>
      </c>
      <c r="E17" s="314">
        <f>IFERROR((C17-D17)/D17,0)</f>
        <v>0</v>
      </c>
      <c r="F17" s="312">
        <f>+SUM([3]DHL_Amerijet!$JV$19:$KA$19)</f>
        <v>0</v>
      </c>
      <c r="G17" s="209">
        <f>+SUM([3]DHL_Amerijet!$JH$19:$JM$19)</f>
        <v>0</v>
      </c>
      <c r="H17" s="313">
        <f>IFERROR((F17-G17)/G17,0)</f>
        <v>0</v>
      </c>
      <c r="I17" s="314">
        <f t="shared" si="0"/>
        <v>0</v>
      </c>
      <c r="J17" s="248"/>
      <c r="K17" s="37" t="s">
        <v>206</v>
      </c>
      <c r="L17" s="312">
        <f>+[3]DHL_Amerijet!$KA$64</f>
        <v>0</v>
      </c>
      <c r="M17" s="209">
        <f>+[3]DHL_Amerijet!$JM$64</f>
        <v>0</v>
      </c>
      <c r="N17" s="314">
        <f>IFERROR((L17-M17)/M17,0)</f>
        <v>0</v>
      </c>
      <c r="O17" s="312">
        <f>+SUM([3]DHL_Amerijet!$JV$64:$KA$64)</f>
        <v>0</v>
      </c>
      <c r="P17" s="209">
        <f>+SUM([3]DHL_Amerijet!$JH$64:$JM$64)</f>
        <v>0</v>
      </c>
      <c r="Q17" s="313">
        <f>IFERROR((O17-P17)/P17,0)</f>
        <v>0</v>
      </c>
      <c r="R17" s="314">
        <f t="shared" si="3"/>
        <v>0</v>
      </c>
      <c r="T17" s="379"/>
    </row>
    <row r="18" spans="1:20" ht="14.1" customHeight="1" x14ac:dyDescent="0.2">
      <c r="A18" s="248"/>
      <c r="B18" s="37" t="s">
        <v>193</v>
      </c>
      <c r="C18" s="312">
        <f>+[3]DHL_Swift!$KA$19</f>
        <v>0</v>
      </c>
      <c r="D18" s="209">
        <f>+[3]DHL_Swift!$JM$19</f>
        <v>0</v>
      </c>
      <c r="E18" s="314" t="e">
        <f t="shared" si="7"/>
        <v>#DIV/0!</v>
      </c>
      <c r="F18" s="312">
        <f>+SUM([3]DHL_Swift!$JV$19:$KA$19)</f>
        <v>0</v>
      </c>
      <c r="G18" s="209">
        <f>+SUM([3]DHL_Swift!$JH$19:$JM$19)</f>
        <v>0</v>
      </c>
      <c r="H18" s="313" t="e">
        <f t="shared" si="4"/>
        <v>#DIV/0!</v>
      </c>
      <c r="I18" s="314">
        <f t="shared" si="0"/>
        <v>0</v>
      </c>
      <c r="J18" s="248"/>
      <c r="K18" s="37" t="s">
        <v>193</v>
      </c>
      <c r="L18" s="312">
        <f>+[3]DHL_Swift!$KA$64</f>
        <v>0</v>
      </c>
      <c r="M18" s="209">
        <f>+[3]DHL_Swift!$JM$64</f>
        <v>0</v>
      </c>
      <c r="N18" s="314" t="e">
        <f t="shared" si="1"/>
        <v>#DIV/0!</v>
      </c>
      <c r="O18" s="312">
        <f>+SUM([3]DHL_Swift!$JV$64:$KA$64)</f>
        <v>0</v>
      </c>
      <c r="P18" s="209">
        <f>+SUM([3]DHL_Swift!$JH$64:$JM$64)</f>
        <v>0</v>
      </c>
      <c r="Q18" s="313" t="e">
        <f t="shared" si="2"/>
        <v>#DIV/0!</v>
      </c>
      <c r="R18" s="314">
        <f t="shared" si="3"/>
        <v>0</v>
      </c>
      <c r="T18" s="379"/>
    </row>
    <row r="19" spans="1:20" ht="14.1" customHeight="1" x14ac:dyDescent="0.2">
      <c r="A19" s="248"/>
      <c r="B19" s="37"/>
      <c r="C19" s="249"/>
      <c r="D19" s="251"/>
      <c r="E19" s="252"/>
      <c r="F19" s="249"/>
      <c r="G19" s="251"/>
      <c r="H19" s="250"/>
      <c r="I19" s="252"/>
      <c r="J19" s="248"/>
      <c r="K19" s="37"/>
      <c r="L19" s="253"/>
      <c r="M19" s="2"/>
      <c r="N19" s="63"/>
      <c r="O19" s="253"/>
      <c r="P19" s="251"/>
      <c r="Q19" s="3"/>
      <c r="R19" s="63"/>
      <c r="T19" s="379"/>
    </row>
    <row r="20" spans="1:20" ht="14.1" customHeight="1" x14ac:dyDescent="0.2">
      <c r="A20" s="248" t="s">
        <v>172</v>
      </c>
      <c r="B20" s="37"/>
      <c r="C20" s="374">
        <f>SUM(C21:C24)</f>
        <v>230</v>
      </c>
      <c r="D20" s="370">
        <f>SUM(D21:D24)</f>
        <v>204</v>
      </c>
      <c r="E20" s="371">
        <f>(C20-D20)/D20</f>
        <v>0.12745098039215685</v>
      </c>
      <c r="F20" s="374">
        <f>SUM(F21:F24)</f>
        <v>1332</v>
      </c>
      <c r="G20" s="370">
        <f>SUM(G21:G24)</f>
        <v>1252</v>
      </c>
      <c r="H20" s="372">
        <f t="shared" ref="H20:H21" si="14">(F20-G20)/G20</f>
        <v>6.3897763578274758E-2</v>
      </c>
      <c r="I20" s="371">
        <f>+F20/$F$34</f>
        <v>0.23044982698961938</v>
      </c>
      <c r="J20" s="248" t="s">
        <v>172</v>
      </c>
      <c r="K20" s="37"/>
      <c r="L20" s="374">
        <f>SUM(L21:L24)</f>
        <v>10738851</v>
      </c>
      <c r="M20" s="370">
        <f>SUM(M21:M24)</f>
        <v>10154598</v>
      </c>
      <c r="N20" s="371">
        <f>(L20-M20)/M20</f>
        <v>5.7535807916768343E-2</v>
      </c>
      <c r="O20" s="374">
        <f>SUM(O21:O24)</f>
        <v>61261774</v>
      </c>
      <c r="P20" s="370">
        <f>SUM(P21:P24)</f>
        <v>60755646</v>
      </c>
      <c r="Q20" s="372">
        <f t="shared" ref="Q20:Q22" si="15">(O20-P20)/P20</f>
        <v>8.3305508758807368E-3</v>
      </c>
      <c r="R20" s="371">
        <f>O20/$O$34</f>
        <v>0.34261823296223154</v>
      </c>
      <c r="T20" s="379"/>
    </row>
    <row r="21" spans="1:20" ht="14.1" customHeight="1" x14ac:dyDescent="0.2">
      <c r="A21" s="36"/>
      <c r="B21" s="308" t="s">
        <v>172</v>
      </c>
      <c r="C21" s="312">
        <f>+[3]FedEx!$KA$19</f>
        <v>154</v>
      </c>
      <c r="D21" s="209">
        <f>+[3]FedEx!$JM$19</f>
        <v>132</v>
      </c>
      <c r="E21" s="314">
        <f>(C21-D21)/D21</f>
        <v>0.16666666666666666</v>
      </c>
      <c r="F21" s="312">
        <f>+SUM([3]FedEx!$JV$19:$KA$19)</f>
        <v>908</v>
      </c>
      <c r="G21" s="209">
        <f>+SUM([3]FedEx!$JH$19:$JM$19)</f>
        <v>804</v>
      </c>
      <c r="H21" s="313">
        <f t="shared" si="14"/>
        <v>0.12935323383084577</v>
      </c>
      <c r="I21" s="314">
        <f>+F21/$F$34</f>
        <v>0.15709342560553632</v>
      </c>
      <c r="J21" s="248"/>
      <c r="K21" s="308" t="s">
        <v>172</v>
      </c>
      <c r="L21" s="312">
        <f>+[3]FedEx!$KA$64</f>
        <v>10530661</v>
      </c>
      <c r="M21" s="209">
        <f>+[3]FedEx!$JM$64</f>
        <v>9942841</v>
      </c>
      <c r="N21" s="314">
        <f>(L21-M21)/M21</f>
        <v>5.9119923571140279E-2</v>
      </c>
      <c r="O21" s="312">
        <f>+SUM([3]FedEx!$JV$64:$KA$64)</f>
        <v>60320869</v>
      </c>
      <c r="P21" s="209">
        <f>+SUM([3]FedEx!$JH$64:$JM$64)</f>
        <v>59540621</v>
      </c>
      <c r="Q21" s="313">
        <f t="shared" si="15"/>
        <v>1.3104465269181522E-2</v>
      </c>
      <c r="R21" s="314">
        <f>O21/$O$34</f>
        <v>0.33735604110201334</v>
      </c>
      <c r="T21" s="379"/>
    </row>
    <row r="22" spans="1:20" ht="14.1" customHeight="1" x14ac:dyDescent="0.2">
      <c r="A22" s="36"/>
      <c r="B22" s="308" t="s">
        <v>194</v>
      </c>
      <c r="C22" s="312">
        <f>+'[3]Mountain Cargo'!$KA$19</f>
        <v>42</v>
      </c>
      <c r="D22" s="209">
        <f>+'[3]Mountain Cargo'!$JM$19</f>
        <v>40</v>
      </c>
      <c r="E22" s="314">
        <f>(C22-D22)/D22</f>
        <v>0.05</v>
      </c>
      <c r="F22" s="312">
        <f>+SUM('[3]Mountain Cargo'!$JV$19:$KA$19)</f>
        <v>236</v>
      </c>
      <c r="G22" s="209">
        <f>+SUM('[3]Mountain Cargo'!$JH$19:$JM$19)</f>
        <v>250</v>
      </c>
      <c r="H22" s="313">
        <f>(F22-G22)/G22</f>
        <v>-5.6000000000000001E-2</v>
      </c>
      <c r="I22" s="314">
        <f>+F22/$F$34</f>
        <v>4.083044982698962E-2</v>
      </c>
      <c r="J22" s="351"/>
      <c r="K22" s="308" t="s">
        <v>194</v>
      </c>
      <c r="L22" s="312">
        <f>+'[3]Mountain Cargo'!$KA$64</f>
        <v>141797</v>
      </c>
      <c r="M22" s="209">
        <f>+'[3]Mountain Cargo'!$JM$64</f>
        <v>144611</v>
      </c>
      <c r="N22" s="314">
        <f>(L22-M22)/M22</f>
        <v>-1.9459100621667783E-2</v>
      </c>
      <c r="O22" s="312">
        <f>+SUM('[3]Mountain Cargo'!$JV$64:$KA$64)</f>
        <v>748885</v>
      </c>
      <c r="P22" s="209">
        <f>+SUM('[3]Mountain Cargo'!$JH$64:$JM$64)</f>
        <v>834493</v>
      </c>
      <c r="Q22" s="313">
        <f t="shared" si="15"/>
        <v>-0.10258684015324275</v>
      </c>
      <c r="R22" s="314">
        <f>O22/$O$34</f>
        <v>4.1882831436112307E-3</v>
      </c>
      <c r="T22" s="379"/>
    </row>
    <row r="23" spans="1:20" ht="14.1" customHeight="1" x14ac:dyDescent="0.2">
      <c r="A23" s="36"/>
      <c r="B23" s="308" t="s">
        <v>166</v>
      </c>
      <c r="C23" s="312">
        <f>+[3]IFL!$KA$19</f>
        <v>34</v>
      </c>
      <c r="D23" s="209">
        <f>+[3]IFL!$JM$19</f>
        <v>32</v>
      </c>
      <c r="E23" s="314">
        <f>(C23-D23)/D23</f>
        <v>6.25E-2</v>
      </c>
      <c r="F23" s="312">
        <f>+SUM([3]IFL!$JV$19:$KA$19)</f>
        <v>188</v>
      </c>
      <c r="G23" s="209">
        <f>+SUM([3]IFL!$JH$19:$JM$19)</f>
        <v>198</v>
      </c>
      <c r="H23" s="313">
        <f>(F23-G23)/G23</f>
        <v>-5.0505050505050504E-2</v>
      </c>
      <c r="I23" s="314">
        <f>+F23/$F$34</f>
        <v>3.2525951557093424E-2</v>
      </c>
      <c r="J23" s="351"/>
      <c r="K23" s="308" t="s">
        <v>166</v>
      </c>
      <c r="L23" s="312">
        <f>+[3]IFL!$KA$64</f>
        <v>66393</v>
      </c>
      <c r="M23" s="209">
        <f>+[3]IFL!$JM$64</f>
        <v>67146</v>
      </c>
      <c r="N23" s="314">
        <f>(L23-M23)/M23</f>
        <v>-1.121436868912519E-2</v>
      </c>
      <c r="O23" s="312">
        <f>+SUM([3]IFL!$JV$64:$KA$64)</f>
        <v>192020</v>
      </c>
      <c r="P23" s="209">
        <f>+SUM([3]IFL!$JH$64:$JM$64)</f>
        <v>380532</v>
      </c>
      <c r="Q23" s="313">
        <f>(O23-P23)/P23</f>
        <v>-0.49539066359727962</v>
      </c>
      <c r="R23" s="314">
        <f>O23/$O$34</f>
        <v>1.073908716606994E-3</v>
      </c>
      <c r="T23" s="379"/>
    </row>
    <row r="24" spans="1:20" ht="14.1" customHeight="1" x14ac:dyDescent="0.2">
      <c r="A24" s="248"/>
      <c r="B24" s="308" t="s">
        <v>83</v>
      </c>
      <c r="C24" s="312">
        <f>+'[3]CSA Air'!$KA$19</f>
        <v>0</v>
      </c>
      <c r="D24" s="209">
        <f>+'[3]CSA Air'!$JM$19</f>
        <v>0</v>
      </c>
      <c r="E24" s="314">
        <f>IFERROR((C24-D24)/D24,)</f>
        <v>0</v>
      </c>
      <c r="F24" s="312">
        <f>+SUM('[3]CSA Air'!$JV$19:$KA$19)</f>
        <v>0</v>
      </c>
      <c r="G24" s="209">
        <f>+SUM('[3]CSA Air'!$JH$19:$JM$19)</f>
        <v>0</v>
      </c>
      <c r="H24" s="313">
        <f>IFERROR((F24-G24)/G24,0)</f>
        <v>0</v>
      </c>
      <c r="I24" s="314">
        <f>+F24/$F$34</f>
        <v>0</v>
      </c>
      <c r="J24" s="248"/>
      <c r="K24" s="308" t="s">
        <v>83</v>
      </c>
      <c r="L24" s="312">
        <f>+'[3]CSA Air'!$KA$64</f>
        <v>0</v>
      </c>
      <c r="M24" s="209">
        <f>+'[3]CSA Air'!$JM$64</f>
        <v>0</v>
      </c>
      <c r="N24" s="314">
        <f>IFERROR((L24-M24)/M24,0)</f>
        <v>0</v>
      </c>
      <c r="O24" s="312">
        <f>+SUM('[3]CSA Air'!$JV$64:$KA$64)</f>
        <v>0</v>
      </c>
      <c r="P24" s="209">
        <f>+SUM('[3]CSA Air'!$JH$64:$JM$64)</f>
        <v>0</v>
      </c>
      <c r="Q24" s="313">
        <f>IFERROR((O24-P24)/P24,0)</f>
        <v>0</v>
      </c>
      <c r="R24" s="314">
        <f>O24/$O$34</f>
        <v>0</v>
      </c>
      <c r="T24" s="379"/>
    </row>
    <row r="25" spans="1:20" ht="14.1" customHeight="1" x14ac:dyDescent="0.2">
      <c r="A25" s="248"/>
      <c r="B25" s="37"/>
      <c r="C25" s="249"/>
      <c r="D25" s="251"/>
      <c r="E25" s="252"/>
      <c r="F25" s="249"/>
      <c r="G25" s="251"/>
      <c r="H25" s="250"/>
      <c r="I25" s="252"/>
      <c r="J25" s="248"/>
      <c r="K25" s="37"/>
      <c r="L25" s="253"/>
      <c r="M25" s="2"/>
      <c r="N25" s="63"/>
      <c r="O25" s="253"/>
      <c r="P25" s="2"/>
      <c r="Q25" s="3"/>
      <c r="R25" s="63"/>
      <c r="S25" s="237"/>
      <c r="T25" s="379"/>
    </row>
    <row r="26" spans="1:20" ht="14.1" customHeight="1" x14ac:dyDescent="0.2">
      <c r="A26" s="248" t="s">
        <v>81</v>
      </c>
      <c r="B26" s="37"/>
      <c r="C26" s="370">
        <f>SUM(C27:C28)</f>
        <v>466</v>
      </c>
      <c r="D26" s="370">
        <f>SUM(D27:D28)</f>
        <v>497</v>
      </c>
      <c r="E26" s="371">
        <f>(C26-D26)/D26</f>
        <v>-6.2374245472837021E-2</v>
      </c>
      <c r="F26" s="370">
        <f>SUM(F27:F28)</f>
        <v>2774</v>
      </c>
      <c r="G26" s="370">
        <f>SUM(G27:G28)</f>
        <v>3077</v>
      </c>
      <c r="H26" s="372">
        <f>(F26-G26)/G26</f>
        <v>-9.8472538186545333E-2</v>
      </c>
      <c r="I26" s="371">
        <f>+F26/$F$34</f>
        <v>0.47993079584775089</v>
      </c>
      <c r="J26" s="248" t="s">
        <v>81</v>
      </c>
      <c r="K26" s="37"/>
      <c r="L26" s="370">
        <f>SUM(L27:L28)</f>
        <v>13912019</v>
      </c>
      <c r="M26" s="370">
        <f>SUM(M27:M28)</f>
        <v>13423810</v>
      </c>
      <c r="N26" s="371">
        <f>(L26-M26)/M26</f>
        <v>3.6368884839699016E-2</v>
      </c>
      <c r="O26" s="370">
        <f>SUM(O27:O28)</f>
        <v>81410695</v>
      </c>
      <c r="P26" s="370">
        <f>SUM(P27:P28)</f>
        <v>76328964</v>
      </c>
      <c r="Q26" s="372">
        <f>(O26-P26)/P26</f>
        <v>6.6576706058790472E-2</v>
      </c>
      <c r="R26" s="371">
        <f>O26/$O$34</f>
        <v>0.45530494211818257</v>
      </c>
      <c r="S26" s="330"/>
      <c r="T26" s="381"/>
    </row>
    <row r="27" spans="1:20" ht="14.1" customHeight="1" x14ac:dyDescent="0.2">
      <c r="A27" s="248"/>
      <c r="B27" s="308" t="s">
        <v>81</v>
      </c>
      <c r="C27" s="312">
        <f>+[3]UPS!$KA$19</f>
        <v>212</v>
      </c>
      <c r="D27" s="209">
        <f>+[3]UPS!$JM$19</f>
        <v>215</v>
      </c>
      <c r="E27" s="314">
        <f>(C27-D27)/D27</f>
        <v>-1.3953488372093023E-2</v>
      </c>
      <c r="F27" s="312">
        <f>+SUM([3]UPS!$JV$19:$KA$19)</f>
        <v>1212</v>
      </c>
      <c r="G27" s="209">
        <f>+SUM([3]UPS!$JH$19:$JM$19)</f>
        <v>1327</v>
      </c>
      <c r="H27" s="313">
        <f>(F27-G27)/G27</f>
        <v>-8.6661642803315744E-2</v>
      </c>
      <c r="I27" s="314">
        <f>+F27/$F$34</f>
        <v>0.20968858131487889</v>
      </c>
      <c r="J27" s="248"/>
      <c r="K27" s="308" t="s">
        <v>81</v>
      </c>
      <c r="L27" s="312">
        <f>+[3]UPS!$KA$64</f>
        <v>13912019</v>
      </c>
      <c r="M27" s="209">
        <f>+[3]UPS!$JM$64</f>
        <v>13423810</v>
      </c>
      <c r="N27" s="314">
        <f>(L27-M27)/M27</f>
        <v>3.6368884839699016E-2</v>
      </c>
      <c r="O27" s="312">
        <f>+SUM([3]UPS!$JV$64:$KA$64)</f>
        <v>81410695</v>
      </c>
      <c r="P27" s="209">
        <f>+SUM([3]UPS!$JH$64:$JM$64)</f>
        <v>76328964</v>
      </c>
      <c r="Q27" s="313">
        <f>(O27-P27)/P27</f>
        <v>6.6576706058790472E-2</v>
      </c>
      <c r="R27" s="314">
        <f>O27/$O$34</f>
        <v>0.45530494211818257</v>
      </c>
      <c r="S27" s="330"/>
      <c r="T27" s="381"/>
    </row>
    <row r="28" spans="1:20" x14ac:dyDescent="0.2">
      <c r="A28" s="248"/>
      <c r="B28" s="308" t="s">
        <v>82</v>
      </c>
      <c r="C28" s="312">
        <f>+[3]Bemidji!$KA$19</f>
        <v>254</v>
      </c>
      <c r="D28" s="209">
        <f>+[3]Bemidji!$JM$19</f>
        <v>282</v>
      </c>
      <c r="E28" s="314">
        <f>(C28-D28)/D28</f>
        <v>-9.9290780141843976E-2</v>
      </c>
      <c r="F28" s="312">
        <f>+SUM([3]Bemidji!$JV$19:$KA$19)</f>
        <v>1562</v>
      </c>
      <c r="G28" s="209">
        <f>+SUM([3]Bemidji!$JH$19:$JM$19)</f>
        <v>1750</v>
      </c>
      <c r="H28" s="313">
        <f t="shared" ref="H28" si="16">(F28-G28)/G28</f>
        <v>-0.10742857142857143</v>
      </c>
      <c r="I28" s="314">
        <f>+F28/$F$34</f>
        <v>0.27024221453287195</v>
      </c>
      <c r="J28" s="248"/>
      <c r="K28" s="308" t="s">
        <v>82</v>
      </c>
      <c r="L28" s="474" t="s">
        <v>175</v>
      </c>
      <c r="M28" s="475"/>
      <c r="N28" s="475"/>
      <c r="O28" s="475"/>
      <c r="P28" s="475"/>
      <c r="Q28" s="475"/>
      <c r="R28" s="476"/>
      <c r="T28" s="379"/>
    </row>
    <row r="29" spans="1:20" x14ac:dyDescent="0.2">
      <c r="A29" s="36"/>
      <c r="B29" s="37"/>
      <c r="C29" s="249"/>
      <c r="D29" s="2"/>
      <c r="E29" s="63"/>
      <c r="F29" s="253"/>
      <c r="G29" s="2"/>
      <c r="H29" s="3"/>
      <c r="I29" s="63"/>
      <c r="J29" s="36"/>
      <c r="K29" s="37"/>
      <c r="L29" s="253"/>
      <c r="M29" s="2"/>
      <c r="N29" s="63"/>
      <c r="O29" s="253"/>
      <c r="P29" s="2"/>
      <c r="Q29" s="3"/>
      <c r="R29" s="63"/>
      <c r="T29" s="379"/>
    </row>
    <row r="30" spans="1:20" x14ac:dyDescent="0.2">
      <c r="A30" s="248" t="s">
        <v>125</v>
      </c>
      <c r="B30" s="37"/>
      <c r="C30" s="374">
        <f>+'[3]Misc Cargo'!$KA$19</f>
        <v>0</v>
      </c>
      <c r="D30" s="370">
        <f>+'[3]Misc Cargo'!$JM$19</f>
        <v>0</v>
      </c>
      <c r="E30" s="371">
        <f>IFERROR((C30-D30)/D30,0)</f>
        <v>0</v>
      </c>
      <c r="F30" s="374">
        <f>+SUM('[3]Misc Cargo'!$JV$19:$KA$19)</f>
        <v>14</v>
      </c>
      <c r="G30" s="370">
        <f>+SUM('[3]Misc Cargo'!$JH$19:$JM$19)</f>
        <v>2</v>
      </c>
      <c r="H30" s="372">
        <f>IFERROR((F30-G30)/G30,0)</f>
        <v>6</v>
      </c>
      <c r="I30" s="371">
        <f>+F30/$F$34</f>
        <v>2.422145328719723E-3</v>
      </c>
      <c r="J30" s="248" t="s">
        <v>125</v>
      </c>
      <c r="K30" s="37"/>
      <c r="L30" s="374">
        <f>+'[3]Misc Cargo'!$KA$64</f>
        <v>0</v>
      </c>
      <c r="M30" s="370">
        <f>+'[3]Misc Cargo'!$JM$64</f>
        <v>0</v>
      </c>
      <c r="N30" s="371">
        <f>IFERROR((L30-M30)/M30,0)</f>
        <v>0</v>
      </c>
      <c r="O30" s="374">
        <f>+SUM('[3]Misc Cargo'!$JV$64:$KA$64)</f>
        <v>0</v>
      </c>
      <c r="P30" s="370">
        <f>+SUM('[3]Misc Cargo'!$JH$64:$JM$64)</f>
        <v>38035</v>
      </c>
      <c r="Q30" s="372">
        <f>IFERROR((O30-P30)/P30,0)</f>
        <v>-1</v>
      </c>
      <c r="R30" s="371">
        <f>O30/$O$34</f>
        <v>0</v>
      </c>
      <c r="T30" s="379"/>
    </row>
    <row r="31" spans="1:20" x14ac:dyDescent="0.2">
      <c r="A31" s="36"/>
      <c r="B31" s="37"/>
      <c r="C31" s="249"/>
      <c r="D31" s="2"/>
      <c r="E31" s="63"/>
      <c r="F31" s="253"/>
      <c r="G31" s="2"/>
      <c r="H31" s="3"/>
      <c r="I31" s="63"/>
      <c r="J31" s="36"/>
      <c r="K31" s="37"/>
      <c r="L31" s="253"/>
      <c r="M31" s="2"/>
      <c r="N31" s="63"/>
      <c r="O31" s="253"/>
      <c r="P31" s="2"/>
      <c r="Q31" s="3"/>
      <c r="R31" s="63"/>
      <c r="T31" s="379"/>
    </row>
    <row r="32" spans="1:20" ht="13.5" thickBot="1" x14ac:dyDescent="0.25">
      <c r="A32" s="331"/>
      <c r="B32" s="332"/>
      <c r="C32" s="375"/>
      <c r="D32" s="376"/>
      <c r="E32" s="377"/>
      <c r="F32" s="375"/>
      <c r="G32" s="376"/>
      <c r="H32" s="378"/>
      <c r="I32" s="377"/>
      <c r="J32" s="248"/>
      <c r="K32" s="37"/>
      <c r="L32" s="257"/>
      <c r="M32" s="259"/>
      <c r="N32" s="260"/>
      <c r="O32" s="257"/>
      <c r="P32" s="259"/>
      <c r="Q32" s="258"/>
      <c r="R32" s="332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3" t="s">
        <v>173</v>
      </c>
      <c r="C34" s="334">
        <f>+C30+C26+C20+C9+C5</f>
        <v>992</v>
      </c>
      <c r="D34" s="334">
        <f>+D30+D26+D20+D9+D5</f>
        <v>1047</v>
      </c>
      <c r="E34" s="335">
        <f>(C34-D34)/D34</f>
        <v>-5.253104106972302E-2</v>
      </c>
      <c r="F34" s="334">
        <f>+F30+F26+F20+F9+F5</f>
        <v>5780</v>
      </c>
      <c r="G34" s="334">
        <f>+G30+G26+G20+G9+G5</f>
        <v>6233</v>
      </c>
      <c r="H34" s="336">
        <f>(F34-G34)/G34</f>
        <v>-7.2677683298572118E-2</v>
      </c>
      <c r="I34" s="341"/>
      <c r="K34" s="333" t="s">
        <v>173</v>
      </c>
      <c r="L34" s="334">
        <f>+L30+L26+L20+L9+L5</f>
        <v>30982025</v>
      </c>
      <c r="M34" s="334">
        <f>+M30+M26+M20+M9+M5</f>
        <v>30423853</v>
      </c>
      <c r="N34" s="337">
        <f>(L34-M34)/M34</f>
        <v>1.8346525668527257E-2</v>
      </c>
      <c r="O34" s="334">
        <f>+O30+O26+O20+O9+O5</f>
        <v>178804769</v>
      </c>
      <c r="P34" s="334">
        <f>+P30+P26+P20+P9+P5</f>
        <v>173730288</v>
      </c>
      <c r="Q34" s="336">
        <f t="shared" ref="Q34" si="17">(O34-P34)/P34</f>
        <v>2.9208959810162749E-2</v>
      </c>
      <c r="R34" s="341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June 2026</oddHeader>
  </headerFooter>
</worksheet>
</file>

<file path=docMetadata/LabelInfo.xml><?xml version="1.0" encoding="utf-8"?>
<clbl:labelList xmlns:clbl="http://schemas.microsoft.com/office/2020/mipLabelMetadata">
  <clbl:label id="{5d7e2cd6-db7a-47be-bcc5-6bded478bab2}" enabled="0" method="" siteId="{5d7e2cd6-db7a-47be-bcc5-6bded478ba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2026-02-23T16:43:16Z</cp:lastPrinted>
  <dcterms:created xsi:type="dcterms:W3CDTF">2007-09-24T12:26:24Z</dcterms:created>
  <dcterms:modified xsi:type="dcterms:W3CDTF">2026-07-24T16:43:25Z</dcterms:modified>
</cp:coreProperties>
</file>