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8\"/>
    </mc:Choice>
  </mc:AlternateContent>
  <xr:revisionPtr revIDLastSave="0" documentId="13_ncr:1_{3B95DEA6-49E4-4485-AB63-1A210531EF4A}" xr6:coauthVersionLast="44" xr6:coauthVersionMax="44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6">Cargo!$A$1:$N$37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Activity'!$A$1:$R$67</definedName>
    <definedName name="_xlnm.Print_Area" localSheetId="2">'Other Major Airline Stats'!$A$2:$J$49</definedName>
    <definedName name="_xlnm.Print_Area" localSheetId="4">'Other Regional'!$A$1:$M$47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C20" i="1"/>
  <c r="C21" i="1" l="1"/>
  <c r="B21" i="1"/>
  <c r="P61" i="9" l="1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5" i="9"/>
  <c r="M55" i="9"/>
  <c r="G55" i="9"/>
  <c r="D55" i="9"/>
  <c r="P52" i="9"/>
  <c r="M52" i="9"/>
  <c r="G52" i="9"/>
  <c r="D52" i="9"/>
  <c r="P50" i="9"/>
  <c r="M50" i="9"/>
  <c r="G50" i="9"/>
  <c r="D50" i="9"/>
  <c r="P48" i="9"/>
  <c r="M48" i="9"/>
  <c r="G48" i="9"/>
  <c r="D48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P5" i="9"/>
  <c r="M5" i="9"/>
  <c r="G5" i="9"/>
  <c r="D5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5" i="9"/>
  <c r="L55" i="9"/>
  <c r="F55" i="9"/>
  <c r="C55" i="9"/>
  <c r="O52" i="9"/>
  <c r="L52" i="9"/>
  <c r="F52" i="9"/>
  <c r="C52" i="9"/>
  <c r="O50" i="9"/>
  <c r="L50" i="9"/>
  <c r="F50" i="9"/>
  <c r="C50" i="9"/>
  <c r="O48" i="9"/>
  <c r="L48" i="9"/>
  <c r="F48" i="9"/>
  <c r="C48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O5" i="9"/>
  <c r="L5" i="9"/>
  <c r="F5" i="9"/>
  <c r="C5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1" i="17"/>
  <c r="M21" i="17"/>
  <c r="G21" i="17"/>
  <c r="D21" i="17"/>
  <c r="P19" i="17"/>
  <c r="M19" i="17"/>
  <c r="G19" i="17"/>
  <c r="D19" i="17"/>
  <c r="P17" i="17"/>
  <c r="M17" i="17"/>
  <c r="G17" i="17"/>
  <c r="D17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7" i="17"/>
  <c r="M7" i="17"/>
  <c r="G7" i="17"/>
  <c r="D7" i="17"/>
  <c r="P5" i="17"/>
  <c r="M5" i="17"/>
  <c r="G5" i="17"/>
  <c r="D5" i="17"/>
  <c r="O21" i="17"/>
  <c r="L21" i="17"/>
  <c r="F21" i="17"/>
  <c r="C21" i="17"/>
  <c r="O19" i="17"/>
  <c r="L19" i="17"/>
  <c r="F19" i="17"/>
  <c r="C19" i="17"/>
  <c r="O17" i="17"/>
  <c r="L17" i="17"/>
  <c r="F17" i="17"/>
  <c r="C17" i="17"/>
  <c r="F15" i="17"/>
  <c r="C15" i="17"/>
  <c r="O13" i="17"/>
  <c r="L13" i="17"/>
  <c r="F13" i="17"/>
  <c r="C13" i="17"/>
  <c r="O11" i="17"/>
  <c r="L11" i="17"/>
  <c r="F11" i="17"/>
  <c r="C11" i="17"/>
  <c r="O9" i="17"/>
  <c r="L9" i="17"/>
  <c r="F9" i="17"/>
  <c r="C9" i="17"/>
  <c r="O7" i="17"/>
  <c r="L7" i="17"/>
  <c r="F7" i="17"/>
  <c r="C7" i="17"/>
  <c r="O5" i="17"/>
  <c r="L5" i="17"/>
  <c r="F5" i="17"/>
  <c r="C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C27" i="8"/>
  <c r="C26" i="8"/>
  <c r="C22" i="8"/>
  <c r="C21" i="8"/>
  <c r="C17" i="8"/>
  <c r="C16" i="8"/>
  <c r="C5" i="8"/>
  <c r="C4" i="8"/>
  <c r="C10" i="8"/>
  <c r="C23" i="8" l="1"/>
  <c r="C18" i="8"/>
  <c r="C28" i="8"/>
  <c r="C32" i="8"/>
  <c r="C6" i="8"/>
  <c r="C12" i="8" s="1"/>
  <c r="C31" i="8"/>
  <c r="C33" i="8" l="1"/>
  <c r="M27" i="8"/>
  <c r="L27" i="8"/>
  <c r="K27" i="8"/>
  <c r="I27" i="8"/>
  <c r="H27" i="8"/>
  <c r="G27" i="8"/>
  <c r="E27" i="8"/>
  <c r="D27" i="8"/>
  <c r="B27" i="8"/>
  <c r="M26" i="8"/>
  <c r="L26" i="8"/>
  <c r="K26" i="8"/>
  <c r="I26" i="8"/>
  <c r="H26" i="8"/>
  <c r="G26" i="8"/>
  <c r="E26" i="8"/>
  <c r="D26" i="8"/>
  <c r="B26" i="8"/>
  <c r="M22" i="8"/>
  <c r="L22" i="8"/>
  <c r="K22" i="8"/>
  <c r="I22" i="8"/>
  <c r="H22" i="8"/>
  <c r="G22" i="8"/>
  <c r="E22" i="8"/>
  <c r="D22" i="8"/>
  <c r="B22" i="8"/>
  <c r="M21" i="8"/>
  <c r="L21" i="8"/>
  <c r="K21" i="8"/>
  <c r="I21" i="8"/>
  <c r="H21" i="8"/>
  <c r="G21" i="8"/>
  <c r="E21" i="8"/>
  <c r="D21" i="8"/>
  <c r="B21" i="8"/>
  <c r="M17" i="8"/>
  <c r="L17" i="8"/>
  <c r="K17" i="8"/>
  <c r="I17" i="8"/>
  <c r="H17" i="8"/>
  <c r="G17" i="8"/>
  <c r="E17" i="8"/>
  <c r="D17" i="8"/>
  <c r="B17" i="8"/>
  <c r="M16" i="8"/>
  <c r="L16" i="8"/>
  <c r="K16" i="8"/>
  <c r="I16" i="8"/>
  <c r="H16" i="8"/>
  <c r="G16" i="8"/>
  <c r="E16" i="8"/>
  <c r="D16" i="8"/>
  <c r="B16" i="8"/>
  <c r="M9" i="8"/>
  <c r="M8" i="8"/>
  <c r="M5" i="8"/>
  <c r="L5" i="8"/>
  <c r="K5" i="8"/>
  <c r="J5" i="8"/>
  <c r="I5" i="8"/>
  <c r="H5" i="8"/>
  <c r="G5" i="8"/>
  <c r="E5" i="8"/>
  <c r="D5" i="8"/>
  <c r="B5" i="8"/>
  <c r="M4" i="8"/>
  <c r="L4" i="8"/>
  <c r="K4" i="8"/>
  <c r="J4" i="8"/>
  <c r="I4" i="8"/>
  <c r="H4" i="8"/>
  <c r="G4" i="8"/>
  <c r="E4" i="8"/>
  <c r="D4" i="8"/>
  <c r="B4" i="8"/>
  <c r="O28" i="7"/>
  <c r="M27" i="7"/>
  <c r="L27" i="7"/>
  <c r="J28" i="7"/>
  <c r="C27" i="7"/>
  <c r="B27" i="7"/>
  <c r="E28" i="7"/>
  <c r="N27" i="7" l="1"/>
  <c r="D27" i="7"/>
  <c r="O27" i="7"/>
  <c r="E27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F47" i="15"/>
  <c r="C47" i="15"/>
  <c r="J46" i="15"/>
  <c r="G46" i="15"/>
  <c r="F46" i="15"/>
  <c r="C46" i="15"/>
  <c r="J35" i="15"/>
  <c r="H35" i="15"/>
  <c r="G35" i="15"/>
  <c r="F35" i="15"/>
  <c r="E35" i="15"/>
  <c r="D35" i="15"/>
  <c r="C35" i="15"/>
  <c r="B35" i="15"/>
  <c r="L31" i="15"/>
  <c r="K31" i="15"/>
  <c r="J31" i="15"/>
  <c r="I31" i="15"/>
  <c r="H31" i="15"/>
  <c r="G31" i="15"/>
  <c r="F31" i="15"/>
  <c r="E31" i="15"/>
  <c r="D31" i="15"/>
  <c r="C31" i="15"/>
  <c r="B31" i="15"/>
  <c r="L30" i="15"/>
  <c r="J30" i="15"/>
  <c r="I30" i="15"/>
  <c r="H30" i="15"/>
  <c r="G30" i="15"/>
  <c r="F30" i="15"/>
  <c r="E30" i="15"/>
  <c r="D30" i="15"/>
  <c r="C30" i="15"/>
  <c r="B30" i="15"/>
  <c r="L26" i="15"/>
  <c r="K26" i="15"/>
  <c r="J26" i="15"/>
  <c r="I26" i="15"/>
  <c r="H26" i="15"/>
  <c r="G26" i="15"/>
  <c r="F26" i="15"/>
  <c r="E26" i="15"/>
  <c r="D26" i="15"/>
  <c r="C26" i="15"/>
  <c r="B26" i="15"/>
  <c r="L25" i="15"/>
  <c r="K25" i="15"/>
  <c r="J25" i="15"/>
  <c r="I25" i="15"/>
  <c r="H25" i="15"/>
  <c r="G25" i="15"/>
  <c r="F25" i="15"/>
  <c r="E25" i="15"/>
  <c r="D25" i="15"/>
  <c r="C25" i="15"/>
  <c r="B25" i="15"/>
  <c r="L19" i="15"/>
  <c r="K19" i="15"/>
  <c r="J19" i="15"/>
  <c r="I19" i="15"/>
  <c r="H19" i="15"/>
  <c r="G19" i="15"/>
  <c r="F19" i="15"/>
  <c r="E19" i="15"/>
  <c r="D19" i="15"/>
  <c r="C19" i="15"/>
  <c r="B19" i="15"/>
  <c r="L18" i="15"/>
  <c r="K18" i="15"/>
  <c r="J18" i="15"/>
  <c r="I18" i="15"/>
  <c r="H18" i="15"/>
  <c r="G18" i="15"/>
  <c r="F18" i="15"/>
  <c r="E18" i="15"/>
  <c r="D18" i="15"/>
  <c r="C18" i="15"/>
  <c r="B18" i="15"/>
  <c r="L16" i="15"/>
  <c r="K16" i="15"/>
  <c r="J16" i="15"/>
  <c r="I16" i="15"/>
  <c r="H16" i="15"/>
  <c r="G16" i="15"/>
  <c r="F16" i="15"/>
  <c r="E16" i="15"/>
  <c r="D16" i="15"/>
  <c r="C16" i="15"/>
  <c r="B16" i="15"/>
  <c r="L15" i="15"/>
  <c r="K15" i="15"/>
  <c r="J15" i="15"/>
  <c r="I15" i="15"/>
  <c r="H15" i="15"/>
  <c r="G15" i="15"/>
  <c r="F15" i="15"/>
  <c r="E15" i="15"/>
  <c r="D15" i="15"/>
  <c r="C15" i="15"/>
  <c r="B15" i="15"/>
  <c r="L11" i="15"/>
  <c r="K11" i="15"/>
  <c r="J11" i="15"/>
  <c r="I11" i="15"/>
  <c r="H11" i="15"/>
  <c r="G11" i="15"/>
  <c r="F11" i="15"/>
  <c r="E11" i="15"/>
  <c r="D11" i="15"/>
  <c r="C11" i="15"/>
  <c r="B11" i="15"/>
  <c r="L10" i="15"/>
  <c r="K10" i="15"/>
  <c r="J10" i="15"/>
  <c r="I10" i="15"/>
  <c r="H10" i="15"/>
  <c r="G10" i="15"/>
  <c r="F10" i="15"/>
  <c r="E10" i="15"/>
  <c r="D10" i="15"/>
  <c r="C10" i="15"/>
  <c r="B10" i="15"/>
  <c r="L6" i="15"/>
  <c r="K6" i="15"/>
  <c r="J6" i="15"/>
  <c r="I6" i="15"/>
  <c r="H6" i="15"/>
  <c r="G6" i="15"/>
  <c r="F6" i="15"/>
  <c r="E6" i="15"/>
  <c r="D6" i="15"/>
  <c r="C6" i="15"/>
  <c r="B6" i="15"/>
  <c r="L5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J16" i="3" l="1"/>
  <c r="J17" i="3"/>
  <c r="O26" i="7"/>
  <c r="M26" i="7"/>
  <c r="L26" i="7"/>
  <c r="J27" i="7"/>
  <c r="E26" i="7"/>
  <c r="C26" i="7"/>
  <c r="B26" i="7"/>
  <c r="D20" i="1" l="1"/>
  <c r="G20" i="1" s="1"/>
  <c r="D26" i="7"/>
  <c r="N26" i="7"/>
  <c r="O25" i="7"/>
  <c r="M25" i="7"/>
  <c r="L25" i="7"/>
  <c r="J26" i="7"/>
  <c r="E25" i="7"/>
  <c r="C25" i="7"/>
  <c r="B25" i="7"/>
  <c r="D65" i="9" l="1"/>
  <c r="N25" i="7"/>
  <c r="D25" i="7"/>
  <c r="G40" i="2"/>
  <c r="G35" i="2"/>
  <c r="G30" i="2"/>
  <c r="G17" i="2"/>
  <c r="G11" i="2"/>
  <c r="G6" i="2"/>
  <c r="G44" i="2"/>
  <c r="N48" i="9" l="1"/>
  <c r="E48" i="9"/>
  <c r="G21" i="2"/>
  <c r="G23" i="2" s="1"/>
  <c r="Q48" i="9"/>
  <c r="G43" i="2"/>
  <c r="H48" i="9"/>
  <c r="M24" i="7" l="1"/>
  <c r="L24" i="7"/>
  <c r="J25" i="7"/>
  <c r="C24" i="7"/>
  <c r="B24" i="7"/>
  <c r="H40" i="2"/>
  <c r="H30" i="2"/>
  <c r="H17" i="2"/>
  <c r="H6" i="2"/>
  <c r="H11" i="2" l="1"/>
  <c r="H44" i="2"/>
  <c r="D24" i="7"/>
  <c r="N24" i="7"/>
  <c r="H21" i="2"/>
  <c r="H23" i="2" s="1"/>
  <c r="J20" i="3"/>
  <c r="J21" i="3"/>
  <c r="H35" i="2"/>
  <c r="E44" i="9"/>
  <c r="N44" i="9"/>
  <c r="Q44" i="9"/>
  <c r="H44" i="9"/>
  <c r="H43" i="2"/>
  <c r="H45" i="2" l="1"/>
  <c r="M23" i="7"/>
  <c r="L23" i="7"/>
  <c r="O24" i="7"/>
  <c r="J24" i="7"/>
  <c r="C23" i="7"/>
  <c r="B23" i="7"/>
  <c r="E24" i="7"/>
  <c r="G23" i="7" l="1"/>
  <c r="H23" i="7"/>
  <c r="M22" i="7"/>
  <c r="L22" i="7"/>
  <c r="C22" i="7"/>
  <c r="B22" i="7"/>
  <c r="O23" i="7"/>
  <c r="J23" i="7"/>
  <c r="E23" i="7"/>
  <c r="G22" i="7" l="1"/>
  <c r="H22" i="7"/>
  <c r="F65" i="9"/>
  <c r="C65" i="9"/>
  <c r="L65" i="9"/>
  <c r="O65" i="9"/>
  <c r="G65" i="9"/>
  <c r="M65" i="9"/>
  <c r="P65" i="9"/>
  <c r="O22" i="7"/>
  <c r="J22" i="7"/>
  <c r="E22" i="7"/>
  <c r="C21" i="7" l="1"/>
  <c r="B21" i="7"/>
  <c r="M21" i="7" l="1"/>
  <c r="L21" i="7"/>
  <c r="G21" i="7" l="1"/>
  <c r="H21" i="7" l="1"/>
  <c r="I21" i="2" l="1"/>
  <c r="I17" i="2"/>
  <c r="I11" i="2"/>
  <c r="I6" i="2"/>
  <c r="I40" i="2"/>
  <c r="I35" i="2"/>
  <c r="I43" i="2" l="1"/>
  <c r="I44" i="2"/>
  <c r="I23" i="2"/>
  <c r="I30" i="2"/>
  <c r="D36" i="15"/>
  <c r="O21" i="7"/>
  <c r="J21" i="7"/>
  <c r="E21" i="7"/>
  <c r="J3" i="17"/>
  <c r="I45" i="2" l="1"/>
  <c r="G17" i="4"/>
  <c r="G27" i="4"/>
  <c r="C13" i="9"/>
  <c r="G12" i="4"/>
  <c r="G20" i="4"/>
  <c r="G32" i="4"/>
  <c r="C18" i="9"/>
  <c r="C31" i="9"/>
  <c r="C4" i="9"/>
  <c r="C54" i="9"/>
  <c r="D17" i="15"/>
  <c r="D27" i="15"/>
  <c r="D37" i="15"/>
  <c r="G7" i="4"/>
  <c r="J6" i="16"/>
  <c r="G41" i="4"/>
  <c r="D41" i="15"/>
  <c r="D7" i="15"/>
  <c r="D32" i="15"/>
  <c r="J30" i="16"/>
  <c r="L11" i="16"/>
  <c r="L23" i="16"/>
  <c r="L37" i="16"/>
  <c r="D12" i="15"/>
  <c r="G37" i="4"/>
  <c r="J11" i="16"/>
  <c r="J23" i="16"/>
  <c r="J37" i="16"/>
  <c r="D20" i="15"/>
  <c r="L6" i="16"/>
  <c r="L18" i="16"/>
  <c r="L30" i="16"/>
  <c r="G40" i="4"/>
  <c r="D40" i="15"/>
  <c r="J18" i="16"/>
  <c r="G21" i="4" l="1"/>
  <c r="D21" i="15"/>
  <c r="G42" i="4"/>
  <c r="D42" i="15"/>
  <c r="Q61" i="9"/>
  <c r="E61" i="9"/>
  <c r="O54" i="9"/>
  <c r="N60" i="9"/>
  <c r="H60" i="9"/>
  <c r="E60" i="9"/>
  <c r="Q59" i="9"/>
  <c r="N58" i="9"/>
  <c r="H58" i="9"/>
  <c r="E58" i="9"/>
  <c r="Q57" i="9"/>
  <c r="N56" i="9"/>
  <c r="H56" i="9"/>
  <c r="E56" i="9"/>
  <c r="P54" i="9"/>
  <c r="Q55" i="9"/>
  <c r="M54" i="9"/>
  <c r="D54" i="9"/>
  <c r="Q52" i="9"/>
  <c r="N52" i="9"/>
  <c r="N50" i="9"/>
  <c r="E50" i="9"/>
  <c r="Q46" i="9"/>
  <c r="N46" i="9"/>
  <c r="H46" i="9"/>
  <c r="N42" i="9"/>
  <c r="E42" i="9"/>
  <c r="N40" i="9"/>
  <c r="E40" i="9"/>
  <c r="N38" i="9"/>
  <c r="H38" i="9"/>
  <c r="Q36" i="9"/>
  <c r="N36" i="9"/>
  <c r="H36" i="9"/>
  <c r="N35" i="9"/>
  <c r="E35" i="9"/>
  <c r="N34" i="9"/>
  <c r="H34" i="9"/>
  <c r="M31" i="9"/>
  <c r="E33" i="9"/>
  <c r="Q32" i="9"/>
  <c r="N32" i="9"/>
  <c r="H32" i="9"/>
  <c r="G31" i="9"/>
  <c r="Q29" i="9"/>
  <c r="N29" i="9"/>
  <c r="H29" i="9"/>
  <c r="N27" i="9"/>
  <c r="E27" i="9"/>
  <c r="Q25" i="9"/>
  <c r="N25" i="9"/>
  <c r="H25" i="9"/>
  <c r="E25" i="9"/>
  <c r="N24" i="9"/>
  <c r="E24" i="9"/>
  <c r="Q23" i="9"/>
  <c r="N23" i="9"/>
  <c r="H23" i="9"/>
  <c r="N22" i="9"/>
  <c r="E22" i="9"/>
  <c r="Q21" i="9"/>
  <c r="N21" i="9"/>
  <c r="H21" i="9"/>
  <c r="N20" i="9"/>
  <c r="E20" i="9"/>
  <c r="Q19" i="9"/>
  <c r="N19" i="9"/>
  <c r="M18" i="9"/>
  <c r="G18" i="9"/>
  <c r="H19" i="9"/>
  <c r="P18" i="9"/>
  <c r="O18" i="9"/>
  <c r="Q16" i="9"/>
  <c r="N16" i="9"/>
  <c r="H16" i="9"/>
  <c r="P13" i="9"/>
  <c r="N15" i="9"/>
  <c r="E15" i="9"/>
  <c r="O13" i="9"/>
  <c r="N14" i="9"/>
  <c r="M13" i="9"/>
  <c r="H14" i="9"/>
  <c r="G13" i="9"/>
  <c r="F13" i="9"/>
  <c r="E14" i="9"/>
  <c r="Q11" i="9"/>
  <c r="N11" i="9"/>
  <c r="H11" i="9"/>
  <c r="H9" i="9"/>
  <c r="E9" i="9"/>
  <c r="Q7" i="9"/>
  <c r="H7" i="9"/>
  <c r="Q6" i="9"/>
  <c r="M4" i="9"/>
  <c r="D4" i="9"/>
  <c r="Q5" i="9"/>
  <c r="N5" i="9"/>
  <c r="H5" i="9"/>
  <c r="E5" i="9"/>
  <c r="O4" i="9"/>
  <c r="M66" i="9" l="1"/>
  <c r="N7" i="9"/>
  <c r="L31" i="9"/>
  <c r="N31" i="9" s="1"/>
  <c r="D31" i="9"/>
  <c r="E31" i="9" s="1"/>
  <c r="G4" i="9"/>
  <c r="P4" i="9"/>
  <c r="Q4" i="9" s="1"/>
  <c r="N9" i="9"/>
  <c r="E11" i="9"/>
  <c r="L13" i="9"/>
  <c r="N13" i="9" s="1"/>
  <c r="Q14" i="9"/>
  <c r="E36" i="9"/>
  <c r="P31" i="9"/>
  <c r="E6" i="9"/>
  <c r="N6" i="9"/>
  <c r="F18" i="9"/>
  <c r="H18" i="9" s="1"/>
  <c r="O31" i="9"/>
  <c r="O66" i="9" s="1"/>
  <c r="N33" i="9"/>
  <c r="Q34" i="9"/>
  <c r="E37" i="9"/>
  <c r="N37" i="9"/>
  <c r="Q38" i="9"/>
  <c r="E57" i="9"/>
  <c r="N57" i="9"/>
  <c r="E59" i="9"/>
  <c r="N59" i="9"/>
  <c r="H35" i="9"/>
  <c r="H50" i="9"/>
  <c r="F4" i="9"/>
  <c r="L4" i="9"/>
  <c r="N4" i="9" s="1"/>
  <c r="H6" i="9"/>
  <c r="D13" i="9"/>
  <c r="E16" i="9"/>
  <c r="E19" i="9"/>
  <c r="H22" i="9"/>
  <c r="E29" i="9"/>
  <c r="F31" i="9"/>
  <c r="H33" i="9"/>
  <c r="E38" i="9"/>
  <c r="E46" i="9"/>
  <c r="H13" i="9"/>
  <c r="H20" i="9"/>
  <c r="E4" i="9"/>
  <c r="E7" i="9"/>
  <c r="L18" i="9"/>
  <c r="N18" i="9" s="1"/>
  <c r="D18" i="9"/>
  <c r="E21" i="9"/>
  <c r="H24" i="9"/>
  <c r="H40" i="9"/>
  <c r="Q54" i="9"/>
  <c r="G54" i="9"/>
  <c r="Q56" i="9"/>
  <c r="H15" i="9"/>
  <c r="E23" i="9"/>
  <c r="H27" i="9"/>
  <c r="E32" i="9"/>
  <c r="E34" i="9"/>
  <c r="H37" i="9"/>
  <c r="H42" i="9"/>
  <c r="E55" i="9"/>
  <c r="N55" i="9"/>
  <c r="Q58" i="9"/>
  <c r="Q60" i="9"/>
  <c r="Q9" i="9"/>
  <c r="Q13" i="9"/>
  <c r="Q15" i="9"/>
  <c r="Q18" i="9"/>
  <c r="Q20" i="9"/>
  <c r="Q22" i="9"/>
  <c r="Q24" i="9"/>
  <c r="Q27" i="9"/>
  <c r="Q33" i="9"/>
  <c r="Q35" i="9"/>
  <c r="Q37" i="9"/>
  <c r="Q40" i="9"/>
  <c r="Q42" i="9"/>
  <c r="Q50" i="9"/>
  <c r="F54" i="9"/>
  <c r="L54" i="9"/>
  <c r="H55" i="9"/>
  <c r="H57" i="9"/>
  <c r="H59" i="9"/>
  <c r="H61" i="9"/>
  <c r="N61" i="9"/>
  <c r="P66" i="9" l="1"/>
  <c r="P64" i="9" s="1"/>
  <c r="D66" i="9"/>
  <c r="D64" i="9" s="1"/>
  <c r="L66" i="9"/>
  <c r="G66" i="9"/>
  <c r="G64" i="9" s="1"/>
  <c r="R48" i="9"/>
  <c r="Q31" i="9"/>
  <c r="E18" i="9"/>
  <c r="E65" i="9"/>
  <c r="M64" i="9"/>
  <c r="N65" i="9"/>
  <c r="H54" i="9"/>
  <c r="H31" i="9"/>
  <c r="H4" i="9"/>
  <c r="Q65" i="9"/>
  <c r="N54" i="9"/>
  <c r="E13" i="9"/>
  <c r="H65" i="9"/>
  <c r="E54" i="9"/>
  <c r="R57" i="9" l="1"/>
  <c r="R44" i="9"/>
  <c r="R31" i="9"/>
  <c r="R35" i="9"/>
  <c r="R22" i="9"/>
  <c r="R33" i="9"/>
  <c r="R55" i="9"/>
  <c r="R23" i="9"/>
  <c r="R24" i="9"/>
  <c r="R65" i="9"/>
  <c r="R19" i="9"/>
  <c r="R46" i="9"/>
  <c r="R42" i="9"/>
  <c r="R14" i="9"/>
  <c r="R54" i="9"/>
  <c r="R20" i="9"/>
  <c r="R60" i="9"/>
  <c r="R13" i="9"/>
  <c r="R56" i="9"/>
  <c r="R9" i="9"/>
  <c r="O64" i="9"/>
  <c r="R50" i="9"/>
  <c r="R27" i="9"/>
  <c r="R59" i="9"/>
  <c r="R7" i="9"/>
  <c r="R6" i="9"/>
  <c r="R32" i="9"/>
  <c r="R52" i="9"/>
  <c r="R40" i="9"/>
  <c r="R58" i="9"/>
  <c r="R5" i="9"/>
  <c r="R34" i="9"/>
  <c r="R16" i="9"/>
  <c r="R25" i="9"/>
  <c r="Q66" i="9"/>
  <c r="R18" i="9"/>
  <c r="R29" i="9"/>
  <c r="R51" i="9"/>
  <c r="R61" i="9"/>
  <c r="R15" i="9"/>
  <c r="R4" i="9"/>
  <c r="R37" i="9"/>
  <c r="R36" i="9"/>
  <c r="R21" i="9"/>
  <c r="R11" i="9"/>
  <c r="R38" i="9"/>
  <c r="R66" i="9"/>
  <c r="N66" i="9"/>
  <c r="L64" i="9"/>
  <c r="R64" i="9" l="1"/>
  <c r="Q64" i="9"/>
  <c r="N64" i="9"/>
  <c r="J2" i="9" l="1"/>
  <c r="M24" i="17" l="1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J45" i="15" l="1"/>
  <c r="J44" i="15"/>
  <c r="J36" i="15"/>
  <c r="J37" i="15" l="1"/>
  <c r="G11" i="16"/>
  <c r="G37" i="16"/>
  <c r="J12" i="15"/>
  <c r="J20" i="15"/>
  <c r="J32" i="15"/>
  <c r="G30" i="16"/>
  <c r="J7" i="15"/>
  <c r="J27" i="15"/>
  <c r="G23" i="16"/>
  <c r="J17" i="15"/>
  <c r="J41" i="15"/>
  <c r="G6" i="16"/>
  <c r="G18" i="16"/>
  <c r="J40" i="15"/>
  <c r="J21" i="15" l="1"/>
  <c r="J42" i="15"/>
  <c r="E36" i="15"/>
  <c r="E17" i="15" l="1"/>
  <c r="D18" i="3"/>
  <c r="E27" i="15"/>
  <c r="J7" i="4"/>
  <c r="D30" i="3"/>
  <c r="E22" i="3"/>
  <c r="I17" i="4"/>
  <c r="I37" i="4"/>
  <c r="J40" i="4"/>
  <c r="E44" i="3"/>
  <c r="D44" i="3"/>
  <c r="E7" i="15"/>
  <c r="J20" i="4"/>
  <c r="E12" i="15"/>
  <c r="E20" i="15"/>
  <c r="E32" i="15"/>
  <c r="D22" i="3"/>
  <c r="D7" i="3"/>
  <c r="D40" i="3"/>
  <c r="E7" i="3"/>
  <c r="E18" i="3"/>
  <c r="E30" i="3"/>
  <c r="J17" i="4"/>
  <c r="J27" i="4"/>
  <c r="J41" i="4"/>
  <c r="E41" i="15"/>
  <c r="E12" i="3"/>
  <c r="E35" i="3"/>
  <c r="I20" i="4"/>
  <c r="J37" i="4"/>
  <c r="J12" i="4"/>
  <c r="D12" i="3"/>
  <c r="D35" i="3"/>
  <c r="I7" i="4"/>
  <c r="I27" i="4"/>
  <c r="E40" i="15"/>
  <c r="E37" i="15"/>
  <c r="J32" i="4"/>
  <c r="I12" i="4"/>
  <c r="I32" i="4"/>
  <c r="I41" i="4"/>
  <c r="I40" i="4"/>
  <c r="E40" i="3"/>
  <c r="E43" i="3"/>
  <c r="D43" i="3"/>
  <c r="E21" i="15" l="1"/>
  <c r="E23" i="3"/>
  <c r="D23" i="3"/>
  <c r="D45" i="3"/>
  <c r="J21" i="4"/>
  <c r="I42" i="4"/>
  <c r="E45" i="3"/>
  <c r="I21" i="4"/>
  <c r="E42" i="15"/>
  <c r="J42" i="4"/>
  <c r="M10" i="15" l="1"/>
  <c r="M18" i="15"/>
  <c r="P4" i="16"/>
  <c r="M5" i="15"/>
  <c r="M15" i="15"/>
  <c r="M6" i="15"/>
  <c r="M16" i="15"/>
  <c r="M11" i="15"/>
  <c r="M19" i="15"/>
  <c r="H32" i="8" l="1"/>
  <c r="H18" i="8"/>
  <c r="H6" i="8"/>
  <c r="H31" i="8"/>
  <c r="H10" i="8"/>
  <c r="H12" i="8" l="1"/>
  <c r="H23" i="8"/>
  <c r="H28" i="8"/>
  <c r="H33" i="8" l="1"/>
  <c r="F41" i="4" l="1"/>
  <c r="F20" i="4"/>
  <c r="F17" i="4"/>
  <c r="F40" i="4"/>
  <c r="F7" i="4"/>
  <c r="F27" i="4"/>
  <c r="F12" i="4"/>
  <c r="F32" i="4"/>
  <c r="F37" i="4"/>
  <c r="F21" i="4" l="1"/>
  <c r="F42" i="4"/>
  <c r="F45" i="15"/>
  <c r="F44" i="15"/>
  <c r="L36" i="15"/>
  <c r="K36" i="15"/>
  <c r="I36" i="15"/>
  <c r="H36" i="15"/>
  <c r="G36" i="15"/>
  <c r="F36" i="15"/>
  <c r="C36" i="15"/>
  <c r="B36" i="15"/>
  <c r="L35" i="15"/>
  <c r="K35" i="15"/>
  <c r="I35" i="15"/>
  <c r="K30" i="15"/>
  <c r="K7" i="15" l="1"/>
  <c r="M23" i="16"/>
  <c r="F11" i="2"/>
  <c r="F21" i="2"/>
  <c r="F35" i="2"/>
  <c r="K37" i="15"/>
  <c r="M30" i="16"/>
  <c r="M6" i="16"/>
  <c r="M37" i="16"/>
  <c r="F6" i="2"/>
  <c r="F17" i="2"/>
  <c r="F30" i="2"/>
  <c r="F40" i="2"/>
  <c r="K32" i="15"/>
  <c r="K12" i="15"/>
  <c r="K27" i="15"/>
  <c r="K17" i="15"/>
  <c r="M18" i="16"/>
  <c r="K40" i="15"/>
  <c r="K20" i="15"/>
  <c r="M11" i="16"/>
  <c r="K41" i="15"/>
  <c r="F43" i="2"/>
  <c r="F44" i="2"/>
  <c r="F45" i="2" l="1"/>
  <c r="F23" i="2"/>
  <c r="G45" i="2"/>
  <c r="K21" i="15"/>
  <c r="K42" i="15"/>
  <c r="I10" i="8" l="1"/>
  <c r="I18" i="8" l="1"/>
  <c r="I28" i="8"/>
  <c r="I31" i="8"/>
  <c r="I23" i="8"/>
  <c r="I6" i="8"/>
  <c r="I12" i="8" s="1"/>
  <c r="I32" i="8"/>
  <c r="L18" i="8"/>
  <c r="D30" i="2"/>
  <c r="B30" i="3"/>
  <c r="C27" i="4"/>
  <c r="K27" i="4"/>
  <c r="F27" i="15"/>
  <c r="D23" i="8"/>
  <c r="D35" i="2"/>
  <c r="B35" i="3"/>
  <c r="F35" i="3"/>
  <c r="H35" i="3"/>
  <c r="E32" i="4"/>
  <c r="B32" i="15"/>
  <c r="I32" i="15"/>
  <c r="L32" i="15"/>
  <c r="K31" i="8"/>
  <c r="D17" i="4"/>
  <c r="G17" i="15"/>
  <c r="L17" i="15"/>
  <c r="D20" i="4"/>
  <c r="B20" i="15"/>
  <c r="C17" i="2"/>
  <c r="F18" i="3"/>
  <c r="I18" i="3"/>
  <c r="D21" i="2"/>
  <c r="H22" i="3"/>
  <c r="C11" i="2"/>
  <c r="D11" i="2"/>
  <c r="K12" i="4"/>
  <c r="C12" i="15"/>
  <c r="F12" i="15"/>
  <c r="B7" i="15"/>
  <c r="L7" i="15"/>
  <c r="J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F31" i="7" s="1"/>
  <c r="N29" i="7"/>
  <c r="D29" i="7"/>
  <c r="F29" i="7" s="1"/>
  <c r="N32" i="7"/>
  <c r="P32" i="7" s="1"/>
  <c r="I32" i="7"/>
  <c r="K32" i="7" s="1"/>
  <c r="D32" i="7"/>
  <c r="F32" i="7" s="1"/>
  <c r="I31" i="7"/>
  <c r="K31" i="7" s="1"/>
  <c r="I30" i="7"/>
  <c r="K30" i="7" s="1"/>
  <c r="P29" i="7"/>
  <c r="I29" i="7"/>
  <c r="K29" i="7" s="1"/>
  <c r="M45" i="15"/>
  <c r="M44" i="15"/>
  <c r="P20" i="16"/>
  <c r="P8" i="16"/>
  <c r="K42" i="2"/>
  <c r="K37" i="2"/>
  <c r="K36" i="2"/>
  <c r="K32" i="2"/>
  <c r="K8" i="2"/>
  <c r="M34" i="4"/>
  <c r="M33" i="4"/>
  <c r="M14" i="4"/>
  <c r="B10" i="8"/>
  <c r="D10" i="8"/>
  <c r="E10" i="8"/>
  <c r="G10" i="8"/>
  <c r="J10" i="8"/>
  <c r="K10" i="8"/>
  <c r="L10" i="8"/>
  <c r="J33" i="8"/>
  <c r="L32" i="8" l="1"/>
  <c r="O37" i="16"/>
  <c r="H18" i="3"/>
  <c r="H23" i="3" s="1"/>
  <c r="C17" i="4"/>
  <c r="K37" i="4"/>
  <c r="K37" i="16"/>
  <c r="E32" i="8"/>
  <c r="I37" i="16"/>
  <c r="B18" i="3"/>
  <c r="F17" i="15"/>
  <c r="B37" i="16"/>
  <c r="F37" i="16"/>
  <c r="H44" i="3"/>
  <c r="J48" i="3"/>
  <c r="J50" i="2" s="1"/>
  <c r="K50" i="2" s="1"/>
  <c r="D30" i="16"/>
  <c r="I30" i="16"/>
  <c r="O11" i="16"/>
  <c r="F41" i="15"/>
  <c r="K41" i="4"/>
  <c r="C23" i="16"/>
  <c r="L28" i="8"/>
  <c r="B22" i="3"/>
  <c r="K20" i="4"/>
  <c r="K17" i="4"/>
  <c r="B46" i="4"/>
  <c r="B47" i="4" s="1"/>
  <c r="B44" i="3"/>
  <c r="D44" i="2"/>
  <c r="B18" i="8"/>
  <c r="N18" i="16"/>
  <c r="D6" i="16"/>
  <c r="C7" i="7"/>
  <c r="G18" i="3"/>
  <c r="I20" i="15"/>
  <c r="H17" i="4"/>
  <c r="K28" i="8"/>
  <c r="B28" i="8"/>
  <c r="I37" i="15"/>
  <c r="E40" i="2"/>
  <c r="B40" i="2"/>
  <c r="H40" i="15"/>
  <c r="O18" i="16"/>
  <c r="B27" i="15"/>
  <c r="B30" i="16"/>
  <c r="F30" i="16"/>
  <c r="N30" i="16"/>
  <c r="E18" i="16"/>
  <c r="K18" i="16"/>
  <c r="E6" i="2"/>
  <c r="G12" i="15"/>
  <c r="I22" i="3"/>
  <c r="I23" i="3" s="1"/>
  <c r="B17" i="15"/>
  <c r="F12" i="7"/>
  <c r="B12" i="7"/>
  <c r="K6" i="8"/>
  <c r="K12" i="8" s="1"/>
  <c r="M32" i="8"/>
  <c r="L41" i="15"/>
  <c r="G41" i="15"/>
  <c r="B41" i="15"/>
  <c r="D41" i="4"/>
  <c r="D28" i="8"/>
  <c r="F40" i="15"/>
  <c r="K40" i="4"/>
  <c r="I18" i="16"/>
  <c r="E43" i="2"/>
  <c r="B43" i="2"/>
  <c r="H32" i="15"/>
  <c r="C32" i="15"/>
  <c r="G44" i="3"/>
  <c r="B23" i="16"/>
  <c r="H11" i="16"/>
  <c r="F6" i="16"/>
  <c r="B6" i="16"/>
  <c r="K11" i="16"/>
  <c r="E11" i="16"/>
  <c r="I6" i="16"/>
  <c r="I12" i="15"/>
  <c r="H12" i="4"/>
  <c r="G12" i="3"/>
  <c r="C21" i="2"/>
  <c r="C23" i="2" s="1"/>
  <c r="H20" i="4"/>
  <c r="I17" i="15"/>
  <c r="D32" i="4"/>
  <c r="I35" i="3"/>
  <c r="C35" i="3"/>
  <c r="M23" i="8"/>
  <c r="E23" i="8"/>
  <c r="L27" i="15"/>
  <c r="G27" i="15"/>
  <c r="J28" i="3"/>
  <c r="J28" i="2" s="1"/>
  <c r="K28" i="2" s="1"/>
  <c r="B5" i="5" s="1"/>
  <c r="K23" i="8"/>
  <c r="I33" i="8"/>
  <c r="C30" i="16"/>
  <c r="H30" i="16"/>
  <c r="G7" i="3"/>
  <c r="E7" i="7"/>
  <c r="C12" i="7"/>
  <c r="L6" i="8"/>
  <c r="L12" i="8" s="1"/>
  <c r="C44" i="3"/>
  <c r="F32" i="15"/>
  <c r="K32" i="4"/>
  <c r="D27" i="4"/>
  <c r="M18" i="8"/>
  <c r="E18" i="8"/>
  <c r="G31" i="8"/>
  <c r="I23" i="16"/>
  <c r="H6" i="16"/>
  <c r="C6" i="16"/>
  <c r="E6" i="16"/>
  <c r="F7" i="3"/>
  <c r="I7" i="3"/>
  <c r="C7" i="3"/>
  <c r="B6" i="8"/>
  <c r="B12" i="8" s="1"/>
  <c r="B40" i="4"/>
  <c r="E23" i="16"/>
  <c r="K23" i="16"/>
  <c r="K7" i="4"/>
  <c r="C7" i="4"/>
  <c r="J10" i="3"/>
  <c r="J9" i="2" s="1"/>
  <c r="B17" i="2"/>
  <c r="D21" i="1"/>
  <c r="H41" i="15"/>
  <c r="M36" i="15"/>
  <c r="L36" i="4" s="1"/>
  <c r="M36" i="4" s="1"/>
  <c r="C16" i="5" s="1"/>
  <c r="B37" i="4"/>
  <c r="M31" i="8"/>
  <c r="E28" i="8"/>
  <c r="L40" i="15"/>
  <c r="D40" i="4"/>
  <c r="H40" i="3"/>
  <c r="B40" i="3"/>
  <c r="D40" i="2"/>
  <c r="F44" i="3"/>
  <c r="B32" i="8"/>
  <c r="M10" i="8"/>
  <c r="I7" i="15"/>
  <c r="L12" i="15"/>
  <c r="D12" i="4"/>
  <c r="C12" i="3"/>
  <c r="C22" i="3"/>
  <c r="G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P5" i="16"/>
  <c r="M26" i="15"/>
  <c r="L26" i="4" s="1"/>
  <c r="M26" i="4" s="1"/>
  <c r="C6" i="5" s="1"/>
  <c r="C40" i="3"/>
  <c r="B23" i="8"/>
  <c r="N23" i="16"/>
  <c r="D37" i="4"/>
  <c r="B40" i="15"/>
  <c r="J19" i="2"/>
  <c r="K19" i="2" s="1"/>
  <c r="N8" i="8"/>
  <c r="G43" i="3"/>
  <c r="B27" i="4"/>
  <c r="L19" i="4"/>
  <c r="M19" i="4" s="1"/>
  <c r="E31" i="8"/>
  <c r="D7" i="4"/>
  <c r="J39" i="3"/>
  <c r="J39" i="2" s="1"/>
  <c r="K39" i="2" s="1"/>
  <c r="B16" i="5" s="1"/>
  <c r="B32" i="4"/>
  <c r="E35" i="2"/>
  <c r="B35" i="2"/>
  <c r="G23" i="8"/>
  <c r="D43" i="2"/>
  <c r="F23" i="16"/>
  <c r="N11" i="16"/>
  <c r="L20" i="15"/>
  <c r="L21" i="15" s="1"/>
  <c r="C40" i="4"/>
  <c r="D31" i="8"/>
  <c r="F43" i="3"/>
  <c r="B41" i="4"/>
  <c r="C32" i="4"/>
  <c r="B18" i="16"/>
  <c r="F18" i="16"/>
  <c r="P21" i="16"/>
  <c r="H7" i="3"/>
  <c r="C6" i="2"/>
  <c r="F7" i="15"/>
  <c r="H7" i="15"/>
  <c r="E7" i="4"/>
  <c r="J15" i="2"/>
  <c r="K15" i="2" s="1"/>
  <c r="I40" i="15"/>
  <c r="E6" i="8"/>
  <c r="E12" i="8" s="1"/>
  <c r="N5" i="8"/>
  <c r="C19" i="1" s="1"/>
  <c r="N27" i="8"/>
  <c r="D16" i="5" s="1"/>
  <c r="C44" i="2"/>
  <c r="H23" i="16"/>
  <c r="J5" i="3"/>
  <c r="J4" i="2" s="1"/>
  <c r="K4" i="2" s="1"/>
  <c r="B5" i="1" s="1"/>
  <c r="C7" i="15"/>
  <c r="L5" i="4"/>
  <c r="M5" i="4" s="1"/>
  <c r="L16" i="4"/>
  <c r="M16" i="4" s="1"/>
  <c r="G20" i="15"/>
  <c r="G21" i="15" s="1"/>
  <c r="I30" i="3"/>
  <c r="I43" i="3"/>
  <c r="J34" i="3"/>
  <c r="J34" i="2" s="1"/>
  <c r="K34" i="2" s="1"/>
  <c r="B11" i="5" s="1"/>
  <c r="J29" i="3"/>
  <c r="J29" i="2" s="1"/>
  <c r="F12" i="3"/>
  <c r="G35" i="3"/>
  <c r="M31" i="15"/>
  <c r="L31" i="4" s="1"/>
  <c r="G18" i="8"/>
  <c r="C30" i="2"/>
  <c r="I40" i="3"/>
  <c r="I44" i="3"/>
  <c r="N9" i="8"/>
  <c r="K30" i="16"/>
  <c r="P28" i="16"/>
  <c r="P17" i="16"/>
  <c r="H18" i="16"/>
  <c r="D23" i="16"/>
  <c r="H40" i="4"/>
  <c r="H37" i="4"/>
  <c r="J38" i="3"/>
  <c r="J38" i="2" s="1"/>
  <c r="F40" i="3"/>
  <c r="G28" i="8"/>
  <c r="G32" i="8"/>
  <c r="N16" i="8"/>
  <c r="D5" i="5" s="1"/>
  <c r="H37" i="15"/>
  <c r="L18" i="4"/>
  <c r="M18" i="4" s="1"/>
  <c r="K32" i="8"/>
  <c r="P10" i="16"/>
  <c r="B11" i="16"/>
  <c r="K51" i="2"/>
  <c r="J20" i="2"/>
  <c r="K20" i="2" s="1"/>
  <c r="G22" i="3"/>
  <c r="H41" i="4"/>
  <c r="N26" i="8"/>
  <c r="D15" i="5" s="1"/>
  <c r="C37" i="15"/>
  <c r="G30" i="3"/>
  <c r="M46" i="15"/>
  <c r="L44" i="4" s="1"/>
  <c r="M44" i="4" s="1"/>
  <c r="N37" i="16"/>
  <c r="F11" i="16"/>
  <c r="M47" i="15"/>
  <c r="L45" i="4" s="1"/>
  <c r="M45" i="4" s="1"/>
  <c r="F22" i="3"/>
  <c r="F23" i="3" s="1"/>
  <c r="B21" i="2"/>
  <c r="L37" i="15"/>
  <c r="E37" i="4"/>
  <c r="M30" i="15"/>
  <c r="L30" i="4" s="1"/>
  <c r="M30" i="4" s="1"/>
  <c r="C10" i="5" s="1"/>
  <c r="I27" i="15"/>
  <c r="N22" i="8"/>
  <c r="D11" i="5" s="1"/>
  <c r="H27" i="15"/>
  <c r="C41" i="15"/>
  <c r="E41" i="4"/>
  <c r="F30" i="3"/>
  <c r="N17" i="8"/>
  <c r="E30" i="16"/>
  <c r="H37" i="16"/>
  <c r="K6" i="16"/>
  <c r="I11" i="16"/>
  <c r="D11" i="16"/>
  <c r="D6" i="2"/>
  <c r="L6" i="4"/>
  <c r="M6" i="4" s="1"/>
  <c r="F7" i="7"/>
  <c r="E11" i="2"/>
  <c r="B11" i="2"/>
  <c r="B12" i="3"/>
  <c r="F20" i="15"/>
  <c r="C20" i="4"/>
  <c r="F37" i="15"/>
  <c r="B37" i="15"/>
  <c r="N21" i="8"/>
  <c r="H27" i="4"/>
  <c r="O6" i="16"/>
  <c r="J6" i="3"/>
  <c r="J5" i="2" s="1"/>
  <c r="K5" i="2" s="1"/>
  <c r="C5" i="1" s="1"/>
  <c r="B7" i="3"/>
  <c r="G7" i="15"/>
  <c r="H7" i="4"/>
  <c r="D7" i="7"/>
  <c r="I12" i="3"/>
  <c r="D17" i="2"/>
  <c r="D23" i="2" s="1"/>
  <c r="C17" i="15"/>
  <c r="E17" i="4"/>
  <c r="D12" i="7"/>
  <c r="E12" i="7"/>
  <c r="M6" i="8"/>
  <c r="I41" i="15"/>
  <c r="B31" i="8"/>
  <c r="K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J6" i="8"/>
  <c r="J12" i="8" s="1"/>
  <c r="M28" i="8"/>
  <c r="G6" i="8"/>
  <c r="G12" i="8" s="1"/>
  <c r="B6" i="2"/>
  <c r="J16" i="2"/>
  <c r="C41" i="4"/>
  <c r="C40" i="15"/>
  <c r="M25" i="15"/>
  <c r="L25" i="4" s="1"/>
  <c r="C27" i="15"/>
  <c r="E40" i="4"/>
  <c r="E27" i="4"/>
  <c r="O30" i="16"/>
  <c r="P27" i="16"/>
  <c r="P16" i="16"/>
  <c r="D18" i="16"/>
  <c r="O23" i="16"/>
  <c r="P22" i="16"/>
  <c r="E37" i="16"/>
  <c r="P34" i="16"/>
  <c r="J12" i="5"/>
  <c r="J21" i="5"/>
  <c r="N4" i="8"/>
  <c r="B19" i="1" s="1"/>
  <c r="D6" i="8"/>
  <c r="L31" i="8"/>
  <c r="L23" i="8"/>
  <c r="D32" i="8"/>
  <c r="B43" i="3"/>
  <c r="C11" i="16"/>
  <c r="P9" i="16"/>
  <c r="B28" i="7" s="1"/>
  <c r="B12" i="15"/>
  <c r="L10" i="4"/>
  <c r="M10" i="4" s="1"/>
  <c r="G40" i="15"/>
  <c r="M35" i="15"/>
  <c r="L35" i="4" s="1"/>
  <c r="G37" i="15"/>
  <c r="E44" i="2"/>
  <c r="E30" i="2"/>
  <c r="B44" i="2"/>
  <c r="B30" i="2"/>
  <c r="J33" i="3"/>
  <c r="J33" i="2" s="1"/>
  <c r="D18" i="8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H12" i="3"/>
  <c r="C18" i="3"/>
  <c r="G10" i="7"/>
  <c r="B18" i="1" s="1"/>
  <c r="C37" i="4"/>
  <c r="H43" i="3"/>
  <c r="H30" i="3"/>
  <c r="C30" i="3"/>
  <c r="C43" i="3"/>
  <c r="G21" i="1" l="1"/>
  <c r="C28" i="7"/>
  <c r="F27" i="7"/>
  <c r="F26" i="7"/>
  <c r="J22" i="3"/>
  <c r="J18" i="3"/>
  <c r="F25" i="7"/>
  <c r="F24" i="7"/>
  <c r="D23" i="7"/>
  <c r="F23" i="7" s="1"/>
  <c r="F20" i="1"/>
  <c r="F21" i="1"/>
  <c r="M20" i="15"/>
  <c r="M7" i="15"/>
  <c r="B21" i="15"/>
  <c r="M17" i="15"/>
  <c r="M12" i="15"/>
  <c r="C6" i="1"/>
  <c r="B6" i="1"/>
  <c r="H21" i="4"/>
  <c r="H21" i="15"/>
  <c r="B23" i="3"/>
  <c r="B42" i="15"/>
  <c r="K42" i="4"/>
  <c r="L42" i="15"/>
  <c r="L7" i="4"/>
  <c r="M7" i="4" s="1"/>
  <c r="K21" i="4"/>
  <c r="I45" i="3"/>
  <c r="C21" i="4"/>
  <c r="B23" i="2"/>
  <c r="B33" i="1"/>
  <c r="D33" i="1" s="1"/>
  <c r="N10" i="8"/>
  <c r="H45" i="3"/>
  <c r="K33" i="8"/>
  <c r="F21" i="15"/>
  <c r="G45" i="3"/>
  <c r="D45" i="2"/>
  <c r="C45" i="3"/>
  <c r="M12" i="8"/>
  <c r="G23" i="3"/>
  <c r="B33" i="8"/>
  <c r="H42" i="15"/>
  <c r="I21" i="15"/>
  <c r="F42" i="15"/>
  <c r="B42" i="4"/>
  <c r="D7" i="1"/>
  <c r="J17" i="2"/>
  <c r="K17" i="2" s="1"/>
  <c r="J12" i="3"/>
  <c r="J44" i="3"/>
  <c r="E45" i="2"/>
  <c r="M33" i="8"/>
  <c r="E21" i="4"/>
  <c r="D17" i="5"/>
  <c r="F45" i="3"/>
  <c r="G42" i="15"/>
  <c r="D18" i="1"/>
  <c r="C10" i="1"/>
  <c r="L27" i="4"/>
  <c r="M27" i="4" s="1"/>
  <c r="C21" i="15"/>
  <c r="D42" i="4"/>
  <c r="E33" i="8"/>
  <c r="J11" i="2"/>
  <c r="K11" i="2" s="1"/>
  <c r="K9" i="2"/>
  <c r="G33" i="8"/>
  <c r="J35" i="3"/>
  <c r="J40" i="3"/>
  <c r="J44" i="2"/>
  <c r="K44" i="2" s="1"/>
  <c r="M32" i="15"/>
  <c r="M25" i="4"/>
  <c r="C5" i="5" s="1"/>
  <c r="J30" i="3"/>
  <c r="P6" i="16"/>
  <c r="J7" i="3"/>
  <c r="N23" i="8"/>
  <c r="B21" i="4"/>
  <c r="N18" i="8"/>
  <c r="N31" i="8"/>
  <c r="G12" i="7"/>
  <c r="P11" i="16"/>
  <c r="J22" i="5"/>
  <c r="K29" i="2"/>
  <c r="B6" i="5" s="1"/>
  <c r="B7" i="5" s="1"/>
  <c r="J21" i="2"/>
  <c r="K21" i="2" s="1"/>
  <c r="H42" i="4"/>
  <c r="P23" i="16"/>
  <c r="L32" i="4"/>
  <c r="M32" i="4" s="1"/>
  <c r="C37" i="1"/>
  <c r="I42" i="15"/>
  <c r="E23" i="2"/>
  <c r="M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N32" i="8"/>
  <c r="G7" i="7"/>
  <c r="P30" i="16"/>
  <c r="N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L33" i="8"/>
  <c r="M37" i="15"/>
  <c r="C23" i="3"/>
  <c r="L17" i="4"/>
  <c r="M17" i="4" s="1"/>
  <c r="D10" i="5"/>
  <c r="D12" i="8"/>
  <c r="N6" i="8"/>
  <c r="E42" i="4"/>
  <c r="C42" i="15"/>
  <c r="M40" i="15"/>
  <c r="M41" i="15"/>
  <c r="D33" i="8"/>
  <c r="B45" i="2"/>
  <c r="L37" i="4"/>
  <c r="L40" i="4"/>
  <c r="M40" i="4" s="1"/>
  <c r="M35" i="4"/>
  <c r="C15" i="5" s="1"/>
  <c r="L12" i="4"/>
  <c r="M12" i="4" s="1"/>
  <c r="E16" i="5"/>
  <c r="F16" i="5" s="1"/>
  <c r="I16" i="5" s="1"/>
  <c r="K16" i="2"/>
  <c r="C16" i="1" s="1"/>
  <c r="C42" i="4"/>
  <c r="B45" i="3"/>
  <c r="J43" i="3"/>
  <c r="G7" i="1" l="1"/>
  <c r="I7" i="1" s="1"/>
  <c r="G18" i="1"/>
  <c r="G19" i="1"/>
  <c r="G5" i="1"/>
  <c r="D28" i="7"/>
  <c r="F28" i="7" s="1"/>
  <c r="D22" i="7"/>
  <c r="F22" i="7" s="1"/>
  <c r="B8" i="1"/>
  <c r="F18" i="1"/>
  <c r="I21" i="1"/>
  <c r="I20" i="1"/>
  <c r="M21" i="15"/>
  <c r="D6" i="1"/>
  <c r="C8" i="1"/>
  <c r="C33" i="1" s="1"/>
  <c r="C33" i="7"/>
  <c r="N12" i="8"/>
  <c r="B10" i="1"/>
  <c r="D21" i="7"/>
  <c r="F21" i="7" s="1"/>
  <c r="F19" i="1"/>
  <c r="J45" i="2"/>
  <c r="K45" i="2" s="1"/>
  <c r="J45" i="3"/>
  <c r="F7" i="1"/>
  <c r="J23" i="2"/>
  <c r="K23" i="2" s="1"/>
  <c r="B27" i="1"/>
  <c r="B21" i="5"/>
  <c r="B28" i="1"/>
  <c r="B33" i="7"/>
  <c r="L42" i="4"/>
  <c r="M42" i="4" s="1"/>
  <c r="M42" i="15"/>
  <c r="J23" i="3"/>
  <c r="B17" i="1"/>
  <c r="D17" i="1" s="1"/>
  <c r="G17" i="1" s="1"/>
  <c r="K43" i="2"/>
  <c r="C11" i="5"/>
  <c r="C28" i="1"/>
  <c r="C27" i="1"/>
  <c r="N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I6" i="5" s="1"/>
  <c r="C7" i="5"/>
  <c r="E5" i="5"/>
  <c r="G16" i="1" l="1"/>
  <c r="G6" i="1"/>
  <c r="I6" i="1" s="1"/>
  <c r="I19" i="1"/>
  <c r="D10" i="1"/>
  <c r="G10" i="1" s="1"/>
  <c r="I18" i="1"/>
  <c r="D8" i="1"/>
  <c r="F8" i="1" s="1"/>
  <c r="F6" i="1"/>
  <c r="C11" i="1"/>
  <c r="M28" i="7" s="1"/>
  <c r="H28" i="7" s="1"/>
  <c r="B32" i="1"/>
  <c r="D32" i="1" s="1"/>
  <c r="B11" i="1"/>
  <c r="L28" i="7" s="1"/>
  <c r="D33" i="7"/>
  <c r="D28" i="1"/>
  <c r="G28" i="1" s="1"/>
  <c r="B22" i="1"/>
  <c r="B29" i="1"/>
  <c r="C12" i="5"/>
  <c r="C21" i="5"/>
  <c r="E21" i="5" s="1"/>
  <c r="F21" i="5" s="1"/>
  <c r="I21" i="5" s="1"/>
  <c r="E11" i="5"/>
  <c r="F11" i="5" s="1"/>
  <c r="I11" i="5" s="1"/>
  <c r="C29" i="1"/>
  <c r="F5" i="5"/>
  <c r="I5" i="5" s="1"/>
  <c r="E7" i="5"/>
  <c r="I5" i="1"/>
  <c r="F16" i="1"/>
  <c r="D22" i="1"/>
  <c r="F22" i="1" s="1"/>
  <c r="D22" i="5"/>
  <c r="F15" i="5"/>
  <c r="I15" i="5" s="1"/>
  <c r="E17" i="5"/>
  <c r="D27" i="1" s="1"/>
  <c r="G27" i="1" s="1"/>
  <c r="B22" i="5"/>
  <c r="E20" i="5"/>
  <c r="H6" i="5"/>
  <c r="F10" i="5"/>
  <c r="I10" i="5" s="1"/>
  <c r="F17" i="1"/>
  <c r="N28" i="7" l="1"/>
  <c r="P28" i="7" s="1"/>
  <c r="G28" i="7"/>
  <c r="G27" i="7"/>
  <c r="H26" i="7"/>
  <c r="H27" i="7"/>
  <c r="P26" i="7"/>
  <c r="G26" i="7"/>
  <c r="G25" i="7"/>
  <c r="H24" i="7"/>
  <c r="H25" i="7"/>
  <c r="I10" i="1"/>
  <c r="G24" i="7"/>
  <c r="P24" i="7"/>
  <c r="F10" i="1"/>
  <c r="I23" i="7"/>
  <c r="K23" i="7" s="1"/>
  <c r="N23" i="7"/>
  <c r="P23" i="7" s="1"/>
  <c r="C32" i="1"/>
  <c r="N22" i="7"/>
  <c r="P22" i="7" s="1"/>
  <c r="H21" i="5"/>
  <c r="F28" i="1"/>
  <c r="G8" i="1"/>
  <c r="I8" i="1" s="1"/>
  <c r="F33" i="7"/>
  <c r="I17" i="1"/>
  <c r="D11" i="1"/>
  <c r="F11" i="1" s="1"/>
  <c r="N21" i="7"/>
  <c r="L33" i="7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K6" i="5"/>
  <c r="F20" i="5"/>
  <c r="I20" i="5" s="1"/>
  <c r="E22" i="5"/>
  <c r="F12" i="5"/>
  <c r="H12" i="5" s="1"/>
  <c r="H10" i="5"/>
  <c r="I28" i="7" l="1"/>
  <c r="K28" i="7" s="1"/>
  <c r="I26" i="7"/>
  <c r="K26" i="7" s="1"/>
  <c r="M33" i="7"/>
  <c r="I27" i="7"/>
  <c r="K27" i="7" s="1"/>
  <c r="P27" i="7"/>
  <c r="I24" i="7"/>
  <c r="K24" i="7" s="1"/>
  <c r="H33" i="7"/>
  <c r="I25" i="7"/>
  <c r="K25" i="7" s="1"/>
  <c r="P25" i="7"/>
  <c r="I22" i="7"/>
  <c r="K22" i="7" s="1"/>
  <c r="G11" i="1"/>
  <c r="I11" i="1" s="1"/>
  <c r="I28" i="1"/>
  <c r="D34" i="1"/>
  <c r="E33" i="1" s="1"/>
  <c r="K11" i="5"/>
  <c r="P21" i="7"/>
  <c r="I21" i="7"/>
  <c r="G33" i="7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K5" i="5"/>
  <c r="N33" i="7" l="1"/>
  <c r="P33" i="7" s="1"/>
  <c r="I33" i="7"/>
  <c r="K21" i="5"/>
  <c r="E32" i="1"/>
  <c r="K21" i="7"/>
  <c r="K20" i="5"/>
  <c r="I22" i="5"/>
  <c r="K22" i="5" s="1"/>
  <c r="K33" i="7" l="1"/>
  <c r="H52" i="9"/>
  <c r="F66" i="9"/>
  <c r="I52" i="9" s="1"/>
  <c r="C66" i="9"/>
  <c r="E52" i="9"/>
  <c r="C64" i="9" l="1"/>
  <c r="E66" i="9"/>
  <c r="I48" i="9"/>
  <c r="I4" i="9"/>
  <c r="I9" i="9"/>
  <c r="I40" i="9"/>
  <c r="I32" i="9"/>
  <c r="I11" i="9"/>
  <c r="I15" i="9"/>
  <c r="I55" i="9"/>
  <c r="I24" i="9"/>
  <c r="I44" i="9"/>
  <c r="I65" i="9"/>
  <c r="I56" i="9"/>
  <c r="I19" i="9"/>
  <c r="I34" i="9"/>
  <c r="I57" i="9"/>
  <c r="I38" i="9"/>
  <c r="I31" i="9"/>
  <c r="I37" i="9"/>
  <c r="I21" i="9"/>
  <c r="I16" i="9"/>
  <c r="I42" i="9"/>
  <c r="I27" i="9"/>
  <c r="I61" i="9"/>
  <c r="I20" i="9"/>
  <c r="I5" i="9"/>
  <c r="I46" i="9"/>
  <c r="I25" i="9"/>
  <c r="I54" i="9"/>
  <c r="I36" i="9"/>
  <c r="I29" i="9"/>
  <c r="I58" i="9"/>
  <c r="H66" i="9"/>
  <c r="I66" i="9" s="1"/>
  <c r="I59" i="9"/>
  <c r="I35" i="9"/>
  <c r="I18" i="9"/>
  <c r="F64" i="9"/>
  <c r="I13" i="9"/>
  <c r="I6" i="9"/>
  <c r="I22" i="9"/>
  <c r="I23" i="9"/>
  <c r="I60" i="9"/>
  <c r="I14" i="9"/>
  <c r="I50" i="9"/>
  <c r="I33" i="9"/>
  <c r="I7" i="9"/>
  <c r="E64" i="9" l="1"/>
  <c r="H64" i="9"/>
  <c r="I64" i="9"/>
</calcChain>
</file>

<file path=xl/sharedStrings.xml><?xml version="1.0" encoding="utf-8"?>
<sst xmlns="http://schemas.openxmlformats.org/spreadsheetml/2006/main" count="598" uniqueCount="232">
  <si>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</si>
  <si>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</si>
  <si>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</si>
  <si>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</si>
  <si>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</si>
  <si>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</si>
  <si>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</si>
  <si>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</si>
  <si>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</si>
  <si>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</si>
  <si>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</si>
  <si>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</si>
  <si>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</si>
  <si>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</si>
  <si>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</si>
  <si>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</si>
  <si>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</si>
  <si>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</si>
  <si>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</si>
  <si>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</si>
  <si>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</si>
  <si>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</si>
  <si>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</si>
  <si>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</si>
  <si>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</si>
  <si>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</si>
  <si>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</si>
  <si>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</si>
  <si>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</si>
  <si>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</si>
  <si>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</si>
  <si>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</si>
  <si>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</si>
  <si>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</si>
  <si>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</si>
  <si>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</si>
  <si>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</si>
  <si>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</si>
  <si>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</si>
  <si>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</si>
  <si>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</si>
  <si>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</si>
  <si>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</si>
  <si>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</si>
  <si>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</si>
  <si>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</si>
  <si>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</si>
  <si>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</si>
  <si>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</si>
  <si>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</si>
  <si>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</si>
  <si>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</si>
  <si>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</si>
  <si>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</si>
  <si>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</si>
  <si>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</si>
  <si>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</si>
  <si>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</si>
  <si>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</si>
  <si>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</si>
  <si>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</si>
  <si>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</si>
  <si>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</si>
  <si>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</si>
  <si>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</si>
  <si>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</si>
  <si>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</si>
  <si>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</si>
  <si>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</si>
  <si>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</si>
  <si>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</si>
  <si>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</si>
  <si>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</si>
  <si>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</si>
  <si>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</si>
  <si>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</si>
  <si>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</si>
  <si>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</si>
  <si>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</si>
  <si>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</si>
  <si>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</si>
  <si>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</si>
  <si>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</si>
  <si>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</si>
  <si>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</si>
  <si>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</si>
  <si>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</si>
  <si>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</si>
  <si>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</si>
  <si>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</si>
  <si>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</si>
  <si>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</si>
  <si>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</si>
  <si>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</si>
  <si>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</si>
  <si>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</si>
  <si>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</si>
  <si>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</si>
  <si>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</si>
  <si>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</si>
  <si>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</si>
  <si>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</si>
  <si>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</si>
  <si>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</si>
  <si>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</si>
  <si>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</si>
  <si>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</si>
  <si>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</si>
  <si>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</si>
  <si>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</si>
  <si>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</si>
  <si>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</si>
  <si>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</si>
  <si>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</si>
  <si>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</si>
  <si>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</si>
  <si>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</si>
  <si>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</si>
  <si>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</si>
  <si>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</si>
  <si>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</si>
  <si>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</si>
  <si>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</si>
  <si>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</si>
  <si>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</si>
  <si>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</si>
  <si>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</si>
  <si>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</si>
  <si>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</si>
  <si>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</si>
  <si>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</si>
  <si>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</si>
  <si>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</si>
  <si>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</si>
  <si>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</si>
  <si>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</si>
  <si>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</si>
  <si>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</si>
  <si>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</si>
  <si>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</si>
  <si>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</si>
  <si>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</si>
  <si>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</si>
  <si>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</si>
  <si>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</si>
  <si>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</si>
  <si>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</si>
  <si>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</si>
  <si>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</si>
  <si>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</si>
  <si>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</si>
  <si>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</si>
  <si>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</si>
  <si>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</si>
  <si>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</si>
  <si>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</si>
  <si>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</si>
  <si>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</si>
  <si>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</si>
  <si>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</si>
  <si>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</si>
  <si>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</si>
  <si>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</si>
  <si>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</si>
  <si>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</si>
  <si>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</si>
  <si>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</si>
  <si>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</si>
  <si>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</si>
  <si>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</si>
  <si>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</si>
  <si>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</si>
  <si>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</si>
  <si>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</si>
  <si>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</si>
  <si>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</si>
  <si>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</si>
  <si>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</si>
  <si>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</si>
  <si>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</si>
  <si>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</si>
  <si>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</si>
  <si>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</si>
  <si>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</si>
  <si>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</si>
  <si>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</si>
  <si>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</si>
  <si>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</si>
  <si>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</si>
  <si>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</si>
  <si>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</si>
  <si>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</si>
  <si>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</si>
  <si>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</si>
  <si>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</si>
  <si>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</si>
  <si>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</si>
  <si>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</si>
  <si>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</si>
  <si>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</si>
  <si>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</si>
  <si>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</si>
  <si>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</si>
  <si>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</si>
  <si>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</si>
  <si>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</si>
  <si>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</si>
  <si>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</si>
  <si>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</si>
  <si>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</si>
  <si>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</si>
  <si>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</si>
  <si>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</si>
  <si>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 xml:space="preserve">2017 YTD 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</si>
  <si>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</si>
  <si>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</si>
  <si>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</si>
  <si>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</si>
  <si>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</si>
  <si>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</si>
  <si>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</si>
  <si>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2018 % Pax</t>
  </si>
  <si>
    <t>Atlantic Southeast - Delta</t>
  </si>
  <si>
    <t>Sky Regional - Air Canada</t>
  </si>
  <si>
    <t>2018 % Cargo</t>
  </si>
  <si>
    <t>Metric Tons 2018</t>
  </si>
  <si>
    <t>Total 2018</t>
  </si>
  <si>
    <t>Horizon Air - Alaska</t>
  </si>
  <si>
    <t>Sky West - American</t>
  </si>
  <si>
    <t>Jet Blue</t>
  </si>
  <si>
    <t>August 2017</t>
  </si>
  <si>
    <t>Atlas Air -Amazon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</si>
</sst>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5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6" xfId="0" applyNumberFormat="1" applyFont="1" applyBorder="1"/>
    <xf numFmtId="165" fontId="29" fillId="0" borderId="57" xfId="1" applyNumberFormat="1" applyFont="1" applyBorder="1"/>
    <xf numFmtId="10" fontId="29" fillId="0" borderId="76" xfId="0" applyNumberFormat="1" applyFont="1" applyBorder="1"/>
    <xf numFmtId="10" fontId="29" fillId="0" borderId="58" xfId="3" applyNumberFormat="1" applyFont="1" applyBorder="1"/>
    <xf numFmtId="165" fontId="29" fillId="0" borderId="76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41" fontId="0" fillId="0" borderId="77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3" fontId="0" fillId="0" borderId="1" xfId="0" applyNumberFormat="1" applyFill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16" xfId="0" applyFont="1" applyBorder="1"/>
    <xf numFmtId="0" fontId="4" fillId="0" borderId="0" xfId="0" applyFont="1" applyBorder="1" applyAlignment="1">
      <alignment horizont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August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anuary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Febr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March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April%20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May%20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une%20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2880133</v>
          </cell>
          <cell r="G5">
            <v>19867051</v>
          </cell>
        </row>
        <row r="6">
          <cell r="D6">
            <v>670799</v>
          </cell>
          <cell r="G6">
            <v>5145166</v>
          </cell>
        </row>
        <row r="7">
          <cell r="D7">
            <v>467</v>
          </cell>
          <cell r="G7">
            <v>3706</v>
          </cell>
        </row>
        <row r="10">
          <cell r="D10">
            <v>116800</v>
          </cell>
          <cell r="G10">
            <v>844719</v>
          </cell>
        </row>
        <row r="16">
          <cell r="D16">
            <v>21947</v>
          </cell>
          <cell r="G16">
            <v>154204</v>
          </cell>
        </row>
        <row r="17">
          <cell r="D17">
            <v>13249</v>
          </cell>
          <cell r="G17">
            <v>102071</v>
          </cell>
        </row>
        <row r="18">
          <cell r="D18">
            <v>5</v>
          </cell>
          <cell r="G18">
            <v>29</v>
          </cell>
        </row>
        <row r="19">
          <cell r="D19">
            <v>1350</v>
          </cell>
          <cell r="G19">
            <v>9718</v>
          </cell>
        </row>
        <row r="20">
          <cell r="D20">
            <v>2102</v>
          </cell>
          <cell r="G20">
            <v>15092</v>
          </cell>
        </row>
        <row r="21">
          <cell r="D21">
            <v>90</v>
          </cell>
          <cell r="G21">
            <v>465</v>
          </cell>
        </row>
        <row r="27">
          <cell r="D27">
            <v>19026.246299162409</v>
          </cell>
          <cell r="G27">
            <v>135305.77344337053</v>
          </cell>
        </row>
        <row r="28">
          <cell r="D28">
            <v>2541.1088249208196</v>
          </cell>
          <cell r="G28">
            <v>17177.375222723098</v>
          </cell>
        </row>
        <row r="32">
          <cell r="B32">
            <v>1007612</v>
          </cell>
          <cell r="D32">
            <v>7471528</v>
          </cell>
        </row>
        <row r="33">
          <cell r="B33">
            <v>763203</v>
          </cell>
          <cell r="D33">
            <v>5000790</v>
          </cell>
        </row>
      </sheetData>
      <sheetData sheetId="1"/>
      <sheetData sheetId="2"/>
      <sheetData sheetId="3"/>
      <sheetData sheetId="4"/>
      <sheetData sheetId="5">
        <row r="28">
          <cell r="D28">
            <v>267158</v>
          </cell>
          <cell r="I28">
            <v>3401041</v>
          </cell>
          <cell r="N28">
            <v>3668199</v>
          </cell>
        </row>
      </sheetData>
      <sheetData sheetId="6"/>
      <sheetData sheetId="7">
        <row r="5">
          <cell r="F5">
            <v>10559.328734673949</v>
          </cell>
          <cell r="I5">
            <v>74326.740266588808</v>
          </cell>
        </row>
        <row r="6">
          <cell r="F6">
            <v>1135.56305518656</v>
          </cell>
          <cell r="I6">
            <v>7425.2794277654293</v>
          </cell>
        </row>
        <row r="10">
          <cell r="F10">
            <v>8466.9175644884599</v>
          </cell>
          <cell r="I10">
            <v>60979.033176781719</v>
          </cell>
        </row>
        <row r="11">
          <cell r="F11">
            <v>1405.5457697342599</v>
          </cell>
          <cell r="I11">
            <v>9752.0957949576696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19026.246299162409</v>
          </cell>
        </row>
        <row r="21">
          <cell r="F21">
            <v>2541.1088249208201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16895175</v>
          </cell>
        </row>
        <row r="6">
          <cell r="G6">
            <v>4572378</v>
          </cell>
        </row>
        <row r="7">
          <cell r="G7">
            <v>3087</v>
          </cell>
        </row>
        <row r="10">
          <cell r="G10">
            <v>737835</v>
          </cell>
        </row>
        <row r="16">
          <cell r="G16">
            <v>128377</v>
          </cell>
        </row>
        <row r="17">
          <cell r="G17">
            <v>88154</v>
          </cell>
        </row>
        <row r="18">
          <cell r="G18">
            <v>26</v>
          </cell>
        </row>
        <row r="19">
          <cell r="G19">
            <v>8625</v>
          </cell>
        </row>
        <row r="20">
          <cell r="G20">
            <v>11786</v>
          </cell>
        </row>
        <row r="21">
          <cell r="G21">
            <v>700</v>
          </cell>
        </row>
        <row r="27">
          <cell r="G27">
            <v>119706.34583196367</v>
          </cell>
        </row>
        <row r="28">
          <cell r="G28">
            <v>14836.946094914789</v>
          </cell>
        </row>
        <row r="32">
          <cell r="D32">
            <v>6764324</v>
          </cell>
        </row>
        <row r="33">
          <cell r="D33">
            <v>3942156</v>
          </cell>
        </row>
      </sheetData>
      <sheetData sheetId="1"/>
      <sheetData sheetId="2"/>
      <sheetData sheetId="3"/>
      <sheetData sheetId="4"/>
      <sheetData sheetId="5">
        <row r="27">
          <cell r="B27">
            <v>139361</v>
          </cell>
          <cell r="C27">
            <v>126713</v>
          </cell>
          <cell r="L27">
            <v>1834236</v>
          </cell>
          <cell r="M27">
            <v>1830772</v>
          </cell>
        </row>
      </sheetData>
      <sheetData sheetId="6"/>
      <sheetData sheetId="7">
        <row r="5">
          <cell r="I5">
            <v>67049.234882676203</v>
          </cell>
        </row>
        <row r="6">
          <cell r="I6">
            <v>5971.5036349214406</v>
          </cell>
        </row>
        <row r="10">
          <cell r="I10">
            <v>52657.11094928746</v>
          </cell>
        </row>
        <row r="11">
          <cell r="I11">
            <v>8865.44245999335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119706.34583196367</v>
          </cell>
        </row>
        <row r="21">
          <cell r="I21">
            <v>14836.946094914789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 Air Cargo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U4">
            <v>100</v>
          </cell>
        </row>
        <row r="5">
          <cell r="FU5">
            <v>100</v>
          </cell>
        </row>
        <row r="19"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  <cell r="FE19">
            <v>250</v>
          </cell>
          <cell r="FF19">
            <v>250</v>
          </cell>
          <cell r="FG19">
            <v>254</v>
          </cell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FR19">
            <v>200</v>
          </cell>
          <cell r="FS19">
            <v>182</v>
          </cell>
          <cell r="FT19">
            <v>194</v>
          </cell>
          <cell r="FU19">
            <v>200</v>
          </cell>
        </row>
        <row r="22">
          <cell r="FU22">
            <v>437</v>
          </cell>
        </row>
        <row r="23">
          <cell r="FU23">
            <v>485</v>
          </cell>
        </row>
        <row r="41"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  <cell r="FE41">
            <v>923</v>
          </cell>
          <cell r="FF41">
            <v>958</v>
          </cell>
          <cell r="FG41">
            <v>941</v>
          </cell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FR41">
            <v>846</v>
          </cell>
          <cell r="FS41">
            <v>867</v>
          </cell>
          <cell r="FT41">
            <v>901</v>
          </cell>
          <cell r="FU41">
            <v>922</v>
          </cell>
        </row>
      </sheetData>
      <sheetData sheetId="3"/>
      <sheetData sheetId="4">
        <row r="15">
          <cell r="FR15">
            <v>20</v>
          </cell>
          <cell r="FS15">
            <v>28</v>
          </cell>
          <cell r="FT15">
            <v>26</v>
          </cell>
          <cell r="FU15">
            <v>31</v>
          </cell>
        </row>
        <row r="16">
          <cell r="FR16">
            <v>20</v>
          </cell>
          <cell r="FS16">
            <v>28</v>
          </cell>
          <cell r="FT16">
            <v>26</v>
          </cell>
          <cell r="FU16">
            <v>31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  <cell r="FE19">
            <v>58</v>
          </cell>
          <cell r="FF19">
            <v>60</v>
          </cell>
          <cell r="FG19">
            <v>60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40</v>
          </cell>
          <cell r="FS19">
            <v>56</v>
          </cell>
          <cell r="FT19">
            <v>52</v>
          </cell>
          <cell r="FU19">
            <v>62</v>
          </cell>
        </row>
        <row r="32">
          <cell r="FR32">
            <v>3781</v>
          </cell>
          <cell r="FS32">
            <v>6449</v>
          </cell>
          <cell r="FT32">
            <v>6560</v>
          </cell>
          <cell r="FU32">
            <v>7850</v>
          </cell>
        </row>
        <row r="33">
          <cell r="FR33">
            <v>3802</v>
          </cell>
          <cell r="FS33">
            <v>6319</v>
          </cell>
          <cell r="FT33">
            <v>4769</v>
          </cell>
          <cell r="FU33">
            <v>7190</v>
          </cell>
        </row>
        <row r="37">
          <cell r="FR37">
            <v>16</v>
          </cell>
          <cell r="FS37">
            <v>6</v>
          </cell>
          <cell r="FT37">
            <v>7</v>
          </cell>
          <cell r="FU37">
            <v>24</v>
          </cell>
        </row>
        <row r="38">
          <cell r="FR38">
            <v>13</v>
          </cell>
          <cell r="FS38">
            <v>8</v>
          </cell>
          <cell r="FT38">
            <v>6</v>
          </cell>
          <cell r="FU38">
            <v>13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  <cell r="FE41">
            <v>15010</v>
          </cell>
          <cell r="FF41">
            <v>14824</v>
          </cell>
          <cell r="FG41">
            <v>14501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7583</v>
          </cell>
          <cell r="FS41">
            <v>12768</v>
          </cell>
          <cell r="FT41">
            <v>11329</v>
          </cell>
          <cell r="FU41">
            <v>15040</v>
          </cell>
        </row>
        <row r="47">
          <cell r="FU47">
            <v>436262</v>
          </cell>
        </row>
        <row r="52">
          <cell r="FU52">
            <v>258590</v>
          </cell>
        </row>
      </sheetData>
      <sheetData sheetId="5"/>
      <sheetData sheetId="6">
        <row r="4">
          <cell r="FU4">
            <v>62</v>
          </cell>
        </row>
        <row r="5">
          <cell r="FU5">
            <v>62</v>
          </cell>
        </row>
        <row r="19"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  <cell r="FE19">
            <v>178</v>
          </cell>
          <cell r="FF19">
            <v>180</v>
          </cell>
          <cell r="FG19">
            <v>176</v>
          </cell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FR19">
            <v>118</v>
          </cell>
          <cell r="FS19">
            <v>120</v>
          </cell>
          <cell r="FT19">
            <v>124</v>
          </cell>
          <cell r="FU19">
            <v>124</v>
          </cell>
        </row>
        <row r="22">
          <cell r="FU22">
            <v>10243</v>
          </cell>
        </row>
        <row r="23">
          <cell r="FU23">
            <v>10186</v>
          </cell>
        </row>
        <row r="27">
          <cell r="FU27">
            <v>436</v>
          </cell>
        </row>
        <row r="28">
          <cell r="FU28">
            <v>458</v>
          </cell>
        </row>
        <row r="41"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  <cell r="FE41">
            <v>27296</v>
          </cell>
          <cell r="FF41">
            <v>26803</v>
          </cell>
          <cell r="FG41">
            <v>26885</v>
          </cell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FR41">
            <v>18984</v>
          </cell>
          <cell r="FS41">
            <v>19748</v>
          </cell>
          <cell r="FT41">
            <v>20085</v>
          </cell>
          <cell r="FU41">
            <v>20429</v>
          </cell>
        </row>
        <row r="47">
          <cell r="FU47">
            <v>30751</v>
          </cell>
        </row>
        <row r="48">
          <cell r="FU48">
            <v>7660</v>
          </cell>
        </row>
        <row r="52">
          <cell r="FU52">
            <v>6926</v>
          </cell>
        </row>
        <row r="53">
          <cell r="FU53">
            <v>2021</v>
          </cell>
        </row>
      </sheetData>
      <sheetData sheetId="7"/>
      <sheetData sheetId="8">
        <row r="4">
          <cell r="FU4">
            <v>661</v>
          </cell>
        </row>
        <row r="5">
          <cell r="FU5">
            <v>661</v>
          </cell>
        </row>
        <row r="19"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  <cell r="FE19">
            <v>1522</v>
          </cell>
          <cell r="FF19">
            <v>1523</v>
          </cell>
          <cell r="FG19">
            <v>1540</v>
          </cell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FR19">
            <v>1200</v>
          </cell>
          <cell r="FS19">
            <v>1327</v>
          </cell>
          <cell r="FT19">
            <v>1351</v>
          </cell>
          <cell r="FU19">
            <v>1322</v>
          </cell>
        </row>
        <row r="22">
          <cell r="FU22">
            <v>84458</v>
          </cell>
        </row>
        <row r="23">
          <cell r="FU23">
            <v>81128</v>
          </cell>
        </row>
        <row r="27">
          <cell r="FU27">
            <v>3788</v>
          </cell>
        </row>
        <row r="28">
          <cell r="FU28">
            <v>4016</v>
          </cell>
        </row>
        <row r="41"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  <cell r="FE41">
            <v>186633</v>
          </cell>
          <cell r="FF41">
            <v>183111</v>
          </cell>
          <cell r="FG41">
            <v>192977</v>
          </cell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FR41">
            <v>150413</v>
          </cell>
          <cell r="FS41">
            <v>164437</v>
          </cell>
          <cell r="FT41">
            <v>164580</v>
          </cell>
          <cell r="FU41">
            <v>165586</v>
          </cell>
        </row>
        <row r="47">
          <cell r="FU47">
            <v>45575</v>
          </cell>
        </row>
        <row r="48">
          <cell r="FU48">
            <v>17657</v>
          </cell>
        </row>
        <row r="52">
          <cell r="FU52">
            <v>13187</v>
          </cell>
        </row>
        <row r="53">
          <cell r="FU53">
            <v>73015</v>
          </cell>
        </row>
      </sheetData>
      <sheetData sheetId="9"/>
      <sheetData sheetId="10">
        <row r="4">
          <cell r="FU4">
            <v>699</v>
          </cell>
        </row>
        <row r="5">
          <cell r="FU5">
            <v>697</v>
          </cell>
        </row>
        <row r="8">
          <cell r="FU8">
            <v>81</v>
          </cell>
        </row>
        <row r="9">
          <cell r="FU9">
            <v>88</v>
          </cell>
        </row>
        <row r="15">
          <cell r="FN15">
            <v>200</v>
          </cell>
          <cell r="FO15">
            <v>294</v>
          </cell>
          <cell r="FP15">
            <v>332</v>
          </cell>
          <cell r="FQ15">
            <v>149</v>
          </cell>
          <cell r="FR15">
            <v>27</v>
          </cell>
          <cell r="FS15">
            <v>15</v>
          </cell>
          <cell r="FT15">
            <v>5</v>
          </cell>
          <cell r="FU15">
            <v>5</v>
          </cell>
        </row>
        <row r="16">
          <cell r="FN16">
            <v>198</v>
          </cell>
          <cell r="FO16">
            <v>293</v>
          </cell>
          <cell r="FP16">
            <v>335</v>
          </cell>
          <cell r="FQ16">
            <v>143</v>
          </cell>
          <cell r="FR16">
            <v>26</v>
          </cell>
          <cell r="FS16">
            <v>14</v>
          </cell>
          <cell r="FT16">
            <v>6</v>
          </cell>
          <cell r="FU16">
            <v>5</v>
          </cell>
        </row>
        <row r="19"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  <cell r="FE19">
            <v>1626</v>
          </cell>
          <cell r="FF19">
            <v>1811</v>
          </cell>
          <cell r="FG19">
            <v>1713</v>
          </cell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FR19">
            <v>1450</v>
          </cell>
          <cell r="FS19">
            <v>1475</v>
          </cell>
          <cell r="FT19">
            <v>1529</v>
          </cell>
          <cell r="FU19">
            <v>1575</v>
          </cell>
        </row>
        <row r="22">
          <cell r="FU22">
            <v>97945</v>
          </cell>
        </row>
        <row r="23">
          <cell r="FU23">
            <v>94952</v>
          </cell>
        </row>
        <row r="27">
          <cell r="FU27">
            <v>2335</v>
          </cell>
        </row>
        <row r="28">
          <cell r="FU28">
            <v>2074</v>
          </cell>
        </row>
        <row r="32">
          <cell r="FN32">
            <v>22274</v>
          </cell>
          <cell r="FO32">
            <v>32562</v>
          </cell>
          <cell r="FP32">
            <v>43677</v>
          </cell>
          <cell r="FQ32">
            <v>21482</v>
          </cell>
          <cell r="FR32">
            <v>2853</v>
          </cell>
          <cell r="FS32">
            <v>1767</v>
          </cell>
          <cell r="FT32">
            <v>643</v>
          </cell>
          <cell r="FU32">
            <v>591</v>
          </cell>
        </row>
        <row r="33">
          <cell r="FN33">
            <v>22273</v>
          </cell>
          <cell r="FO33">
            <v>35468</v>
          </cell>
          <cell r="FP33">
            <v>44681</v>
          </cell>
          <cell r="FQ33">
            <v>11675</v>
          </cell>
          <cell r="FR33">
            <v>2375</v>
          </cell>
          <cell r="FS33">
            <v>1806</v>
          </cell>
          <cell r="FT33">
            <v>585</v>
          </cell>
          <cell r="FU33">
            <v>660</v>
          </cell>
        </row>
        <row r="37">
          <cell r="FN37">
            <v>214</v>
          </cell>
          <cell r="FO37">
            <v>188</v>
          </cell>
          <cell r="FP37">
            <v>236</v>
          </cell>
          <cell r="FQ37">
            <v>95</v>
          </cell>
          <cell r="FR37">
            <v>33</v>
          </cell>
          <cell r="FS37">
            <v>1</v>
          </cell>
          <cell r="FT37">
            <v>8</v>
          </cell>
          <cell r="FU37">
            <v>6</v>
          </cell>
        </row>
        <row r="38">
          <cell r="FN38">
            <v>240</v>
          </cell>
          <cell r="FO38">
            <v>256</v>
          </cell>
          <cell r="FP38">
            <v>270</v>
          </cell>
          <cell r="FQ38">
            <v>132</v>
          </cell>
          <cell r="FR38">
            <v>27</v>
          </cell>
          <cell r="FS38">
            <v>7</v>
          </cell>
          <cell r="FT38">
            <v>12</v>
          </cell>
          <cell r="FU38">
            <v>5</v>
          </cell>
        </row>
        <row r="41"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  <cell r="FE41">
            <v>192376</v>
          </cell>
          <cell r="FF41">
            <v>221850</v>
          </cell>
          <cell r="FG41">
            <v>202959</v>
          </cell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FR41">
            <v>175056</v>
          </cell>
          <cell r="FS41">
            <v>173230</v>
          </cell>
          <cell r="FT41">
            <v>198882</v>
          </cell>
          <cell r="FU41">
            <v>194148</v>
          </cell>
        </row>
        <row r="47">
          <cell r="FU47">
            <v>226335</v>
          </cell>
        </row>
        <row r="48">
          <cell r="FU48">
            <v>287546</v>
          </cell>
        </row>
        <row r="52">
          <cell r="FU52">
            <v>112936</v>
          </cell>
        </row>
        <row r="53">
          <cell r="FU53">
            <v>157293</v>
          </cell>
        </row>
        <row r="70">
          <cell r="FU70">
            <v>89094</v>
          </cell>
        </row>
        <row r="71">
          <cell r="FU71">
            <v>5858</v>
          </cell>
        </row>
        <row r="73">
          <cell r="FU73">
            <v>541</v>
          </cell>
        </row>
        <row r="74">
          <cell r="FU74">
            <v>119</v>
          </cell>
        </row>
      </sheetData>
      <sheetData sheetId="11">
        <row r="4">
          <cell r="FU4">
            <v>78</v>
          </cell>
        </row>
        <row r="5">
          <cell r="FU5">
            <v>78</v>
          </cell>
        </row>
        <row r="19"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  <cell r="FE19">
            <v>150</v>
          </cell>
          <cell r="FF19">
            <v>152</v>
          </cell>
          <cell r="FG19">
            <v>164</v>
          </cell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FR19">
            <v>158</v>
          </cell>
          <cell r="FS19">
            <v>148</v>
          </cell>
          <cell r="FT19">
            <v>166</v>
          </cell>
          <cell r="FU19">
            <v>156</v>
          </cell>
        </row>
        <row r="22">
          <cell r="FU22">
            <v>435</v>
          </cell>
        </row>
        <row r="23">
          <cell r="FU23">
            <v>450</v>
          </cell>
        </row>
        <row r="41"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  <cell r="FE41">
            <v>960</v>
          </cell>
          <cell r="FF41">
            <v>908</v>
          </cell>
          <cell r="FG41">
            <v>966</v>
          </cell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FR41">
            <v>894</v>
          </cell>
          <cell r="FS41">
            <v>826</v>
          </cell>
          <cell r="FT41">
            <v>863</v>
          </cell>
          <cell r="FU41">
            <v>885</v>
          </cell>
        </row>
      </sheetData>
      <sheetData sheetId="12">
        <row r="15">
          <cell r="FR15">
            <v>4</v>
          </cell>
          <cell r="FS15">
            <v>11</v>
          </cell>
          <cell r="FT15">
            <v>18</v>
          </cell>
          <cell r="FU15">
            <v>18</v>
          </cell>
        </row>
        <row r="16">
          <cell r="FR16">
            <v>4</v>
          </cell>
          <cell r="FS16">
            <v>11</v>
          </cell>
          <cell r="FT16">
            <v>18</v>
          </cell>
          <cell r="FU16">
            <v>18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  <cell r="FE19">
            <v>28</v>
          </cell>
          <cell r="FF19">
            <v>36</v>
          </cell>
          <cell r="FG19">
            <v>36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10</v>
          </cell>
          <cell r="FS19">
            <v>22</v>
          </cell>
          <cell r="FT19">
            <v>36</v>
          </cell>
          <cell r="FU19">
            <v>36</v>
          </cell>
        </row>
        <row r="32">
          <cell r="FR32">
            <v>730</v>
          </cell>
          <cell r="FS32">
            <v>2566</v>
          </cell>
          <cell r="FT32">
            <v>4485</v>
          </cell>
          <cell r="FU32">
            <v>4458</v>
          </cell>
        </row>
        <row r="33">
          <cell r="FR33">
            <v>972</v>
          </cell>
          <cell r="FS33">
            <v>2779</v>
          </cell>
          <cell r="FT33">
            <v>4391</v>
          </cell>
          <cell r="FU33">
            <v>4529</v>
          </cell>
        </row>
        <row r="37">
          <cell r="FR37">
            <v>5</v>
          </cell>
          <cell r="FT37">
            <v>4</v>
          </cell>
          <cell r="FU37">
            <v>6</v>
          </cell>
        </row>
        <row r="38">
          <cell r="FR38">
            <v>4</v>
          </cell>
          <cell r="FT38">
            <v>5</v>
          </cell>
          <cell r="FU38">
            <v>6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  <cell r="FE41">
            <v>6544</v>
          </cell>
          <cell r="FF41">
            <v>8783</v>
          </cell>
          <cell r="FG41">
            <v>8645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1702</v>
          </cell>
          <cell r="FS41">
            <v>5345</v>
          </cell>
          <cell r="FT41">
            <v>8876</v>
          </cell>
          <cell r="FU41">
            <v>8987</v>
          </cell>
        </row>
        <row r="47">
          <cell r="FU47">
            <v>187243</v>
          </cell>
        </row>
        <row r="52">
          <cell r="FU52">
            <v>46484</v>
          </cell>
        </row>
      </sheetData>
      <sheetData sheetId="13">
        <row r="4">
          <cell r="FU4">
            <v>6623</v>
          </cell>
        </row>
        <row r="5">
          <cell r="FU5">
            <v>6602</v>
          </cell>
        </row>
        <row r="8">
          <cell r="FU8">
            <v>7</v>
          </cell>
        </row>
        <row r="9">
          <cell r="FU9">
            <v>22</v>
          </cell>
        </row>
        <row r="15">
          <cell r="FN15">
            <v>551</v>
          </cell>
          <cell r="FO15">
            <v>538</v>
          </cell>
          <cell r="FP15">
            <v>631</v>
          </cell>
          <cell r="FQ15">
            <v>426</v>
          </cell>
          <cell r="FR15">
            <v>409</v>
          </cell>
          <cell r="FS15">
            <v>452</v>
          </cell>
          <cell r="FT15">
            <v>497</v>
          </cell>
          <cell r="FU15">
            <v>502</v>
          </cell>
        </row>
        <row r="16">
          <cell r="FN16">
            <v>561</v>
          </cell>
          <cell r="FO16">
            <v>536</v>
          </cell>
          <cell r="FP16">
            <v>635</v>
          </cell>
          <cell r="FQ16">
            <v>434</v>
          </cell>
          <cell r="FR16">
            <v>409</v>
          </cell>
          <cell r="FS16">
            <v>450</v>
          </cell>
          <cell r="FT16">
            <v>502</v>
          </cell>
          <cell r="FU16">
            <v>505</v>
          </cell>
        </row>
        <row r="19"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  <cell r="FE19">
            <v>13186</v>
          </cell>
          <cell r="FF19">
            <v>14386</v>
          </cell>
          <cell r="FG19">
            <v>14425</v>
          </cell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FR19">
            <v>11674</v>
          </cell>
          <cell r="FS19">
            <v>13480</v>
          </cell>
          <cell r="FT19">
            <v>14017</v>
          </cell>
          <cell r="FU19">
            <v>14261</v>
          </cell>
        </row>
        <row r="22">
          <cell r="FU22">
            <v>915971</v>
          </cell>
        </row>
        <row r="23">
          <cell r="FU23">
            <v>913288</v>
          </cell>
        </row>
        <row r="27">
          <cell r="FU27">
            <v>33093</v>
          </cell>
        </row>
        <row r="28">
          <cell r="FU28">
            <v>33017</v>
          </cell>
        </row>
        <row r="32">
          <cell r="FN32">
            <v>84987</v>
          </cell>
          <cell r="FO32">
            <v>81807</v>
          </cell>
          <cell r="FP32">
            <v>104588</v>
          </cell>
          <cell r="FQ32">
            <v>76269</v>
          </cell>
          <cell r="FR32">
            <v>67615</v>
          </cell>
          <cell r="FS32">
            <v>79056</v>
          </cell>
          <cell r="FT32">
            <v>88990</v>
          </cell>
          <cell r="FU32">
            <v>89576</v>
          </cell>
        </row>
        <row r="33">
          <cell r="FN33">
            <v>80924</v>
          </cell>
          <cell r="FO33">
            <v>80963</v>
          </cell>
          <cell r="FP33">
            <v>103660</v>
          </cell>
          <cell r="FQ33">
            <v>67693</v>
          </cell>
          <cell r="FR33">
            <v>72768</v>
          </cell>
          <cell r="FS33">
            <v>81087</v>
          </cell>
          <cell r="FT33">
            <v>81699</v>
          </cell>
          <cell r="FU33">
            <v>86560</v>
          </cell>
        </row>
        <row r="37">
          <cell r="FN37">
            <v>2439</v>
          </cell>
          <cell r="FO37">
            <v>2388</v>
          </cell>
          <cell r="FP37">
            <v>2172</v>
          </cell>
          <cell r="FQ37">
            <v>2000</v>
          </cell>
          <cell r="FR37">
            <v>20229</v>
          </cell>
          <cell r="FS37">
            <v>2000</v>
          </cell>
          <cell r="FT37">
            <v>2405</v>
          </cell>
          <cell r="FU37">
            <v>2213</v>
          </cell>
        </row>
        <row r="38">
          <cell r="FN38">
            <v>2364</v>
          </cell>
          <cell r="FO38">
            <v>2391</v>
          </cell>
          <cell r="FP38">
            <v>2463</v>
          </cell>
          <cell r="FQ38">
            <v>1917</v>
          </cell>
          <cell r="FR38">
            <v>2116</v>
          </cell>
          <cell r="FS38">
            <v>2239</v>
          </cell>
          <cell r="FT38">
            <v>2272</v>
          </cell>
          <cell r="FU38">
            <v>2316</v>
          </cell>
        </row>
        <row r="41"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  <cell r="FE41">
            <v>1838429</v>
          </cell>
          <cell r="FF41">
            <v>1978999</v>
          </cell>
          <cell r="FG41">
            <v>1969909</v>
          </cell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FR41">
            <v>1632259</v>
          </cell>
          <cell r="FS41">
            <v>1892530</v>
          </cell>
          <cell r="FT41">
            <v>1963810</v>
          </cell>
          <cell r="FU41">
            <v>2005395</v>
          </cell>
        </row>
        <row r="47">
          <cell r="FU47">
            <v>4536732</v>
          </cell>
        </row>
        <row r="48">
          <cell r="FU48">
            <v>1619560</v>
          </cell>
        </row>
        <row r="52">
          <cell r="FU52">
            <v>2582642</v>
          </cell>
        </row>
        <row r="53">
          <cell r="FU53">
            <v>1915805</v>
          </cell>
        </row>
        <row r="70">
          <cell r="FU70">
            <v>446598</v>
          </cell>
        </row>
        <row r="71">
          <cell r="FU71">
            <v>466690</v>
          </cell>
        </row>
        <row r="73">
          <cell r="FU73">
            <v>42328</v>
          </cell>
        </row>
        <row r="74">
          <cell r="FU74">
            <v>44232</v>
          </cell>
        </row>
      </sheetData>
      <sheetData sheetId="14">
        <row r="4">
          <cell r="FU4">
            <v>158</v>
          </cell>
        </row>
        <row r="5">
          <cell r="FU5">
            <v>158</v>
          </cell>
        </row>
        <row r="19"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  <cell r="FE19">
            <v>180</v>
          </cell>
          <cell r="FF19">
            <v>184</v>
          </cell>
          <cell r="FG19">
            <v>187</v>
          </cell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FR19">
            <v>326</v>
          </cell>
          <cell r="FS19">
            <v>300</v>
          </cell>
          <cell r="FT19">
            <v>312</v>
          </cell>
          <cell r="FU19">
            <v>316</v>
          </cell>
        </row>
        <row r="22">
          <cell r="FU22">
            <v>23643</v>
          </cell>
        </row>
        <row r="23">
          <cell r="FU23">
            <v>24400</v>
          </cell>
        </row>
        <row r="27">
          <cell r="FU27">
            <v>173</v>
          </cell>
        </row>
        <row r="28">
          <cell r="FU28">
            <v>162</v>
          </cell>
        </row>
        <row r="41"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  <cell r="FE41">
            <v>22777</v>
          </cell>
          <cell r="FF41">
            <v>25172</v>
          </cell>
          <cell r="FG41">
            <v>25158</v>
          </cell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FR41">
            <v>45519</v>
          </cell>
          <cell r="FS41">
            <v>41449</v>
          </cell>
          <cell r="FT41">
            <v>45702</v>
          </cell>
          <cell r="FU41">
            <v>48043</v>
          </cell>
        </row>
      </sheetData>
      <sheetData sheetId="15"/>
      <sheetData sheetId="16">
        <row r="15">
          <cell r="FN15">
            <v>5</v>
          </cell>
          <cell r="FP15">
            <v>17</v>
          </cell>
          <cell r="FQ15">
            <v>20</v>
          </cell>
          <cell r="FR15">
            <v>37</v>
          </cell>
          <cell r="FS15">
            <v>46</v>
          </cell>
          <cell r="FT15">
            <v>47</v>
          </cell>
          <cell r="FU15">
            <v>49</v>
          </cell>
        </row>
        <row r="16">
          <cell r="FN16">
            <v>5</v>
          </cell>
          <cell r="FP16">
            <v>17</v>
          </cell>
          <cell r="FQ16">
            <v>20</v>
          </cell>
          <cell r="FR16">
            <v>37</v>
          </cell>
          <cell r="FS16">
            <v>46</v>
          </cell>
          <cell r="FT16">
            <v>47</v>
          </cell>
          <cell r="FU16">
            <v>49</v>
          </cell>
        </row>
        <row r="19"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  <cell r="FE19">
            <v>58</v>
          </cell>
          <cell r="FF19">
            <v>62</v>
          </cell>
          <cell r="FG19">
            <v>62</v>
          </cell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FR19">
            <v>74</v>
          </cell>
          <cell r="FS19">
            <v>92</v>
          </cell>
          <cell r="FT19">
            <v>94</v>
          </cell>
          <cell r="FU19">
            <v>98</v>
          </cell>
        </row>
        <row r="32">
          <cell r="FN32">
            <v>852</v>
          </cell>
          <cell r="FP32">
            <v>2019</v>
          </cell>
          <cell r="FQ32">
            <v>2672</v>
          </cell>
          <cell r="FR32">
            <v>4435</v>
          </cell>
          <cell r="FS32">
            <v>6735</v>
          </cell>
          <cell r="FT32">
            <v>7414</v>
          </cell>
          <cell r="FU32">
            <v>7211</v>
          </cell>
        </row>
        <row r="33">
          <cell r="FN33">
            <v>671</v>
          </cell>
          <cell r="FP33">
            <v>2431</v>
          </cell>
          <cell r="FQ33">
            <v>2690</v>
          </cell>
          <cell r="FR33">
            <v>5599</v>
          </cell>
          <cell r="FS33">
            <v>7357</v>
          </cell>
          <cell r="FT33">
            <v>6448</v>
          </cell>
          <cell r="FU33">
            <v>7240</v>
          </cell>
        </row>
        <row r="37">
          <cell r="FN37">
            <v>20</v>
          </cell>
          <cell r="FP37">
            <v>75</v>
          </cell>
          <cell r="FQ37">
            <v>52</v>
          </cell>
          <cell r="FR37">
            <v>75</v>
          </cell>
          <cell r="FS37">
            <v>64</v>
          </cell>
          <cell r="FT37">
            <v>82</v>
          </cell>
          <cell r="FU37">
            <v>91</v>
          </cell>
        </row>
        <row r="38">
          <cell r="FN38">
            <v>13</v>
          </cell>
          <cell r="FP38">
            <v>54</v>
          </cell>
          <cell r="FQ38">
            <v>60</v>
          </cell>
          <cell r="FR38">
            <v>82</v>
          </cell>
          <cell r="FS38">
            <v>78</v>
          </cell>
          <cell r="FT38">
            <v>80</v>
          </cell>
          <cell r="FU38">
            <v>141</v>
          </cell>
        </row>
        <row r="41"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  <cell r="FE41">
            <v>13699</v>
          </cell>
          <cell r="FF41">
            <v>14696</v>
          </cell>
          <cell r="FG41">
            <v>13784</v>
          </cell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FR41">
            <v>10034</v>
          </cell>
          <cell r="FS41">
            <v>14092</v>
          </cell>
          <cell r="FT41">
            <v>13862</v>
          </cell>
          <cell r="FU41">
            <v>14451</v>
          </cell>
        </row>
        <row r="47">
          <cell r="FU47">
            <v>52097</v>
          </cell>
        </row>
        <row r="52">
          <cell r="FU52">
            <v>30</v>
          </cell>
        </row>
      </sheetData>
      <sheetData sheetId="17">
        <row r="4">
          <cell r="FU4">
            <v>93</v>
          </cell>
        </row>
        <row r="5">
          <cell r="FU5">
            <v>92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173</v>
          </cell>
          <cell r="FS19">
            <v>173</v>
          </cell>
          <cell r="FT19">
            <v>186</v>
          </cell>
          <cell r="FU19">
            <v>185</v>
          </cell>
        </row>
        <row r="22">
          <cell r="FU22">
            <v>10274</v>
          </cell>
        </row>
        <row r="23">
          <cell r="FU23">
            <v>10129</v>
          </cell>
        </row>
        <row r="27">
          <cell r="FU27">
            <v>236</v>
          </cell>
        </row>
        <row r="28">
          <cell r="FU28">
            <v>258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19572</v>
          </cell>
          <cell r="FS41">
            <v>22201</v>
          </cell>
          <cell r="FT41">
            <v>22956</v>
          </cell>
          <cell r="FU41">
            <v>20403</v>
          </cell>
        </row>
      </sheetData>
      <sheetData sheetId="18">
        <row r="15">
          <cell r="FN15">
            <v>14</v>
          </cell>
          <cell r="FO15">
            <v>12</v>
          </cell>
          <cell r="FP15">
            <v>13</v>
          </cell>
          <cell r="FQ15">
            <v>8</v>
          </cell>
          <cell r="FR15">
            <v>17</v>
          </cell>
          <cell r="FS15">
            <v>20</v>
          </cell>
          <cell r="FT15">
            <v>18</v>
          </cell>
          <cell r="FU15">
            <v>17</v>
          </cell>
        </row>
        <row r="16">
          <cell r="FN16">
            <v>14</v>
          </cell>
          <cell r="FO16">
            <v>12</v>
          </cell>
          <cell r="FP16">
            <v>13</v>
          </cell>
          <cell r="FQ16">
            <v>8</v>
          </cell>
          <cell r="FR16">
            <v>17</v>
          </cell>
          <cell r="FS16">
            <v>20</v>
          </cell>
          <cell r="FT16">
            <v>18</v>
          </cell>
          <cell r="FU16">
            <v>17</v>
          </cell>
        </row>
        <row r="19"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  <cell r="FE19">
            <v>24</v>
          </cell>
          <cell r="FF19">
            <v>26</v>
          </cell>
          <cell r="FG19">
            <v>26</v>
          </cell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FR19">
            <v>34</v>
          </cell>
          <cell r="FS19">
            <v>40</v>
          </cell>
          <cell r="FT19">
            <v>36</v>
          </cell>
          <cell r="FU19">
            <v>34</v>
          </cell>
        </row>
        <row r="32">
          <cell r="FN32">
            <v>3469</v>
          </cell>
          <cell r="FO32">
            <v>2187</v>
          </cell>
          <cell r="FP32">
            <v>3342</v>
          </cell>
          <cell r="FQ32">
            <v>2003</v>
          </cell>
          <cell r="FR32">
            <v>3887</v>
          </cell>
          <cell r="FS32">
            <v>5068</v>
          </cell>
          <cell r="FT32">
            <v>4888</v>
          </cell>
          <cell r="FU32">
            <v>4403</v>
          </cell>
        </row>
        <row r="33">
          <cell r="FN33">
            <v>2510</v>
          </cell>
          <cell r="FO33">
            <v>1897</v>
          </cell>
          <cell r="FP33">
            <v>2851</v>
          </cell>
          <cell r="FQ33">
            <v>1753</v>
          </cell>
          <cell r="FR33">
            <v>4354</v>
          </cell>
          <cell r="FS33">
            <v>5026</v>
          </cell>
          <cell r="FT33">
            <v>3899</v>
          </cell>
          <cell r="FU33">
            <v>4249</v>
          </cell>
        </row>
        <row r="37">
          <cell r="FN37">
            <v>25</v>
          </cell>
          <cell r="FO37">
            <v>24</v>
          </cell>
          <cell r="FP37">
            <v>22</v>
          </cell>
          <cell r="FQ37">
            <v>25</v>
          </cell>
          <cell r="FR37">
            <v>15</v>
          </cell>
          <cell r="FS37">
            <v>47</v>
          </cell>
          <cell r="FT37">
            <v>41</v>
          </cell>
          <cell r="FU37">
            <v>23</v>
          </cell>
        </row>
        <row r="38">
          <cell r="FN38">
            <v>24</v>
          </cell>
          <cell r="FO38">
            <v>14</v>
          </cell>
          <cell r="FP38">
            <v>28</v>
          </cell>
          <cell r="FQ38">
            <v>16</v>
          </cell>
          <cell r="FR38">
            <v>16</v>
          </cell>
          <cell r="FS38">
            <v>16</v>
          </cell>
          <cell r="FT38">
            <v>37</v>
          </cell>
          <cell r="FU38">
            <v>29</v>
          </cell>
        </row>
        <row r="41"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  <cell r="FE41">
            <v>5925</v>
          </cell>
          <cell r="FF41">
            <v>6075</v>
          </cell>
          <cell r="FG41">
            <v>6263</v>
          </cell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FR41">
            <v>8241</v>
          </cell>
          <cell r="FS41">
            <v>10094</v>
          </cell>
          <cell r="FT41">
            <v>8787</v>
          </cell>
          <cell r="FU41">
            <v>8652</v>
          </cell>
        </row>
        <row r="47">
          <cell r="FU47">
            <v>428857</v>
          </cell>
        </row>
        <row r="52">
          <cell r="FU52">
            <v>173806</v>
          </cell>
        </row>
      </sheetData>
      <sheetData sheetId="19"/>
      <sheetData sheetId="20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</row>
      </sheetData>
      <sheetData sheetId="21">
        <row r="4">
          <cell r="FU4">
            <v>746</v>
          </cell>
        </row>
        <row r="5">
          <cell r="FU5">
            <v>745</v>
          </cell>
        </row>
        <row r="19"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  <cell r="FE19">
            <v>1509</v>
          </cell>
          <cell r="FF19">
            <v>1526</v>
          </cell>
          <cell r="FG19">
            <v>1598</v>
          </cell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FR19">
            <v>1372</v>
          </cell>
          <cell r="FS19">
            <v>1373</v>
          </cell>
          <cell r="FT19">
            <v>1469</v>
          </cell>
          <cell r="FU19">
            <v>1491</v>
          </cell>
        </row>
        <row r="22">
          <cell r="FU22">
            <v>92814</v>
          </cell>
        </row>
        <row r="23">
          <cell r="FU23">
            <v>91706</v>
          </cell>
        </row>
        <row r="27">
          <cell r="FU27">
            <v>2210</v>
          </cell>
        </row>
        <row r="28">
          <cell r="FU28">
            <v>2227</v>
          </cell>
        </row>
        <row r="41"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  <cell r="FE41">
            <v>182823</v>
          </cell>
          <cell r="FF41">
            <v>179354</v>
          </cell>
          <cell r="FG41">
            <v>193207</v>
          </cell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FR41">
            <v>161388</v>
          </cell>
          <cell r="FS41">
            <v>170775</v>
          </cell>
          <cell r="FT41">
            <v>179912</v>
          </cell>
          <cell r="FU41">
            <v>184520</v>
          </cell>
        </row>
        <row r="47">
          <cell r="FU47">
            <v>201233</v>
          </cell>
        </row>
        <row r="52">
          <cell r="FU52">
            <v>97453</v>
          </cell>
        </row>
        <row r="70">
          <cell r="FU70">
            <v>91531</v>
          </cell>
        </row>
        <row r="71">
          <cell r="FU71">
            <v>175</v>
          </cell>
        </row>
      </sheetData>
      <sheetData sheetId="22">
        <row r="4">
          <cell r="FU4">
            <v>372</v>
          </cell>
        </row>
        <row r="5">
          <cell r="FU5">
            <v>372</v>
          </cell>
        </row>
        <row r="19"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  <cell r="FE19">
            <v>739</v>
          </cell>
          <cell r="FF19">
            <v>758</v>
          </cell>
          <cell r="FG19">
            <v>780</v>
          </cell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FR19">
            <v>689</v>
          </cell>
          <cell r="FS19">
            <v>718</v>
          </cell>
          <cell r="FT19">
            <v>740</v>
          </cell>
          <cell r="FU19">
            <v>744</v>
          </cell>
        </row>
        <row r="22">
          <cell r="FU22">
            <v>56593</v>
          </cell>
        </row>
        <row r="23">
          <cell r="FU23">
            <v>56085</v>
          </cell>
        </row>
        <row r="27">
          <cell r="FU27">
            <v>318</v>
          </cell>
        </row>
        <row r="28">
          <cell r="FU28">
            <v>326</v>
          </cell>
        </row>
        <row r="41"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  <cell r="FE41">
            <v>102395</v>
          </cell>
          <cell r="FF41">
            <v>108907</v>
          </cell>
          <cell r="FG41">
            <v>114899</v>
          </cell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FR41">
            <v>88010</v>
          </cell>
          <cell r="FS41">
            <v>101895</v>
          </cell>
          <cell r="FT41">
            <v>108629</v>
          </cell>
          <cell r="FU41">
            <v>112678</v>
          </cell>
        </row>
      </sheetData>
      <sheetData sheetId="23">
        <row r="4">
          <cell r="FU4">
            <v>411</v>
          </cell>
        </row>
        <row r="5">
          <cell r="FU5">
            <v>411</v>
          </cell>
        </row>
        <row r="19"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  <cell r="FE19">
            <v>912</v>
          </cell>
          <cell r="FF19">
            <v>914</v>
          </cell>
          <cell r="FG19">
            <v>926</v>
          </cell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FR19">
            <v>588</v>
          </cell>
          <cell r="FS19">
            <v>748</v>
          </cell>
          <cell r="FT19">
            <v>812</v>
          </cell>
          <cell r="FU19">
            <v>822</v>
          </cell>
        </row>
        <row r="22">
          <cell r="FU22">
            <v>51005</v>
          </cell>
        </row>
        <row r="23">
          <cell r="FU23">
            <v>50476</v>
          </cell>
        </row>
        <row r="27">
          <cell r="FU27">
            <v>1599</v>
          </cell>
        </row>
        <row r="28">
          <cell r="FU28">
            <v>1423</v>
          </cell>
        </row>
        <row r="41"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  <cell r="FE41">
            <v>105779</v>
          </cell>
          <cell r="FF41">
            <v>106947</v>
          </cell>
          <cell r="FG41">
            <v>109039</v>
          </cell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FR41">
            <v>68557</v>
          </cell>
          <cell r="FS41">
            <v>92739</v>
          </cell>
          <cell r="FT41">
            <v>101431</v>
          </cell>
          <cell r="FU41">
            <v>101481</v>
          </cell>
        </row>
        <row r="47">
          <cell r="FU47">
            <v>79294</v>
          </cell>
        </row>
        <row r="48">
          <cell r="FU48">
            <v>36443</v>
          </cell>
        </row>
        <row r="52">
          <cell r="FU52">
            <v>45028</v>
          </cell>
        </row>
        <row r="53">
          <cell r="FU53">
            <v>50932</v>
          </cell>
        </row>
      </sheetData>
      <sheetData sheetId="24"/>
      <sheetData sheetId="25"/>
      <sheetData sheetId="26">
        <row r="19"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  <cell r="FE19">
            <v>79</v>
          </cell>
          <cell r="FF19">
            <v>0</v>
          </cell>
          <cell r="FG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</row>
        <row r="41"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  <cell r="FE41">
            <v>3525</v>
          </cell>
          <cell r="FF41">
            <v>0</v>
          </cell>
          <cell r="FG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</row>
      </sheetData>
      <sheetData sheetId="27">
        <row r="19"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</row>
        <row r="41"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</row>
      </sheetData>
      <sheetData sheetId="28">
        <row r="4">
          <cell r="FU4">
            <v>7</v>
          </cell>
        </row>
        <row r="5">
          <cell r="FU5">
            <v>7</v>
          </cell>
        </row>
        <row r="19"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  <cell r="FE19">
            <v>8</v>
          </cell>
          <cell r="FF19">
            <v>10</v>
          </cell>
          <cell r="FG19">
            <v>8</v>
          </cell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FR19">
            <v>73</v>
          </cell>
          <cell r="FS19">
            <v>20</v>
          </cell>
          <cell r="FT19">
            <v>10</v>
          </cell>
          <cell r="FU19">
            <v>14</v>
          </cell>
        </row>
        <row r="22">
          <cell r="FU22">
            <v>242</v>
          </cell>
        </row>
        <row r="23">
          <cell r="FU23">
            <v>170</v>
          </cell>
        </row>
        <row r="27">
          <cell r="FU27">
            <v>14</v>
          </cell>
        </row>
        <row r="28">
          <cell r="FU28">
            <v>14</v>
          </cell>
        </row>
        <row r="41"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  <cell r="FE41">
            <v>443</v>
          </cell>
          <cell r="FF41">
            <v>550</v>
          </cell>
          <cell r="FG41">
            <v>392</v>
          </cell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FR41">
            <v>4802</v>
          </cell>
          <cell r="FS41">
            <v>1197</v>
          </cell>
          <cell r="FT41">
            <v>346</v>
          </cell>
          <cell r="FU41">
            <v>412</v>
          </cell>
        </row>
      </sheetData>
      <sheetData sheetId="29">
        <row r="15">
          <cell r="FN15">
            <v>21</v>
          </cell>
          <cell r="FO15">
            <v>22</v>
          </cell>
          <cell r="FP15">
            <v>2</v>
          </cell>
        </row>
        <row r="16">
          <cell r="FN16">
            <v>23</v>
          </cell>
          <cell r="FO16">
            <v>26</v>
          </cell>
          <cell r="FP16">
            <v>5</v>
          </cell>
        </row>
        <row r="19"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  <cell r="FE19">
            <v>468</v>
          </cell>
          <cell r="FF19">
            <v>250</v>
          </cell>
          <cell r="FG19">
            <v>220</v>
          </cell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FR19">
            <v>275</v>
          </cell>
          <cell r="FS19">
            <v>56</v>
          </cell>
          <cell r="FT19">
            <v>0</v>
          </cell>
          <cell r="FU19">
            <v>0</v>
          </cell>
        </row>
        <row r="32">
          <cell r="FN32">
            <v>1136</v>
          </cell>
          <cell r="FO32">
            <v>1111</v>
          </cell>
          <cell r="FP32">
            <v>122</v>
          </cell>
        </row>
        <row r="33">
          <cell r="FN33">
            <v>1362</v>
          </cell>
          <cell r="FO33">
            <v>1562</v>
          </cell>
          <cell r="FP33">
            <v>242</v>
          </cell>
        </row>
        <row r="37">
          <cell r="FN37">
            <v>17</v>
          </cell>
          <cell r="FO37">
            <v>30</v>
          </cell>
          <cell r="FP37">
            <v>1</v>
          </cell>
        </row>
        <row r="38">
          <cell r="FN38">
            <v>14</v>
          </cell>
          <cell r="FO38">
            <v>17</v>
          </cell>
          <cell r="FP38">
            <v>4</v>
          </cell>
        </row>
        <row r="41"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  <cell r="FE41">
            <v>26872</v>
          </cell>
          <cell r="FF41">
            <v>11383</v>
          </cell>
          <cell r="FG41">
            <v>10470</v>
          </cell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FR41">
            <v>14223</v>
          </cell>
          <cell r="FS41">
            <v>2500</v>
          </cell>
          <cell r="FT41">
            <v>0</v>
          </cell>
          <cell r="FU41">
            <v>0</v>
          </cell>
        </row>
      </sheetData>
      <sheetData sheetId="30"/>
      <sheetData sheetId="31"/>
      <sheetData sheetId="32"/>
      <sheetData sheetId="33">
        <row r="15">
          <cell r="FO15">
            <v>1</v>
          </cell>
        </row>
        <row r="19"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  <cell r="FE19">
            <v>928</v>
          </cell>
          <cell r="FF19">
            <v>1043</v>
          </cell>
          <cell r="FG19">
            <v>1021</v>
          </cell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</row>
        <row r="41"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  <cell r="FE41">
            <v>58464</v>
          </cell>
          <cell r="FF41">
            <v>65241</v>
          </cell>
          <cell r="FG41">
            <v>62261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</row>
        <row r="70">
          <cell r="BG70">
            <v>26242</v>
          </cell>
        </row>
        <row r="71">
          <cell r="BG71">
            <v>44562</v>
          </cell>
        </row>
        <row r="73">
          <cell r="BG73">
            <v>1540</v>
          </cell>
        </row>
        <row r="74">
          <cell r="BG74">
            <v>2614</v>
          </cell>
        </row>
      </sheetData>
      <sheetData sheetId="34"/>
      <sheetData sheetId="35">
        <row r="4">
          <cell r="FU4">
            <v>1</v>
          </cell>
        </row>
        <row r="5">
          <cell r="FU5">
            <v>1</v>
          </cell>
        </row>
        <row r="19"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  <cell r="FE19">
            <v>6</v>
          </cell>
          <cell r="FF19">
            <v>10</v>
          </cell>
          <cell r="FG19">
            <v>4</v>
          </cell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</row>
        <row r="22">
          <cell r="FU22">
            <v>44</v>
          </cell>
        </row>
        <row r="23">
          <cell r="FU23">
            <v>49</v>
          </cell>
        </row>
        <row r="41"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  <cell r="FE41">
            <v>293</v>
          </cell>
          <cell r="FF41">
            <v>490</v>
          </cell>
          <cell r="FG41">
            <v>198</v>
          </cell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FR41">
            <v>0</v>
          </cell>
          <cell r="FS41">
            <v>0</v>
          </cell>
          <cell r="FT41">
            <v>0</v>
          </cell>
          <cell r="FU41">
            <v>93</v>
          </cell>
        </row>
      </sheetData>
      <sheetData sheetId="36"/>
      <sheetData sheetId="37">
        <row r="4">
          <cell r="FU4">
            <v>208</v>
          </cell>
        </row>
        <row r="5">
          <cell r="FU5">
            <v>209</v>
          </cell>
        </row>
        <row r="9">
          <cell r="FU9">
            <v>1</v>
          </cell>
        </row>
        <row r="15">
          <cell r="FN15">
            <v>52</v>
          </cell>
          <cell r="FO15">
            <v>46</v>
          </cell>
          <cell r="FP15">
            <v>2</v>
          </cell>
          <cell r="FQ15">
            <v>49</v>
          </cell>
          <cell r="FR15">
            <v>55</v>
          </cell>
          <cell r="FS15">
            <v>13</v>
          </cell>
          <cell r="FT15">
            <v>21</v>
          </cell>
          <cell r="FU15">
            <v>28</v>
          </cell>
        </row>
        <row r="16">
          <cell r="FN16">
            <v>53</v>
          </cell>
          <cell r="FO16">
            <v>44</v>
          </cell>
          <cell r="FP16">
            <v>2</v>
          </cell>
          <cell r="FQ16">
            <v>47</v>
          </cell>
          <cell r="FR16">
            <v>52</v>
          </cell>
          <cell r="FS16">
            <v>12</v>
          </cell>
          <cell r="FT16">
            <v>21</v>
          </cell>
          <cell r="FU16">
            <v>26</v>
          </cell>
        </row>
        <row r="19"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  <cell r="FE19">
            <v>281</v>
          </cell>
          <cell r="FF19">
            <v>318</v>
          </cell>
          <cell r="FG19">
            <v>406</v>
          </cell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FR19">
            <v>848</v>
          </cell>
          <cell r="FS19">
            <v>590</v>
          </cell>
          <cell r="FT19">
            <v>478</v>
          </cell>
          <cell r="FU19">
            <v>472</v>
          </cell>
        </row>
        <row r="22">
          <cell r="FU22">
            <v>12750</v>
          </cell>
        </row>
        <row r="23">
          <cell r="FU23">
            <v>12693</v>
          </cell>
        </row>
        <row r="27">
          <cell r="FU27">
            <v>382</v>
          </cell>
        </row>
        <row r="28">
          <cell r="FU28">
            <v>463</v>
          </cell>
        </row>
        <row r="32">
          <cell r="FN32">
            <v>3029</v>
          </cell>
          <cell r="FO32">
            <v>2858</v>
          </cell>
          <cell r="FP32">
            <v>125</v>
          </cell>
          <cell r="FQ32">
            <v>3264</v>
          </cell>
          <cell r="FR32">
            <v>3535</v>
          </cell>
          <cell r="FS32">
            <v>849</v>
          </cell>
          <cell r="FT32">
            <v>1484</v>
          </cell>
          <cell r="FU32">
            <v>1821</v>
          </cell>
        </row>
        <row r="33">
          <cell r="FN33">
            <v>2891</v>
          </cell>
          <cell r="FO33">
            <v>2444</v>
          </cell>
          <cell r="FP33">
            <v>107</v>
          </cell>
          <cell r="FQ33">
            <v>3000</v>
          </cell>
          <cell r="FR33">
            <v>3400</v>
          </cell>
          <cell r="FS33">
            <v>815</v>
          </cell>
          <cell r="FT33">
            <v>1363</v>
          </cell>
          <cell r="FU33">
            <v>1794</v>
          </cell>
        </row>
        <row r="37">
          <cell r="FN37">
            <v>47</v>
          </cell>
          <cell r="FO37">
            <v>35</v>
          </cell>
          <cell r="FQ37">
            <v>53</v>
          </cell>
          <cell r="FR37">
            <v>60</v>
          </cell>
          <cell r="FS37">
            <v>18</v>
          </cell>
          <cell r="FT37">
            <v>37</v>
          </cell>
          <cell r="FU37">
            <v>22</v>
          </cell>
        </row>
        <row r="38">
          <cell r="FN38">
            <v>46</v>
          </cell>
          <cell r="FO38">
            <v>44</v>
          </cell>
          <cell r="FP38">
            <v>3</v>
          </cell>
          <cell r="FQ38">
            <v>61</v>
          </cell>
          <cell r="FR38">
            <v>71</v>
          </cell>
          <cell r="FS38">
            <v>20</v>
          </cell>
          <cell r="FT38">
            <v>42</v>
          </cell>
          <cell r="FU38">
            <v>23</v>
          </cell>
        </row>
        <row r="41"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  <cell r="FE41">
            <v>17051</v>
          </cell>
          <cell r="FF41">
            <v>18469</v>
          </cell>
          <cell r="FG41">
            <v>23154</v>
          </cell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FR41">
            <v>51273</v>
          </cell>
          <cell r="FS41">
            <v>36990</v>
          </cell>
          <cell r="FT41">
            <v>30084</v>
          </cell>
          <cell r="FU41">
            <v>29058</v>
          </cell>
        </row>
        <row r="47">
          <cell r="FU47">
            <v>673</v>
          </cell>
        </row>
        <row r="70">
          <cell r="FU70">
            <v>5585</v>
          </cell>
        </row>
        <row r="71">
          <cell r="FU71">
            <v>7108</v>
          </cell>
        </row>
        <row r="73">
          <cell r="FU73">
            <v>789</v>
          </cell>
        </row>
        <row r="74">
          <cell r="FU74">
            <v>1005</v>
          </cell>
        </row>
      </sheetData>
      <sheetData sheetId="38">
        <row r="4">
          <cell r="FU4">
            <v>1</v>
          </cell>
        </row>
        <row r="19"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  <cell r="FE19">
            <v>56</v>
          </cell>
          <cell r="FF19">
            <v>26</v>
          </cell>
          <cell r="FG19">
            <v>40</v>
          </cell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FR19">
            <v>0</v>
          </cell>
          <cell r="FS19">
            <v>6</v>
          </cell>
          <cell r="FT19">
            <v>0</v>
          </cell>
          <cell r="FU19">
            <v>1</v>
          </cell>
        </row>
        <row r="22">
          <cell r="FU22">
            <v>61</v>
          </cell>
        </row>
        <row r="41"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  <cell r="FE41">
            <v>3573</v>
          </cell>
          <cell r="FF41">
            <v>1722</v>
          </cell>
          <cell r="FG41">
            <v>2669</v>
          </cell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FR41">
            <v>0</v>
          </cell>
          <cell r="FS41">
            <v>391</v>
          </cell>
          <cell r="FT41">
            <v>0</v>
          </cell>
          <cell r="FU41">
            <v>61</v>
          </cell>
        </row>
      </sheetData>
      <sheetData sheetId="39">
        <row r="4">
          <cell r="FU4">
            <v>62</v>
          </cell>
        </row>
        <row r="5">
          <cell r="FU5">
            <v>62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FR19">
            <v>124</v>
          </cell>
          <cell r="FS19">
            <v>120</v>
          </cell>
          <cell r="FT19">
            <v>122</v>
          </cell>
          <cell r="FU19">
            <v>124</v>
          </cell>
        </row>
        <row r="22">
          <cell r="FU22">
            <v>4115</v>
          </cell>
        </row>
        <row r="23">
          <cell r="FU23">
            <v>3935</v>
          </cell>
        </row>
        <row r="27">
          <cell r="FU27">
            <v>153</v>
          </cell>
        </row>
        <row r="28">
          <cell r="FU28">
            <v>151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FR41">
            <v>8266</v>
          </cell>
          <cell r="FS41">
            <v>8149</v>
          </cell>
          <cell r="FT41">
            <v>7915</v>
          </cell>
          <cell r="FU41">
            <v>8050</v>
          </cell>
        </row>
        <row r="47">
          <cell r="FU47">
            <v>7344</v>
          </cell>
        </row>
        <row r="52">
          <cell r="FU52">
            <v>506</v>
          </cell>
        </row>
      </sheetData>
      <sheetData sheetId="40">
        <row r="4">
          <cell r="FU4">
            <v>141</v>
          </cell>
        </row>
        <row r="5">
          <cell r="FU5">
            <v>141</v>
          </cell>
        </row>
        <row r="19"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  <cell r="FE19">
            <v>288</v>
          </cell>
          <cell r="FF19">
            <v>308</v>
          </cell>
          <cell r="FG19">
            <v>290</v>
          </cell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FR19">
            <v>328</v>
          </cell>
          <cell r="FS19">
            <v>290</v>
          </cell>
          <cell r="FT19">
            <v>262</v>
          </cell>
          <cell r="FU19">
            <v>282</v>
          </cell>
        </row>
        <row r="22">
          <cell r="FU22">
            <v>9900</v>
          </cell>
        </row>
        <row r="23">
          <cell r="FU23">
            <v>10100</v>
          </cell>
        </row>
        <row r="27">
          <cell r="FU27">
            <v>326</v>
          </cell>
        </row>
        <row r="28">
          <cell r="FU28">
            <v>218</v>
          </cell>
        </row>
        <row r="41"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  <cell r="FE41">
            <v>17247</v>
          </cell>
          <cell r="FF41">
            <v>18775</v>
          </cell>
          <cell r="FG41">
            <v>16637</v>
          </cell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FR41">
            <v>20914</v>
          </cell>
          <cell r="FS41">
            <v>20128</v>
          </cell>
          <cell r="FT41">
            <v>18318</v>
          </cell>
          <cell r="FU41">
            <v>20000</v>
          </cell>
        </row>
      </sheetData>
      <sheetData sheetId="41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</row>
      </sheetData>
      <sheetData sheetId="42"/>
      <sheetData sheetId="43">
        <row r="4">
          <cell r="FU4">
            <v>1077</v>
          </cell>
        </row>
        <row r="5">
          <cell r="FU5">
            <v>1075</v>
          </cell>
        </row>
        <row r="9">
          <cell r="FU9">
            <v>1</v>
          </cell>
        </row>
        <row r="15">
          <cell r="FN15">
            <v>33</v>
          </cell>
          <cell r="FO15">
            <v>36</v>
          </cell>
          <cell r="FP15">
            <v>171</v>
          </cell>
          <cell r="FQ15">
            <v>92</v>
          </cell>
          <cell r="FR15">
            <v>61</v>
          </cell>
          <cell r="FS15">
            <v>152</v>
          </cell>
          <cell r="FT15">
            <v>100</v>
          </cell>
          <cell r="FU15">
            <v>69</v>
          </cell>
        </row>
        <row r="16">
          <cell r="FN16">
            <v>31</v>
          </cell>
          <cell r="FO16">
            <v>34</v>
          </cell>
          <cell r="FP16">
            <v>170</v>
          </cell>
          <cell r="FQ16">
            <v>95</v>
          </cell>
          <cell r="FR16">
            <v>62</v>
          </cell>
          <cell r="FS16">
            <v>152</v>
          </cell>
          <cell r="FT16">
            <v>100</v>
          </cell>
          <cell r="FU16">
            <v>70</v>
          </cell>
        </row>
        <row r="19"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  <cell r="FE19">
            <v>3569</v>
          </cell>
          <cell r="FF19">
            <v>3280</v>
          </cell>
          <cell r="FG19">
            <v>3243</v>
          </cell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FR19">
            <v>1613</v>
          </cell>
          <cell r="FS19">
            <v>2040</v>
          </cell>
          <cell r="FT19">
            <v>2051</v>
          </cell>
          <cell r="FU19">
            <v>2292</v>
          </cell>
        </row>
        <row r="22">
          <cell r="FU22">
            <v>65826</v>
          </cell>
        </row>
        <row r="23">
          <cell r="FU23">
            <v>66566</v>
          </cell>
        </row>
        <row r="27">
          <cell r="FU27">
            <v>2498</v>
          </cell>
        </row>
        <row r="28">
          <cell r="FU28">
            <v>2498</v>
          </cell>
        </row>
        <row r="32">
          <cell r="FN32">
            <v>1877</v>
          </cell>
          <cell r="FO32">
            <v>2203</v>
          </cell>
          <cell r="FP32">
            <v>11121</v>
          </cell>
          <cell r="FQ32">
            <v>5998</v>
          </cell>
          <cell r="FR32">
            <v>3695</v>
          </cell>
          <cell r="FS32">
            <v>9734</v>
          </cell>
          <cell r="FT32">
            <v>6677</v>
          </cell>
          <cell r="FU32">
            <v>4790</v>
          </cell>
        </row>
        <row r="33">
          <cell r="FN33">
            <v>1763</v>
          </cell>
          <cell r="FO33">
            <v>2158</v>
          </cell>
          <cell r="FP33">
            <v>11212</v>
          </cell>
          <cell r="FQ33">
            <v>6196</v>
          </cell>
          <cell r="FR33">
            <v>4029</v>
          </cell>
          <cell r="FS33">
            <v>10134</v>
          </cell>
          <cell r="FT33">
            <v>6305</v>
          </cell>
          <cell r="FU33">
            <v>4848</v>
          </cell>
        </row>
        <row r="37">
          <cell r="FN37">
            <v>28</v>
          </cell>
          <cell r="FO37">
            <v>29</v>
          </cell>
          <cell r="FP37">
            <v>170</v>
          </cell>
          <cell r="FQ37">
            <v>114</v>
          </cell>
          <cell r="FR37">
            <v>57</v>
          </cell>
          <cell r="FS37">
            <v>134</v>
          </cell>
          <cell r="FT37">
            <v>136</v>
          </cell>
          <cell r="FU37">
            <v>95</v>
          </cell>
        </row>
        <row r="38">
          <cell r="FN38">
            <v>29</v>
          </cell>
          <cell r="FO38">
            <v>29</v>
          </cell>
          <cell r="FP38">
            <v>181</v>
          </cell>
          <cell r="FQ38">
            <v>87</v>
          </cell>
          <cell r="FR38">
            <v>67</v>
          </cell>
          <cell r="FS38">
            <v>156</v>
          </cell>
          <cell r="FT38">
            <v>154</v>
          </cell>
          <cell r="FU38">
            <v>115</v>
          </cell>
        </row>
        <row r="41"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  <cell r="FE41">
            <v>187272</v>
          </cell>
          <cell r="FF41">
            <v>164340</v>
          </cell>
          <cell r="FG41">
            <v>157605</v>
          </cell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FR41">
            <v>95958</v>
          </cell>
          <cell r="FS41">
            <v>125736</v>
          </cell>
          <cell r="FT41">
            <v>126774</v>
          </cell>
          <cell r="FU41">
            <v>142030</v>
          </cell>
        </row>
        <row r="70">
          <cell r="FU70">
            <v>26493</v>
          </cell>
        </row>
        <row r="71">
          <cell r="FU71">
            <v>40073</v>
          </cell>
        </row>
        <row r="73">
          <cell r="FU73">
            <v>1930</v>
          </cell>
        </row>
        <row r="74">
          <cell r="FU74">
            <v>2918</v>
          </cell>
        </row>
      </sheetData>
      <sheetData sheetId="44">
        <row r="19"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  <cell r="FE19">
            <v>44</v>
          </cell>
          <cell r="FF19">
            <v>38</v>
          </cell>
          <cell r="FG19">
            <v>50</v>
          </cell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</row>
        <row r="41"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  <cell r="FE41">
            <v>2210</v>
          </cell>
          <cell r="FF41">
            <v>2026</v>
          </cell>
          <cell r="FG41">
            <v>2580</v>
          </cell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</row>
      </sheetData>
      <sheetData sheetId="45">
        <row r="4">
          <cell r="FU4">
            <v>219</v>
          </cell>
        </row>
        <row r="5">
          <cell r="FU5">
            <v>219</v>
          </cell>
        </row>
        <row r="19"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  <cell r="FE19">
            <v>445</v>
          </cell>
          <cell r="FF19">
            <v>459</v>
          </cell>
          <cell r="FG19">
            <v>444</v>
          </cell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FR19">
            <v>444</v>
          </cell>
          <cell r="FS19">
            <v>425</v>
          </cell>
          <cell r="FT19">
            <v>439</v>
          </cell>
          <cell r="FU19">
            <v>438</v>
          </cell>
        </row>
        <row r="22">
          <cell r="FU22">
            <v>13097</v>
          </cell>
        </row>
        <row r="23">
          <cell r="FU23">
            <v>13085</v>
          </cell>
        </row>
        <row r="27">
          <cell r="FU27">
            <v>589</v>
          </cell>
        </row>
        <row r="28">
          <cell r="FU28">
            <v>659</v>
          </cell>
        </row>
        <row r="41"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  <cell r="FE41">
            <v>24202</v>
          </cell>
          <cell r="FF41">
            <v>24432</v>
          </cell>
          <cell r="FG41">
            <v>24118</v>
          </cell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FR41">
            <v>24807</v>
          </cell>
          <cell r="FS41">
            <v>25672</v>
          </cell>
          <cell r="FT41">
            <v>24955</v>
          </cell>
          <cell r="FU41">
            <v>26182</v>
          </cell>
        </row>
      </sheetData>
      <sheetData sheetId="46">
        <row r="4">
          <cell r="FU4">
            <v>249</v>
          </cell>
        </row>
        <row r="5">
          <cell r="FU5">
            <v>249</v>
          </cell>
        </row>
        <row r="19"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  <cell r="FE19">
            <v>362</v>
          </cell>
          <cell r="FF19">
            <v>304</v>
          </cell>
          <cell r="FG19">
            <v>418</v>
          </cell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FR19">
            <v>342</v>
          </cell>
          <cell r="FS19">
            <v>444</v>
          </cell>
          <cell r="FT19">
            <v>454</v>
          </cell>
          <cell r="FU19">
            <v>498</v>
          </cell>
        </row>
        <row r="22">
          <cell r="FU22">
            <v>15852</v>
          </cell>
        </row>
        <row r="23">
          <cell r="FU23">
            <v>15694</v>
          </cell>
        </row>
        <row r="27">
          <cell r="FU27">
            <v>511</v>
          </cell>
        </row>
        <row r="28">
          <cell r="FU28">
            <v>516</v>
          </cell>
        </row>
        <row r="41"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  <cell r="FE41">
            <v>21738</v>
          </cell>
          <cell r="FF41">
            <v>18670</v>
          </cell>
          <cell r="FG41">
            <v>25299</v>
          </cell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FR41">
            <v>22995</v>
          </cell>
          <cell r="FS41">
            <v>28449</v>
          </cell>
          <cell r="FT41">
            <v>29337</v>
          </cell>
          <cell r="FU41">
            <v>31546</v>
          </cell>
        </row>
      </sheetData>
      <sheetData sheetId="47">
        <row r="15">
          <cell r="FN15">
            <v>81</v>
          </cell>
          <cell r="FO15">
            <v>74</v>
          </cell>
          <cell r="FP15">
            <v>86</v>
          </cell>
          <cell r="FQ15">
            <v>81</v>
          </cell>
          <cell r="FR15">
            <v>91</v>
          </cell>
          <cell r="FS15">
            <v>90</v>
          </cell>
          <cell r="FT15">
            <v>91</v>
          </cell>
          <cell r="FU15">
            <v>91</v>
          </cell>
        </row>
        <row r="16">
          <cell r="FN16">
            <v>81</v>
          </cell>
          <cell r="FO16">
            <v>74</v>
          </cell>
          <cell r="FP16">
            <v>86</v>
          </cell>
          <cell r="FQ16">
            <v>81</v>
          </cell>
          <cell r="FR16">
            <v>91</v>
          </cell>
          <cell r="FS16">
            <v>90</v>
          </cell>
          <cell r="FT16">
            <v>91</v>
          </cell>
          <cell r="FU16">
            <v>91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102</v>
          </cell>
          <cell r="FF19">
            <v>184</v>
          </cell>
          <cell r="FG19">
            <v>178</v>
          </cell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FR19">
            <v>182</v>
          </cell>
          <cell r="FS19">
            <v>180</v>
          </cell>
          <cell r="FT19">
            <v>182</v>
          </cell>
          <cell r="FU19">
            <v>182</v>
          </cell>
        </row>
        <row r="32">
          <cell r="FN32">
            <v>3937</v>
          </cell>
          <cell r="FO32">
            <v>3744</v>
          </cell>
          <cell r="FP32">
            <v>4418</v>
          </cell>
          <cell r="FQ32">
            <v>4630</v>
          </cell>
          <cell r="FR32">
            <v>5017</v>
          </cell>
          <cell r="FS32">
            <v>5746</v>
          </cell>
          <cell r="FT32">
            <v>6179</v>
          </cell>
          <cell r="FU32">
            <v>5892</v>
          </cell>
        </row>
        <row r="33">
          <cell r="FN33">
            <v>3798</v>
          </cell>
          <cell r="FO33">
            <v>3598</v>
          </cell>
          <cell r="FP33">
            <v>4675</v>
          </cell>
          <cell r="FQ33">
            <v>3717</v>
          </cell>
          <cell r="FR33">
            <v>5173</v>
          </cell>
          <cell r="FS33">
            <v>6122</v>
          </cell>
          <cell r="FT33">
            <v>5525</v>
          </cell>
          <cell r="FU33">
            <v>6057</v>
          </cell>
        </row>
        <row r="37">
          <cell r="FN37">
            <v>50</v>
          </cell>
          <cell r="FO37">
            <v>31</v>
          </cell>
          <cell r="FP37">
            <v>57</v>
          </cell>
          <cell r="FQ37">
            <v>60</v>
          </cell>
          <cell r="FR37">
            <v>63</v>
          </cell>
          <cell r="FS37">
            <v>46</v>
          </cell>
          <cell r="FT37">
            <v>54</v>
          </cell>
          <cell r="FU37">
            <v>93</v>
          </cell>
        </row>
        <row r="38">
          <cell r="FN38">
            <v>60</v>
          </cell>
          <cell r="FO38">
            <v>29</v>
          </cell>
          <cell r="FP38">
            <v>52</v>
          </cell>
          <cell r="FQ38">
            <v>68</v>
          </cell>
          <cell r="FR38">
            <v>75</v>
          </cell>
          <cell r="FS38">
            <v>40</v>
          </cell>
          <cell r="FT38">
            <v>59</v>
          </cell>
          <cell r="FU38">
            <v>89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6608</v>
          </cell>
          <cell r="FF41">
            <v>11391</v>
          </cell>
          <cell r="FG41">
            <v>11114</v>
          </cell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FR41">
            <v>10190</v>
          </cell>
          <cell r="FS41">
            <v>11868</v>
          </cell>
          <cell r="FT41">
            <v>11704</v>
          </cell>
          <cell r="FU41">
            <v>11949</v>
          </cell>
        </row>
        <row r="47">
          <cell r="FU47">
            <v>2118</v>
          </cell>
        </row>
        <row r="52">
          <cell r="FU52">
            <v>2634</v>
          </cell>
        </row>
      </sheetData>
      <sheetData sheetId="48">
        <row r="4">
          <cell r="FU4">
            <v>4277</v>
          </cell>
        </row>
        <row r="5">
          <cell r="FU5">
            <v>4262</v>
          </cell>
        </row>
        <row r="9">
          <cell r="FU9">
            <v>10</v>
          </cell>
        </row>
        <row r="15">
          <cell r="FN15">
            <v>215</v>
          </cell>
          <cell r="FO15">
            <v>200</v>
          </cell>
          <cell r="FP15">
            <v>177</v>
          </cell>
          <cell r="FQ15">
            <v>190</v>
          </cell>
          <cell r="FR15">
            <v>199</v>
          </cell>
          <cell r="FS15">
            <v>126</v>
          </cell>
          <cell r="FT15">
            <v>141</v>
          </cell>
          <cell r="FU15">
            <v>153</v>
          </cell>
        </row>
        <row r="16">
          <cell r="FN16">
            <v>215</v>
          </cell>
          <cell r="FO16">
            <v>200</v>
          </cell>
          <cell r="FP16">
            <v>177</v>
          </cell>
          <cell r="FQ16">
            <v>193</v>
          </cell>
          <cell r="FR16">
            <v>203</v>
          </cell>
          <cell r="FS16">
            <v>126</v>
          </cell>
          <cell r="FT16">
            <v>142</v>
          </cell>
          <cell r="FU16">
            <v>154</v>
          </cell>
        </row>
        <row r="19"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  <cell r="FE19">
            <v>6021</v>
          </cell>
          <cell r="FF19">
            <v>6281</v>
          </cell>
          <cell r="FG19">
            <v>6543</v>
          </cell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FR19">
            <v>9053</v>
          </cell>
          <cell r="FS19">
            <v>8428</v>
          </cell>
          <cell r="FT19">
            <v>8805</v>
          </cell>
          <cell r="FU19">
            <v>8856</v>
          </cell>
        </row>
        <row r="22">
          <cell r="FU22">
            <v>206293</v>
          </cell>
        </row>
        <row r="23">
          <cell r="FU23">
            <v>208072</v>
          </cell>
        </row>
        <row r="27">
          <cell r="FU27">
            <v>7905</v>
          </cell>
        </row>
        <row r="28">
          <cell r="FU28">
            <v>7462</v>
          </cell>
        </row>
        <row r="32">
          <cell r="FN32">
            <v>12640</v>
          </cell>
          <cell r="FO32">
            <v>12342</v>
          </cell>
          <cell r="FP32">
            <v>11042</v>
          </cell>
          <cell r="FQ32">
            <v>11833</v>
          </cell>
          <cell r="FR32">
            <v>11837</v>
          </cell>
          <cell r="FS32">
            <v>7659</v>
          </cell>
          <cell r="FT32">
            <v>9166</v>
          </cell>
          <cell r="FU32">
            <v>10441</v>
          </cell>
        </row>
        <row r="33">
          <cell r="FN33">
            <v>12556</v>
          </cell>
          <cell r="FO33">
            <v>12494</v>
          </cell>
          <cell r="FP33">
            <v>11504</v>
          </cell>
          <cell r="FQ33">
            <v>12526</v>
          </cell>
          <cell r="FR33">
            <v>13215</v>
          </cell>
          <cell r="FS33">
            <v>8116</v>
          </cell>
          <cell r="FT33">
            <v>8964</v>
          </cell>
          <cell r="FU33">
            <v>10216</v>
          </cell>
        </row>
        <row r="37">
          <cell r="FN37">
            <v>138</v>
          </cell>
          <cell r="FO37">
            <v>104</v>
          </cell>
          <cell r="FP37">
            <v>115</v>
          </cell>
          <cell r="FQ37">
            <v>115</v>
          </cell>
          <cell r="FR37">
            <v>114</v>
          </cell>
          <cell r="FS37">
            <v>59</v>
          </cell>
          <cell r="FT37">
            <v>101</v>
          </cell>
          <cell r="FU37">
            <v>81</v>
          </cell>
        </row>
        <row r="38">
          <cell r="FN38">
            <v>120</v>
          </cell>
          <cell r="FO38">
            <v>108</v>
          </cell>
          <cell r="FP38">
            <v>108</v>
          </cell>
          <cell r="FQ38">
            <v>125</v>
          </cell>
          <cell r="FR38">
            <v>124</v>
          </cell>
          <cell r="FS38">
            <v>60</v>
          </cell>
          <cell r="FT38">
            <v>98</v>
          </cell>
          <cell r="FU38">
            <v>100</v>
          </cell>
        </row>
        <row r="41"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  <cell r="FE41">
            <v>291037</v>
          </cell>
          <cell r="FF41">
            <v>296951</v>
          </cell>
          <cell r="FG41">
            <v>309817</v>
          </cell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FR41">
            <v>438002</v>
          </cell>
          <cell r="FS41">
            <v>405946</v>
          </cell>
          <cell r="FT41">
            <v>430520</v>
          </cell>
          <cell r="FU41">
            <v>435022</v>
          </cell>
        </row>
        <row r="70">
          <cell r="FU70">
            <v>60549</v>
          </cell>
        </row>
        <row r="71">
          <cell r="FU71">
            <v>147523</v>
          </cell>
        </row>
        <row r="73">
          <cell r="FU73">
            <v>2973</v>
          </cell>
        </row>
        <row r="74">
          <cell r="FU74">
            <v>7243</v>
          </cell>
        </row>
      </sheetData>
      <sheetData sheetId="49">
        <row r="4">
          <cell r="FU4">
            <v>53</v>
          </cell>
        </row>
        <row r="5">
          <cell r="FU5">
            <v>53</v>
          </cell>
        </row>
        <row r="19"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  <cell r="FE19">
            <v>226</v>
          </cell>
          <cell r="FF19">
            <v>232</v>
          </cell>
          <cell r="FG19">
            <v>192</v>
          </cell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FR19">
            <v>232</v>
          </cell>
          <cell r="FS19">
            <v>96</v>
          </cell>
          <cell r="FT19">
            <v>76</v>
          </cell>
          <cell r="FU19">
            <v>106</v>
          </cell>
        </row>
        <row r="22">
          <cell r="FU22">
            <v>3560</v>
          </cell>
        </row>
        <row r="23">
          <cell r="FU23">
            <v>3347</v>
          </cell>
        </row>
        <row r="27">
          <cell r="FU27">
            <v>120</v>
          </cell>
        </row>
        <row r="28">
          <cell r="FU28">
            <v>110</v>
          </cell>
        </row>
        <row r="41"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  <cell r="FE41">
            <v>14213</v>
          </cell>
          <cell r="FF41">
            <v>15806</v>
          </cell>
          <cell r="FG41">
            <v>13353</v>
          </cell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FR41">
            <v>14717</v>
          </cell>
          <cell r="FS41">
            <v>6171</v>
          </cell>
          <cell r="FT41">
            <v>5137</v>
          </cell>
          <cell r="FU41">
            <v>6907</v>
          </cell>
        </row>
      </sheetData>
      <sheetData sheetId="50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</row>
      </sheetData>
      <sheetData sheetId="51">
        <row r="4">
          <cell r="FU4">
            <v>31</v>
          </cell>
        </row>
        <row r="5">
          <cell r="FU5">
            <v>31</v>
          </cell>
        </row>
        <row r="19"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  <cell r="FE19">
            <v>10</v>
          </cell>
          <cell r="FF19">
            <v>18</v>
          </cell>
          <cell r="FG19">
            <v>6</v>
          </cell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FR19">
            <v>14</v>
          </cell>
          <cell r="FS19">
            <v>48</v>
          </cell>
          <cell r="FT19">
            <v>64</v>
          </cell>
          <cell r="FU19">
            <v>62</v>
          </cell>
        </row>
        <row r="22">
          <cell r="FU22">
            <v>1959</v>
          </cell>
        </row>
        <row r="23">
          <cell r="FU23">
            <v>1746</v>
          </cell>
        </row>
        <row r="27">
          <cell r="FU27">
            <v>56</v>
          </cell>
        </row>
        <row r="28">
          <cell r="FU28">
            <v>105</v>
          </cell>
        </row>
        <row r="41"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  <cell r="FE41">
            <v>482</v>
          </cell>
          <cell r="FF41">
            <v>922</v>
          </cell>
          <cell r="FG41">
            <v>375</v>
          </cell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FR41">
            <v>725</v>
          </cell>
          <cell r="FS41">
            <v>3054</v>
          </cell>
          <cell r="FT41">
            <v>3952</v>
          </cell>
          <cell r="FU41">
            <v>3705</v>
          </cell>
        </row>
        <row r="47">
          <cell r="FU47">
            <v>628</v>
          </cell>
        </row>
      </sheetData>
      <sheetData sheetId="52">
        <row r="4">
          <cell r="FU4">
            <v>25</v>
          </cell>
        </row>
        <row r="5">
          <cell r="FU5">
            <v>25</v>
          </cell>
        </row>
        <row r="19"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  <cell r="FE19">
            <v>60</v>
          </cell>
          <cell r="FF19">
            <v>114</v>
          </cell>
          <cell r="FG19">
            <v>186</v>
          </cell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FR19">
            <v>100</v>
          </cell>
          <cell r="FS19">
            <v>60</v>
          </cell>
          <cell r="FT19">
            <v>62</v>
          </cell>
          <cell r="FU19">
            <v>50</v>
          </cell>
        </row>
        <row r="22">
          <cell r="FU22">
            <v>1785</v>
          </cell>
        </row>
        <row r="23">
          <cell r="FU23">
            <v>1758</v>
          </cell>
        </row>
        <row r="27">
          <cell r="FU27">
            <v>65</v>
          </cell>
        </row>
        <row r="28">
          <cell r="FU28">
            <v>70</v>
          </cell>
        </row>
        <row r="41"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  <cell r="FE41">
            <v>4062</v>
          </cell>
          <cell r="FF41">
            <v>6863</v>
          </cell>
          <cell r="FG41">
            <v>10757</v>
          </cell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FR41">
            <v>6782</v>
          </cell>
          <cell r="FS41">
            <v>4211</v>
          </cell>
          <cell r="FT41">
            <v>4182</v>
          </cell>
          <cell r="FU41">
            <v>3543</v>
          </cell>
        </row>
        <row r="47">
          <cell r="FU47">
            <v>519</v>
          </cell>
        </row>
      </sheetData>
      <sheetData sheetId="53">
        <row r="4">
          <cell r="FU4">
            <v>1</v>
          </cell>
        </row>
        <row r="5">
          <cell r="FU5">
            <v>1</v>
          </cell>
        </row>
        <row r="19"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</row>
        <row r="22">
          <cell r="FU22">
            <v>52</v>
          </cell>
        </row>
        <row r="23">
          <cell r="FU23">
            <v>32</v>
          </cell>
        </row>
        <row r="41"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FR41">
            <v>0</v>
          </cell>
          <cell r="FS41">
            <v>0</v>
          </cell>
          <cell r="FT41">
            <v>0</v>
          </cell>
          <cell r="FU41">
            <v>84</v>
          </cell>
        </row>
        <row r="70">
          <cell r="FU70">
            <v>31</v>
          </cell>
        </row>
        <row r="71">
          <cell r="FU71">
            <v>1</v>
          </cell>
        </row>
      </sheetData>
      <sheetData sheetId="54">
        <row r="19"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</row>
        <row r="41"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</row>
      </sheetData>
      <sheetData sheetId="55"/>
      <sheetData sheetId="56"/>
      <sheetData sheetId="57"/>
      <sheetData sheetId="58"/>
      <sheetData sheetId="59"/>
      <sheetData sheetId="60"/>
      <sheetData sheetId="61">
        <row r="4">
          <cell r="FU4">
            <v>1</v>
          </cell>
        </row>
        <row r="5">
          <cell r="FU5">
            <v>1</v>
          </cell>
        </row>
        <row r="22">
          <cell r="FU22">
            <v>159</v>
          </cell>
        </row>
        <row r="23">
          <cell r="FU23">
            <v>159</v>
          </cell>
        </row>
        <row r="32">
          <cell r="FQ32">
            <v>37</v>
          </cell>
        </row>
      </sheetData>
      <sheetData sheetId="62">
        <row r="4">
          <cell r="FU4">
            <v>33</v>
          </cell>
        </row>
        <row r="5">
          <cell r="FU5">
            <v>33</v>
          </cell>
        </row>
        <row r="47">
          <cell r="FU47">
            <v>959391</v>
          </cell>
        </row>
        <row r="52">
          <cell r="FU52">
            <v>1212283</v>
          </cell>
        </row>
      </sheetData>
      <sheetData sheetId="63"/>
      <sheetData sheetId="64">
        <row r="4">
          <cell r="FU4">
            <v>23</v>
          </cell>
        </row>
        <row r="5">
          <cell r="FU5">
            <v>23</v>
          </cell>
        </row>
        <row r="12">
          <cell r="EZ12">
            <v>44</v>
          </cell>
          <cell r="FA12">
            <v>40</v>
          </cell>
          <cell r="FB12">
            <v>44</v>
          </cell>
          <cell r="FC12">
            <v>40</v>
          </cell>
          <cell r="FD12">
            <v>44</v>
          </cell>
          <cell r="FE12">
            <v>46</v>
          </cell>
          <cell r="FF12">
            <v>44</v>
          </cell>
          <cell r="FG12">
            <v>44</v>
          </cell>
          <cell r="FN12">
            <v>42</v>
          </cell>
          <cell r="FO12">
            <v>40</v>
          </cell>
          <cell r="FP12">
            <v>32</v>
          </cell>
          <cell r="FQ12">
            <v>40</v>
          </cell>
          <cell r="FR12">
            <v>42</v>
          </cell>
          <cell r="FS12">
            <v>40</v>
          </cell>
          <cell r="FT12">
            <v>44</v>
          </cell>
          <cell r="FU12">
            <v>46</v>
          </cell>
        </row>
        <row r="47">
          <cell r="FU47">
            <v>797089</v>
          </cell>
        </row>
        <row r="52">
          <cell r="FU52">
            <v>585995</v>
          </cell>
        </row>
        <row r="64"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  <cell r="FE64">
            <v>1385778</v>
          </cell>
          <cell r="FF64">
            <v>1329024</v>
          </cell>
          <cell r="FG64">
            <v>1392256</v>
          </cell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FR64">
            <v>1387504</v>
          </cell>
          <cell r="FS64">
            <v>1295568</v>
          </cell>
          <cell r="FT64">
            <v>1371398</v>
          </cell>
          <cell r="FU64">
            <v>1383084</v>
          </cell>
        </row>
      </sheetData>
      <sheetData sheetId="65">
        <row r="4">
          <cell r="FU4">
            <v>24</v>
          </cell>
        </row>
        <row r="5">
          <cell r="FU5">
            <v>24</v>
          </cell>
        </row>
        <row r="12">
          <cell r="EZ12">
            <v>62</v>
          </cell>
          <cell r="FA12">
            <v>64</v>
          </cell>
          <cell r="FB12">
            <v>72</v>
          </cell>
          <cell r="FC12">
            <v>60</v>
          </cell>
          <cell r="FD12">
            <v>66</v>
          </cell>
          <cell r="FE12">
            <v>46</v>
          </cell>
          <cell r="FF12">
            <v>32</v>
          </cell>
          <cell r="FG12">
            <v>38</v>
          </cell>
          <cell r="FN12">
            <v>38</v>
          </cell>
          <cell r="FO12">
            <v>52</v>
          </cell>
          <cell r="FP12">
            <v>48</v>
          </cell>
          <cell r="FQ12">
            <v>40</v>
          </cell>
          <cell r="FR12">
            <v>44</v>
          </cell>
          <cell r="FS12">
            <v>40</v>
          </cell>
          <cell r="FT12">
            <v>40</v>
          </cell>
          <cell r="FU12">
            <v>48</v>
          </cell>
        </row>
        <row r="47">
          <cell r="FU47">
            <v>25461</v>
          </cell>
        </row>
        <row r="64"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  <cell r="FE64">
            <v>47505</v>
          </cell>
          <cell r="FF64">
            <v>17020</v>
          </cell>
          <cell r="FG64">
            <v>21020</v>
          </cell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FR64">
            <v>24753</v>
          </cell>
          <cell r="FS64">
            <v>22207</v>
          </cell>
          <cell r="FT64">
            <v>23791</v>
          </cell>
          <cell r="FU64">
            <v>25461</v>
          </cell>
        </row>
      </sheetData>
      <sheetData sheetId="66"/>
      <sheetData sheetId="67">
        <row r="12"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</row>
        <row r="64"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  <cell r="FE64">
            <v>99317</v>
          </cell>
          <cell r="FF64">
            <v>84022</v>
          </cell>
          <cell r="FG64">
            <v>99751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</row>
      </sheetData>
      <sheetData sheetId="68">
        <row r="4">
          <cell r="FU4">
            <v>136</v>
          </cell>
        </row>
        <row r="5">
          <cell r="FU5">
            <v>136</v>
          </cell>
        </row>
        <row r="12">
          <cell r="EZ12">
            <v>176</v>
          </cell>
          <cell r="FA12">
            <v>168</v>
          </cell>
          <cell r="FB12">
            <v>198</v>
          </cell>
          <cell r="FC12">
            <v>176</v>
          </cell>
          <cell r="FD12">
            <v>173</v>
          </cell>
          <cell r="FE12">
            <v>176</v>
          </cell>
          <cell r="FF12">
            <v>120</v>
          </cell>
          <cell r="FG12">
            <v>280</v>
          </cell>
          <cell r="FN12">
            <v>258</v>
          </cell>
          <cell r="FO12">
            <v>242</v>
          </cell>
          <cell r="FP12">
            <v>270</v>
          </cell>
          <cell r="FQ12">
            <v>202</v>
          </cell>
          <cell r="FR12">
            <v>232</v>
          </cell>
          <cell r="FS12">
            <v>214</v>
          </cell>
          <cell r="FT12">
            <v>212</v>
          </cell>
          <cell r="FU12">
            <v>272</v>
          </cell>
        </row>
        <row r="47">
          <cell r="FU47">
            <v>9262805</v>
          </cell>
        </row>
        <row r="52">
          <cell r="FU52">
            <v>8429186</v>
          </cell>
        </row>
        <row r="64"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  <cell r="FE64">
            <v>17238355</v>
          </cell>
          <cell r="FF64">
            <v>15284807</v>
          </cell>
          <cell r="FG64">
            <v>18032563</v>
          </cell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FR64">
            <v>17677316</v>
          </cell>
          <cell r="FS64">
            <v>16814880</v>
          </cell>
          <cell r="FT64">
            <v>15931260</v>
          </cell>
          <cell r="FU64">
            <v>17691991</v>
          </cell>
        </row>
      </sheetData>
      <sheetData sheetId="69">
        <row r="4">
          <cell r="FU4">
            <v>116</v>
          </cell>
        </row>
        <row r="5">
          <cell r="FU5">
            <v>116</v>
          </cell>
        </row>
        <row r="12">
          <cell r="EZ12">
            <v>182</v>
          </cell>
          <cell r="FA12">
            <v>166</v>
          </cell>
          <cell r="FB12">
            <v>204</v>
          </cell>
          <cell r="FC12">
            <v>180</v>
          </cell>
          <cell r="FD12">
            <v>196</v>
          </cell>
          <cell r="FE12">
            <v>198</v>
          </cell>
          <cell r="FF12">
            <v>186</v>
          </cell>
          <cell r="FG12">
            <v>212</v>
          </cell>
          <cell r="FN12">
            <v>198</v>
          </cell>
          <cell r="FO12">
            <v>184</v>
          </cell>
          <cell r="FP12">
            <v>206</v>
          </cell>
          <cell r="FQ12">
            <v>188</v>
          </cell>
          <cell r="FR12">
            <v>222</v>
          </cell>
          <cell r="FS12">
            <v>214</v>
          </cell>
          <cell r="FT12">
            <v>208</v>
          </cell>
          <cell r="FU12">
            <v>232</v>
          </cell>
        </row>
        <row r="15">
          <cell r="FU15">
            <v>23</v>
          </cell>
        </row>
        <row r="16">
          <cell r="FU16">
            <v>23</v>
          </cell>
        </row>
        <row r="47">
          <cell r="FU47">
            <v>6808297</v>
          </cell>
        </row>
        <row r="48">
          <cell r="FU48">
            <v>156</v>
          </cell>
        </row>
        <row r="52">
          <cell r="FU52">
            <v>5598978</v>
          </cell>
        </row>
        <row r="53">
          <cell r="FU53">
            <v>566092</v>
          </cell>
        </row>
        <row r="64"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  <cell r="FE64">
            <v>12268191</v>
          </cell>
          <cell r="FF64">
            <v>10103665</v>
          </cell>
          <cell r="FG64">
            <v>13122272</v>
          </cell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FR64">
            <v>12140732</v>
          </cell>
          <cell r="FS64">
            <v>11730840</v>
          </cell>
          <cell r="FT64">
            <v>11255479</v>
          </cell>
          <cell r="FU64">
            <v>12973523</v>
          </cell>
        </row>
      </sheetData>
      <sheetData sheetId="70"/>
      <sheetData sheetId="71"/>
      <sheetData sheetId="72"/>
      <sheetData sheetId="73">
        <row r="4">
          <cell r="FU4">
            <v>295</v>
          </cell>
        </row>
        <row r="5">
          <cell r="FU5">
            <v>295</v>
          </cell>
        </row>
        <row r="12">
          <cell r="EZ12">
            <v>540</v>
          </cell>
          <cell r="FA12">
            <v>492</v>
          </cell>
          <cell r="FB12">
            <v>566</v>
          </cell>
          <cell r="FC12">
            <v>494</v>
          </cell>
          <cell r="FD12">
            <v>576</v>
          </cell>
          <cell r="FE12">
            <v>546</v>
          </cell>
          <cell r="FF12">
            <v>528</v>
          </cell>
          <cell r="FG12">
            <v>598</v>
          </cell>
          <cell r="FN12">
            <v>614</v>
          </cell>
          <cell r="FO12">
            <v>520</v>
          </cell>
          <cell r="FP12">
            <v>554</v>
          </cell>
          <cell r="FQ12">
            <v>520</v>
          </cell>
          <cell r="FR12">
            <v>590</v>
          </cell>
          <cell r="FS12">
            <v>540</v>
          </cell>
          <cell r="FT12">
            <v>536</v>
          </cell>
          <cell r="FU12">
            <v>590</v>
          </cell>
        </row>
      </sheetData>
      <sheetData sheetId="74">
        <row r="12">
          <cell r="EZ12">
            <v>40</v>
          </cell>
          <cell r="FA12">
            <v>42</v>
          </cell>
          <cell r="FB12">
            <v>48</v>
          </cell>
          <cell r="FC12">
            <v>40</v>
          </cell>
          <cell r="FD12">
            <v>48</v>
          </cell>
          <cell r="FE12">
            <v>4</v>
          </cell>
          <cell r="FF12">
            <v>0</v>
          </cell>
          <cell r="FG12">
            <v>0</v>
          </cell>
          <cell r="FN12">
            <v>0</v>
          </cell>
          <cell r="FO12">
            <v>2</v>
          </cell>
          <cell r="FP12">
            <v>0</v>
          </cell>
          <cell r="FQ12">
            <v>0</v>
          </cell>
          <cell r="FR12">
            <v>4</v>
          </cell>
          <cell r="FS12">
            <v>0</v>
          </cell>
          <cell r="FT12">
            <v>1</v>
          </cell>
          <cell r="FU12">
            <v>0</v>
          </cell>
        </row>
        <row r="64"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  <cell r="FE64">
            <v>5839</v>
          </cell>
          <cell r="FF64">
            <v>0</v>
          </cell>
          <cell r="FG64">
            <v>0</v>
          </cell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1371</v>
          </cell>
          <cell r="FU64">
            <v>0</v>
          </cell>
        </row>
      </sheetData>
      <sheetData sheetId="75">
        <row r="4">
          <cell r="FU4">
            <v>23</v>
          </cell>
        </row>
        <row r="5">
          <cell r="FU5">
            <v>23</v>
          </cell>
        </row>
        <row r="12">
          <cell r="EZ12">
            <v>40</v>
          </cell>
          <cell r="FA12">
            <v>34</v>
          </cell>
          <cell r="FB12">
            <v>46</v>
          </cell>
          <cell r="FC12">
            <v>42</v>
          </cell>
          <cell r="FD12">
            <v>42</v>
          </cell>
          <cell r="FE12">
            <v>44</v>
          </cell>
          <cell r="FF12">
            <v>34</v>
          </cell>
          <cell r="FG12">
            <v>46</v>
          </cell>
          <cell r="FN12">
            <v>38</v>
          </cell>
          <cell r="FO12">
            <v>38</v>
          </cell>
          <cell r="FP12">
            <v>38</v>
          </cell>
          <cell r="FQ12">
            <v>38</v>
          </cell>
          <cell r="FR12">
            <v>44</v>
          </cell>
          <cell r="FS12">
            <v>44</v>
          </cell>
          <cell r="FT12">
            <v>38</v>
          </cell>
          <cell r="FU12">
            <v>46</v>
          </cell>
        </row>
        <row r="47">
          <cell r="FU47">
            <v>175755</v>
          </cell>
        </row>
        <row r="52">
          <cell r="FU52">
            <v>59535</v>
          </cell>
        </row>
        <row r="64"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  <cell r="FE64">
            <v>212710</v>
          </cell>
          <cell r="FF64">
            <v>181062</v>
          </cell>
          <cell r="FG64">
            <v>205046</v>
          </cell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FR64">
            <v>0</v>
          </cell>
          <cell r="FS64">
            <v>140430</v>
          </cell>
          <cell r="FT64">
            <v>197910</v>
          </cell>
          <cell r="FU64">
            <v>235290</v>
          </cell>
        </row>
      </sheetData>
      <sheetData sheetId="76">
        <row r="4">
          <cell r="FU4">
            <v>50</v>
          </cell>
        </row>
        <row r="5">
          <cell r="FU5">
            <v>49</v>
          </cell>
        </row>
        <row r="12">
          <cell r="EZ12">
            <v>43</v>
          </cell>
          <cell r="FA12">
            <v>40</v>
          </cell>
          <cell r="FB12">
            <v>46</v>
          </cell>
          <cell r="FC12">
            <v>40</v>
          </cell>
          <cell r="FD12">
            <v>46</v>
          </cell>
          <cell r="FE12">
            <v>44</v>
          </cell>
          <cell r="FF12">
            <v>42</v>
          </cell>
          <cell r="FG12">
            <v>50</v>
          </cell>
          <cell r="FN12">
            <v>48</v>
          </cell>
          <cell r="FO12">
            <v>1</v>
          </cell>
          <cell r="FP12">
            <v>88</v>
          </cell>
          <cell r="FQ12">
            <v>90</v>
          </cell>
          <cell r="FR12">
            <v>88</v>
          </cell>
          <cell r="FS12">
            <v>83</v>
          </cell>
          <cell r="FT12">
            <v>91</v>
          </cell>
          <cell r="FU12">
            <v>99</v>
          </cell>
        </row>
        <row r="47">
          <cell r="FU47">
            <v>78268</v>
          </cell>
        </row>
        <row r="52">
          <cell r="FU52">
            <v>42425</v>
          </cell>
        </row>
        <row r="64"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  <cell r="FE64">
            <v>92834</v>
          </cell>
          <cell r="FF64">
            <v>84131</v>
          </cell>
          <cell r="FG64">
            <v>102744</v>
          </cell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FR64">
            <v>116314</v>
          </cell>
          <cell r="FS64">
            <v>120033</v>
          </cell>
          <cell r="FT64">
            <v>124594</v>
          </cell>
          <cell r="FU64">
            <v>120693</v>
          </cell>
        </row>
      </sheetData>
      <sheetData sheetId="77">
        <row r="4">
          <cell r="FU4">
            <v>65</v>
          </cell>
        </row>
        <row r="5">
          <cell r="FU5">
            <v>65</v>
          </cell>
        </row>
      </sheetData>
      <sheetData sheetId="78">
        <row r="4">
          <cell r="FU4">
            <v>947</v>
          </cell>
        </row>
        <row r="5">
          <cell r="FU5">
            <v>948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137179</v>
          </cell>
          <cell r="C21">
            <v>131658</v>
          </cell>
          <cell r="G21">
            <v>1202691</v>
          </cell>
          <cell r="H21">
            <v>1213282</v>
          </cell>
          <cell r="L21">
            <v>1339870</v>
          </cell>
          <cell r="M21">
            <v>1344940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256747</v>
          </cell>
          <cell r="I21">
            <v>2435679</v>
          </cell>
          <cell r="N21">
            <v>2692426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141643</v>
          </cell>
          <cell r="C22">
            <v>143472</v>
          </cell>
          <cell r="L22">
            <v>1334274</v>
          </cell>
          <cell r="M22">
            <v>1377099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272463</v>
          </cell>
          <cell r="I22">
            <v>2337959</v>
          </cell>
          <cell r="N22">
            <v>2610422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183302</v>
          </cell>
          <cell r="C23">
            <v>184526</v>
          </cell>
          <cell r="L23">
            <v>1694504</v>
          </cell>
          <cell r="M23">
            <v>1716363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348451</v>
          </cell>
          <cell r="I23">
            <v>3083230</v>
          </cell>
          <cell r="N23">
            <v>3431681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130702</v>
          </cell>
          <cell r="C24">
            <v>111716</v>
          </cell>
          <cell r="L24">
            <v>1544136</v>
          </cell>
          <cell r="M24">
            <v>1449126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251391</v>
          </cell>
          <cell r="I24">
            <v>2843673</v>
          </cell>
          <cell r="N24">
            <v>3095064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128052</v>
          </cell>
          <cell r="C25">
            <v>118282</v>
          </cell>
          <cell r="L25">
            <v>1632409</v>
          </cell>
          <cell r="M25">
            <v>1595081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225442</v>
          </cell>
          <cell r="I25">
            <v>2980236</v>
          </cell>
          <cell r="N25">
            <v>3205678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128004</v>
          </cell>
          <cell r="C26">
            <v>132185</v>
          </cell>
          <cell r="L26">
            <v>1762626</v>
          </cell>
          <cell r="M26">
            <v>1753039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248451</v>
          </cell>
          <cell r="I26">
            <v>3247151</v>
          </cell>
          <cell r="N26">
            <v>3495602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263710</v>
          </cell>
          <cell r="I27">
            <v>3397860</v>
          </cell>
          <cell r="N27">
            <v>3661570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J22" sqref="J22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78">
        <v>43313</v>
      </c>
      <c r="B2" s="17"/>
      <c r="C2" s="17"/>
      <c r="D2" s="520" t="s">
        <v>211</v>
      </c>
      <c r="E2" s="520" t="s">
        <v>188</v>
      </c>
      <c r="F2" s="8"/>
      <c r="G2" s="8"/>
      <c r="H2" s="8"/>
      <c r="I2" s="8"/>
      <c r="J2" s="23"/>
    </row>
    <row r="3" spans="1:14" ht="13.5" thickBot="1" x14ac:dyDescent="0.25">
      <c r="A3" s="384"/>
      <c r="B3" s="8" t="s">
        <v>0</v>
      </c>
      <c r="C3" s="8" t="s">
        <v>1</v>
      </c>
      <c r="D3" s="521"/>
      <c r="E3" s="522"/>
      <c r="F3" s="8" t="s">
        <v>2</v>
      </c>
      <c r="G3" s="8" t="s">
        <v>212</v>
      </c>
      <c r="H3" s="8" t="s">
        <v>189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4">
        <f>'Major Airline Stats'!K4</f>
        <v>1457907</v>
      </c>
      <c r="C5" s="296">
        <f>'Major Airline Stats'!K5</f>
        <v>1443713</v>
      </c>
      <c r="D5" s="5">
        <f>'Major Airline Stats'!K6</f>
        <v>2901620</v>
      </c>
      <c r="E5" s="9">
        <f>'[1]Monthly Summary'!D5</f>
        <v>2880133</v>
      </c>
      <c r="F5" s="39">
        <f>(D5-E5)/E5</f>
        <v>7.4604193625780477E-3</v>
      </c>
      <c r="G5" s="9">
        <f>+D5+'[2]Monthly Summary'!G5</f>
        <v>19796795</v>
      </c>
      <c r="H5" s="9">
        <f>'[1]Monthly Summary'!G5</f>
        <v>19867051</v>
      </c>
      <c r="I5" s="85">
        <f>(G5-H5)/H5</f>
        <v>-3.5363074268043105E-3</v>
      </c>
      <c r="J5" s="9"/>
    </row>
    <row r="6" spans="1:14" x14ac:dyDescent="0.2">
      <c r="A6" s="67" t="s">
        <v>5</v>
      </c>
      <c r="B6" s="294">
        <f>'Regional Major'!M5</f>
        <v>358480</v>
      </c>
      <c r="C6" s="294">
        <f>'Regional Major'!M6</f>
        <v>360162</v>
      </c>
      <c r="D6" s="5">
        <f>B6+C6</f>
        <v>718642</v>
      </c>
      <c r="E6" s="9">
        <f>'[1]Monthly Summary'!D6</f>
        <v>670799</v>
      </c>
      <c r="F6" s="39">
        <f>(D6-E6)/E6</f>
        <v>7.1322408053679273E-2</v>
      </c>
      <c r="G6" s="9">
        <f>+D6+'[2]Monthly Summary'!G6</f>
        <v>5291020</v>
      </c>
      <c r="H6" s="9">
        <f>'[1]Monthly Summary'!G6</f>
        <v>5145166</v>
      </c>
      <c r="I6" s="85">
        <f>(G6-H6)/H6</f>
        <v>2.8347773424608654E-2</v>
      </c>
      <c r="J6" s="20"/>
      <c r="K6" s="2"/>
    </row>
    <row r="7" spans="1:14" x14ac:dyDescent="0.2">
      <c r="A7" s="67" t="s">
        <v>6</v>
      </c>
      <c r="B7" s="9">
        <f>Charter!G5</f>
        <v>159</v>
      </c>
      <c r="C7" s="295">
        <f>Charter!G6</f>
        <v>159</v>
      </c>
      <c r="D7" s="5">
        <f>B7+C7</f>
        <v>318</v>
      </c>
      <c r="E7" s="9">
        <f>'[1]Monthly Summary'!D7</f>
        <v>467</v>
      </c>
      <c r="F7" s="39">
        <f>(D7-E7)/E7</f>
        <v>-0.31905781584582443</v>
      </c>
      <c r="G7" s="9">
        <f>+D7+'[2]Monthly Summary'!G7</f>
        <v>3405</v>
      </c>
      <c r="H7" s="9">
        <f>'[1]Monthly Summary'!G7</f>
        <v>3706</v>
      </c>
      <c r="I7" s="85">
        <f>(G7-H7)/H7</f>
        <v>-8.1219643820831078E-2</v>
      </c>
      <c r="J7" s="20"/>
      <c r="K7" s="2"/>
    </row>
    <row r="8" spans="1:14" x14ac:dyDescent="0.2">
      <c r="A8" s="70" t="s">
        <v>7</v>
      </c>
      <c r="B8" s="148">
        <f>SUM(B5:B7)</f>
        <v>1816546</v>
      </c>
      <c r="C8" s="148">
        <f>SUM(C5:C7)</f>
        <v>1804034</v>
      </c>
      <c r="D8" s="148">
        <f>SUM(D5:D7)</f>
        <v>3620580</v>
      </c>
      <c r="E8" s="148">
        <f>SUM(E5:E7)</f>
        <v>3551399</v>
      </c>
      <c r="F8" s="92">
        <f>(D8-E8)/E8</f>
        <v>1.9479928895626764E-2</v>
      </c>
      <c r="G8" s="148">
        <f>SUM(G5:G7)</f>
        <v>25091220</v>
      </c>
      <c r="H8" s="148">
        <f>SUM(H5:H7)</f>
        <v>25015923</v>
      </c>
      <c r="I8" s="91">
        <f>(G8-H8)/H8</f>
        <v>3.0099628944332776E-3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297">
        <f>'Major Airline Stats'!K9+'Regional Major'!M10</f>
        <v>59461</v>
      </c>
      <c r="C10" s="297">
        <f>'Major Airline Stats'!K10+'Regional Major'!M11</f>
        <v>59064</v>
      </c>
      <c r="D10" s="120">
        <f>SUM(B10:C10)</f>
        <v>118525</v>
      </c>
      <c r="E10" s="120">
        <f>'[1]Monthly Summary'!D10</f>
        <v>116800</v>
      </c>
      <c r="F10" s="93">
        <f>(D10-E10)/E10</f>
        <v>1.4768835616438356E-2</v>
      </c>
      <c r="G10" s="509">
        <f>+D10+'[2]Monthly Summary'!G10</f>
        <v>856360</v>
      </c>
      <c r="H10" s="120">
        <f>'[1]Monthly Summary'!G10</f>
        <v>844719</v>
      </c>
      <c r="I10" s="96">
        <f>(G10-H10)/H10</f>
        <v>1.3780914126472827E-2</v>
      </c>
      <c r="J10" s="264"/>
    </row>
    <row r="11" spans="1:14" ht="15.75" thickBot="1" x14ac:dyDescent="0.3">
      <c r="A11" s="69" t="s">
        <v>13</v>
      </c>
      <c r="B11" s="273">
        <f>B10+B8</f>
        <v>1876007</v>
      </c>
      <c r="C11" s="273">
        <f>C10+C8</f>
        <v>1863098</v>
      </c>
      <c r="D11" s="273">
        <f>D10+D8</f>
        <v>3739105</v>
      </c>
      <c r="E11" s="273">
        <f>E10+E8</f>
        <v>3668199</v>
      </c>
      <c r="F11" s="94">
        <f>(D11-E11)/E11</f>
        <v>1.932992184993235E-2</v>
      </c>
      <c r="G11" s="273">
        <f>G8+G10</f>
        <v>25947580</v>
      </c>
      <c r="H11" s="273">
        <f>H8+H10</f>
        <v>25860642</v>
      </c>
      <c r="I11" s="97">
        <f>(G11-H11)/H11</f>
        <v>3.3617881566900001E-3</v>
      </c>
      <c r="J11" s="7"/>
    </row>
    <row r="12" spans="1:14" ht="15" x14ac:dyDescent="0.25">
      <c r="A12" s="15"/>
      <c r="B12" s="124"/>
      <c r="C12" s="124"/>
      <c r="D12" s="124"/>
      <c r="E12" s="124"/>
      <c r="F12" s="275"/>
      <c r="G12" s="124"/>
      <c r="H12" s="124"/>
      <c r="I12" s="276"/>
      <c r="J12" s="7"/>
      <c r="K12" s="130"/>
    </row>
    <row r="13" spans="1:14" ht="16.5" customHeight="1" x14ac:dyDescent="0.2">
      <c r="B13" s="17"/>
      <c r="C13" s="17"/>
      <c r="D13" s="520" t="s">
        <v>211</v>
      </c>
      <c r="E13" s="520" t="s">
        <v>188</v>
      </c>
      <c r="F13" s="449"/>
      <c r="G13" s="449"/>
      <c r="H13" s="449"/>
      <c r="I13" s="449"/>
    </row>
    <row r="14" spans="1:14" ht="13.5" thickBot="1" x14ac:dyDescent="0.25">
      <c r="A14" s="16"/>
      <c r="B14" s="449" t="s">
        <v>208</v>
      </c>
      <c r="C14" s="449" t="s">
        <v>209</v>
      </c>
      <c r="D14" s="521"/>
      <c r="E14" s="522"/>
      <c r="F14" s="449" t="s">
        <v>2</v>
      </c>
      <c r="G14" s="500" t="s">
        <v>212</v>
      </c>
      <c r="H14" s="500" t="s">
        <v>189</v>
      </c>
      <c r="I14" s="449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5">
        <f>'Major Airline Stats'!K15+'Major Airline Stats'!K19</f>
        <v>10713</v>
      </c>
      <c r="C16" s="305">
        <f>'Major Airline Stats'!K16+'Major Airline Stats'!K20</f>
        <v>10713</v>
      </c>
      <c r="D16" s="47">
        <f t="shared" ref="D16:D21" si="0">SUM(B16:C16)</f>
        <v>21426</v>
      </c>
      <c r="E16" s="9">
        <f>'[1]Monthly Summary'!D16</f>
        <v>21947</v>
      </c>
      <c r="F16" s="95">
        <f t="shared" ref="F16:F22" si="1">(D16-E16)/E16</f>
        <v>-2.3739007609240442E-2</v>
      </c>
      <c r="G16" s="9">
        <f>+D16+'[2]Monthly Summary'!G16</f>
        <v>149803</v>
      </c>
      <c r="H16" s="9">
        <f>'[1]Monthly Summary'!G16</f>
        <v>154204</v>
      </c>
      <c r="I16" s="262">
        <f t="shared" ref="I16:I22" si="2">(G16-H16)/H16</f>
        <v>-2.8540115690902961E-2</v>
      </c>
      <c r="N16" s="130"/>
    </row>
    <row r="17" spans="1:12" x14ac:dyDescent="0.2">
      <c r="A17" s="68" t="s">
        <v>5</v>
      </c>
      <c r="B17" s="47">
        <f>'Regional Major'!M15+'Regional Major'!M18</f>
        <v>6693</v>
      </c>
      <c r="C17" s="47">
        <f>'Regional Major'!M16+'Regional Major'!M19</f>
        <v>6688</v>
      </c>
      <c r="D17" s="47">
        <f>SUM(B17:C17)</f>
        <v>13381</v>
      </c>
      <c r="E17" s="9">
        <f>'[1]Monthly Summary'!D17</f>
        <v>13249</v>
      </c>
      <c r="F17" s="95">
        <f t="shared" si="1"/>
        <v>9.9630160766850332E-3</v>
      </c>
      <c r="G17" s="9">
        <f>+D17+'[2]Monthly Summary'!G17</f>
        <v>101535</v>
      </c>
      <c r="H17" s="9">
        <f>'[1]Monthly Summary'!G17</f>
        <v>102071</v>
      </c>
      <c r="I17" s="262">
        <f t="shared" si="2"/>
        <v>-5.2512466812316919E-3</v>
      </c>
    </row>
    <row r="18" spans="1:12" x14ac:dyDescent="0.2">
      <c r="A18" s="68" t="s">
        <v>10</v>
      </c>
      <c r="B18" s="47">
        <f>Charter!G10</f>
        <v>1</v>
      </c>
      <c r="C18" s="47">
        <f>Charter!G11</f>
        <v>1</v>
      </c>
      <c r="D18" s="47">
        <f t="shared" si="0"/>
        <v>2</v>
      </c>
      <c r="E18" s="9">
        <f>'[1]Monthly Summary'!D18</f>
        <v>5</v>
      </c>
      <c r="F18" s="95">
        <f t="shared" si="1"/>
        <v>-0.6</v>
      </c>
      <c r="G18" s="9">
        <f>+D18+'[2]Monthly Summary'!G18</f>
        <v>28</v>
      </c>
      <c r="H18" s="9">
        <f>'[1]Monthly Summary'!G18</f>
        <v>29</v>
      </c>
      <c r="I18" s="262">
        <f t="shared" si="2"/>
        <v>-3.4482758620689655E-2</v>
      </c>
    </row>
    <row r="19" spans="1:12" x14ac:dyDescent="0.2">
      <c r="A19" s="68" t="s">
        <v>11</v>
      </c>
      <c r="B19" s="47">
        <f>Cargo!N4</f>
        <v>723</v>
      </c>
      <c r="C19" s="47">
        <f>Cargo!N5</f>
        <v>722</v>
      </c>
      <c r="D19" s="47">
        <f t="shared" si="0"/>
        <v>1445</v>
      </c>
      <c r="E19" s="9">
        <f>'[1]Monthly Summary'!D19</f>
        <v>1350</v>
      </c>
      <c r="F19" s="95">
        <f t="shared" si="1"/>
        <v>7.0370370370370375E-2</v>
      </c>
      <c r="G19" s="9">
        <f>+D19+'[2]Monthly Summary'!G19</f>
        <v>10070</v>
      </c>
      <c r="H19" s="9">
        <f>'[1]Monthly Summary'!G19</f>
        <v>9718</v>
      </c>
      <c r="I19" s="262">
        <f t="shared" si="2"/>
        <v>3.6221444741716402E-2</v>
      </c>
    </row>
    <row r="20" spans="1:12" x14ac:dyDescent="0.2">
      <c r="A20" s="68" t="s">
        <v>153</v>
      </c>
      <c r="B20" s="47">
        <f>'[3]General Avation'!$FU$4</f>
        <v>947</v>
      </c>
      <c r="C20" s="47">
        <f>'[3]General Avation'!$FU$5</f>
        <v>948</v>
      </c>
      <c r="D20" s="47">
        <f>SUM(B20:C20)</f>
        <v>1895</v>
      </c>
      <c r="E20" s="9">
        <f>'[1]Monthly Summary'!D20</f>
        <v>2102</v>
      </c>
      <c r="F20" s="95">
        <f t="shared" si="1"/>
        <v>-9.8477640342530925E-2</v>
      </c>
      <c r="G20" s="9">
        <f>+D20+'[2]Monthly Summary'!G20</f>
        <v>13681</v>
      </c>
      <c r="H20" s="9">
        <f>'[1]Monthly Summary'!G20</f>
        <v>15092</v>
      </c>
      <c r="I20" s="262">
        <f t="shared" si="2"/>
        <v>-9.349324145242513E-2</v>
      </c>
    </row>
    <row r="21" spans="1:12" ht="12.75" customHeight="1" x14ac:dyDescent="0.2">
      <c r="A21" s="68" t="s">
        <v>12</v>
      </c>
      <c r="B21" s="18">
        <f>'[3]Military '!$FU$4</f>
        <v>65</v>
      </c>
      <c r="C21" s="18">
        <f>'[3]Military '!$FU$5</f>
        <v>65</v>
      </c>
      <c r="D21" s="18">
        <f t="shared" si="0"/>
        <v>130</v>
      </c>
      <c r="E21" s="120">
        <f>'[1]Monthly Summary'!D21</f>
        <v>90</v>
      </c>
      <c r="F21" s="260">
        <f t="shared" si="1"/>
        <v>0.44444444444444442</v>
      </c>
      <c r="G21" s="120">
        <f>+D21+'[2]Monthly Summary'!G21</f>
        <v>830</v>
      </c>
      <c r="H21" s="120">
        <f>'[1]Monthly Summary'!G21</f>
        <v>465</v>
      </c>
      <c r="I21" s="263">
        <f t="shared" si="2"/>
        <v>0.78494623655913975</v>
      </c>
    </row>
    <row r="22" spans="1:12" ht="15.75" thickBot="1" x14ac:dyDescent="0.3">
      <c r="A22" s="69" t="s">
        <v>28</v>
      </c>
      <c r="B22" s="274">
        <f>SUM(B16:B21)</f>
        <v>19142</v>
      </c>
      <c r="C22" s="274">
        <f>SUM(C16:C21)</f>
        <v>19137</v>
      </c>
      <c r="D22" s="274">
        <f>SUM(D16:D21)</f>
        <v>38279</v>
      </c>
      <c r="E22" s="274">
        <f>SUM(E16:E21)</f>
        <v>38743</v>
      </c>
      <c r="F22" s="270">
        <f t="shared" si="1"/>
        <v>-1.1976357019332525E-2</v>
      </c>
      <c r="G22" s="274">
        <f>SUM(G16:G21)</f>
        <v>275947</v>
      </c>
      <c r="H22" s="274">
        <f>SUM(H16:H21)</f>
        <v>281579</v>
      </c>
      <c r="I22" s="271">
        <f t="shared" si="2"/>
        <v>-2.0001491588506243E-2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7"/>
      <c r="C24" s="17"/>
      <c r="D24" s="520" t="s">
        <v>211</v>
      </c>
      <c r="E24" s="520" t="s">
        <v>188</v>
      </c>
      <c r="F24" s="449"/>
      <c r="G24" s="449"/>
      <c r="H24" s="449"/>
      <c r="I24" s="449"/>
    </row>
    <row r="25" spans="1:12" ht="13.5" thickBot="1" x14ac:dyDescent="0.25">
      <c r="B25" s="449" t="s">
        <v>0</v>
      </c>
      <c r="C25" s="449" t="s">
        <v>1</v>
      </c>
      <c r="D25" s="521"/>
      <c r="E25" s="522"/>
      <c r="F25" s="449" t="s">
        <v>2</v>
      </c>
      <c r="G25" s="500" t="s">
        <v>212</v>
      </c>
      <c r="H25" s="500" t="s">
        <v>189</v>
      </c>
      <c r="I25" s="449" t="s">
        <v>2</v>
      </c>
    </row>
    <row r="26" spans="1:12" ht="15" x14ac:dyDescent="0.25">
      <c r="A26" s="65" t="s">
        <v>129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15</v>
      </c>
      <c r="B27" s="22">
        <f>(Cargo!N16+'Major Airline Stats'!K28+'Regional Major'!M25)*0.00045359237</f>
        <v>11041.675232192989</v>
      </c>
      <c r="C27" s="22">
        <f>(Cargo!N21+'Major Airline Stats'!K33+'Regional Major'!M30)*0.00045359237</f>
        <v>8740.10082679888</v>
      </c>
      <c r="D27" s="22">
        <f>(SUM(B27:C27)+('Cargo Summary'!E17*0.00045359237))</f>
        <v>19781.776058991869</v>
      </c>
      <c r="E27" s="9">
        <f>'[1]Monthly Summary'!D27</f>
        <v>19026.246299162409</v>
      </c>
      <c r="F27" s="98">
        <f>(D27-E27)/E27</f>
        <v>3.9709869616410924E-2</v>
      </c>
      <c r="G27" s="9">
        <f>+D27+'[2]Monthly Summary'!G27</f>
        <v>139488.12189095555</v>
      </c>
      <c r="H27" s="9">
        <f>'[1]Monthly Summary'!G27</f>
        <v>135305.77344337053</v>
      </c>
      <c r="I27" s="100">
        <f>(G27-H27)/H27</f>
        <v>3.091034729080093E-2</v>
      </c>
    </row>
    <row r="28" spans="1:12" x14ac:dyDescent="0.2">
      <c r="A28" s="62" t="s">
        <v>16</v>
      </c>
      <c r="B28" s="22">
        <f>(Cargo!N17+'Major Airline Stats'!K29+'Regional Major'!M26)*0.00045359237</f>
        <v>893.13335556213997</v>
      </c>
      <c r="C28" s="22">
        <f>(Cargo!N22+'Major Airline Stats'!K34+'Regional Major'!M31)*0.00045359237</f>
        <v>1254.25457064446</v>
      </c>
      <c r="D28" s="22">
        <f>SUM(B28:C28)</f>
        <v>2147.3879262066002</v>
      </c>
      <c r="E28" s="9">
        <f>'[1]Monthly Summary'!D28</f>
        <v>2541.1088249208196</v>
      </c>
      <c r="F28" s="98">
        <f>(D28-E28)/E28</f>
        <v>-0.15494058926283397</v>
      </c>
      <c r="G28" s="120">
        <f>+D28+'[2]Monthly Summary'!G28</f>
        <v>16984.334021121387</v>
      </c>
      <c r="H28" s="9">
        <f>'[1]Monthly Summary'!G28</f>
        <v>17177.375222723098</v>
      </c>
      <c r="I28" s="100">
        <f>(G28-H28)/H28</f>
        <v>-1.1238108214946958E-2</v>
      </c>
    </row>
    <row r="29" spans="1:12" ht="15.75" thickBot="1" x14ac:dyDescent="0.3">
      <c r="A29" s="63" t="s">
        <v>62</v>
      </c>
      <c r="B29" s="54">
        <f>SUM(B27:B28)</f>
        <v>11934.808587755129</v>
      </c>
      <c r="C29" s="54">
        <f>SUM(C27:C28)</f>
        <v>9994.3553974433398</v>
      </c>
      <c r="D29" s="54">
        <f>SUM(D27:D28)</f>
        <v>21929.163985198469</v>
      </c>
      <c r="E29" s="54">
        <f>SUM(E27:E28)</f>
        <v>21567.355124083228</v>
      </c>
      <c r="F29" s="99">
        <f>(D29-E29)/E29</f>
        <v>1.6775764067204841E-2</v>
      </c>
      <c r="G29" s="54">
        <f>SUM(G27:G28)</f>
        <v>156472.45591207693</v>
      </c>
      <c r="H29" s="54">
        <f>SUM(H27:H28)</f>
        <v>152483.14866609362</v>
      </c>
      <c r="I29" s="101">
        <f>(G29-H29)/H29</f>
        <v>2.6162282723575302E-2</v>
      </c>
    </row>
    <row r="30" spans="1:12" s="7" customFormat="1" ht="4.5" customHeight="1" thickBot="1" x14ac:dyDescent="0.3">
      <c r="A30" s="59"/>
      <c r="B30" s="386"/>
      <c r="C30" s="386"/>
      <c r="D30" s="386"/>
      <c r="E30" s="386"/>
      <c r="F30" s="275"/>
      <c r="G30" s="386"/>
      <c r="H30" s="386"/>
      <c r="I30" s="275"/>
    </row>
    <row r="31" spans="1:12" ht="13.5" thickBot="1" x14ac:dyDescent="0.25">
      <c r="B31" s="519" t="s">
        <v>149</v>
      </c>
      <c r="C31" s="518"/>
      <c r="D31" s="519" t="s">
        <v>156</v>
      </c>
      <c r="E31" s="518"/>
      <c r="F31" s="409"/>
      <c r="G31" s="410"/>
      <c r="H31" s="408"/>
      <c r="I31" s="408"/>
    </row>
    <row r="32" spans="1:12" x14ac:dyDescent="0.2">
      <c r="A32" s="390" t="s">
        <v>150</v>
      </c>
      <c r="B32" s="391">
        <f>C8-B33</f>
        <v>1081089</v>
      </c>
      <c r="C32" s="392">
        <f>B32/C8</f>
        <v>0.59926198730179148</v>
      </c>
      <c r="D32" s="393">
        <f>+B32+'[2]Monthly Summary'!$D$32</f>
        <v>7845413</v>
      </c>
      <c r="E32" s="394">
        <f>+D32/D34</f>
        <v>0.62710556896383318</v>
      </c>
      <c r="G32" s="416"/>
      <c r="H32" s="408"/>
      <c r="I32" s="407"/>
    </row>
    <row r="33" spans="1:14" ht="13.5" thickBot="1" x14ac:dyDescent="0.25">
      <c r="A33" s="395" t="s">
        <v>151</v>
      </c>
      <c r="B33" s="396">
        <f>'Major Airline Stats'!K51+'Regional Major'!M45</f>
        <v>722945</v>
      </c>
      <c r="C33" s="397">
        <f>+B33/C8</f>
        <v>0.40073801269820858</v>
      </c>
      <c r="D33" s="398">
        <f>+B33+'[2]Monthly Summary'!$D$33</f>
        <v>4665101</v>
      </c>
      <c r="E33" s="399">
        <f>+D33/D34</f>
        <v>0.37289443103616687</v>
      </c>
      <c r="G33" s="408"/>
      <c r="H33" s="408"/>
      <c r="I33" s="407"/>
    </row>
    <row r="34" spans="1:14" ht="13.5" thickBot="1" x14ac:dyDescent="0.25">
      <c r="B34" s="309"/>
      <c r="D34" s="400">
        <f>SUM(D32:D33)</f>
        <v>12510514</v>
      </c>
    </row>
    <row r="35" spans="1:14" ht="13.5" thickBot="1" x14ac:dyDescent="0.25">
      <c r="B35" s="517" t="s">
        <v>230</v>
      </c>
      <c r="C35" s="518"/>
      <c r="D35" s="519" t="s">
        <v>213</v>
      </c>
      <c r="E35" s="518"/>
    </row>
    <row r="36" spans="1:14" x14ac:dyDescent="0.2">
      <c r="A36" s="390" t="s">
        <v>150</v>
      </c>
      <c r="B36" s="391">
        <f>'[1]Monthly Summary'!$B$32</f>
        <v>1007612</v>
      </c>
      <c r="C36" s="392">
        <f>+B36/B38</f>
        <v>0.56901031445972616</v>
      </c>
      <c r="D36" s="393">
        <f>'[1]Monthly Summary'!$D$32</f>
        <v>7471528</v>
      </c>
      <c r="E36" s="394">
        <f>+D36/D38</f>
        <v>0.59904886966480486</v>
      </c>
    </row>
    <row r="37" spans="1:14" ht="13.5" thickBot="1" x14ac:dyDescent="0.25">
      <c r="A37" s="395" t="s">
        <v>151</v>
      </c>
      <c r="B37" s="396">
        <f>'[1]Monthly Summary'!$B$33</f>
        <v>763203</v>
      </c>
      <c r="C37" s="399">
        <f>+B37/B38</f>
        <v>0.43098968554027384</v>
      </c>
      <c r="D37" s="398">
        <f>'[1]Monthly Summary'!$D$33</f>
        <v>5000790</v>
      </c>
      <c r="E37" s="399">
        <f>+D37/D38</f>
        <v>0.40095113033519508</v>
      </c>
      <c r="M37" s="13"/>
    </row>
    <row r="38" spans="1:14" x14ac:dyDescent="0.2">
      <c r="B38" s="415">
        <f>+SUM(B36:B37)</f>
        <v>1770815</v>
      </c>
      <c r="D38" s="400">
        <f>SUM(D36:D37)</f>
        <v>12472318</v>
      </c>
    </row>
    <row r="39" spans="1:14" x14ac:dyDescent="0.2">
      <c r="A39" s="404" t="s">
        <v>152</v>
      </c>
    </row>
    <row r="40" spans="1:14" x14ac:dyDescent="0.2">
      <c r="A40" s="229" t="s">
        <v>154</v>
      </c>
      <c r="I40" s="2"/>
    </row>
    <row r="41" spans="1:14" x14ac:dyDescent="0.2">
      <c r="N41" s="405"/>
    </row>
    <row r="42" spans="1:14" x14ac:dyDescent="0.2">
      <c r="G42" s="2"/>
      <c r="N42" s="405"/>
    </row>
    <row r="43" spans="1:14" x14ac:dyDescent="0.2">
      <c r="B43" s="309"/>
      <c r="J43" s="2"/>
      <c r="N43" s="405"/>
    </row>
    <row r="44" spans="1:14" x14ac:dyDescent="0.2">
      <c r="B44" s="309"/>
      <c r="N44" s="405"/>
    </row>
    <row r="45" spans="1:14" x14ac:dyDescent="0.2">
      <c r="J45" s="2"/>
      <c r="N45" s="405"/>
    </row>
    <row r="46" spans="1:14" x14ac:dyDescent="0.2">
      <c r="B46" s="2"/>
      <c r="F46" s="309"/>
    </row>
    <row r="47" spans="1:14" x14ac:dyDescent="0.2">
      <c r="N47" s="405"/>
    </row>
    <row r="51" spans="12:12" x14ac:dyDescent="0.2">
      <c r="L51" s="4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6" priority="11" stopIfTrue="1">
      <formula>"*.*"</formula>
    </cfRule>
  </conditionalFormatting>
  <conditionalFormatting sqref="B13:C13 F13:I13 F14 I14">
    <cfRule type="expression" dxfId="5" priority="6" stopIfTrue="1">
      <formula>"*.*"</formula>
    </cfRule>
  </conditionalFormatting>
  <conditionalFormatting sqref="B24:C24 F24:I24 F25 I25">
    <cfRule type="expression" dxfId="4" priority="5" stopIfTrue="1">
      <formula>"*.*"</formula>
    </cfRule>
  </conditionalFormatting>
  <conditionalFormatting sqref="E13 D13:D14">
    <cfRule type="expression" dxfId="3" priority="4" stopIfTrue="1">
      <formula>"*.*"</formula>
    </cfRule>
  </conditionalFormatting>
  <conditionalFormatting sqref="E24 D24:D25">
    <cfRule type="expression" dxfId="2" priority="3" stopIfTrue="1">
      <formula>"*.*"</formula>
    </cfRule>
  </conditionalFormatting>
  <conditionalFormatting sqref="G14:H14">
    <cfRule type="expression" dxfId="1" priority="2" stopIfTrue="1">
      <formula>"*.*"</formula>
    </cfRule>
  </conditionalFormatting>
  <conditionalFormatting sqref="G25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August 2018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N33" sqref="N33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78">
        <v>43313</v>
      </c>
      <c r="B1" s="512" t="s">
        <v>17</v>
      </c>
      <c r="C1" s="512" t="s">
        <v>18</v>
      </c>
      <c r="D1" s="512" t="s">
        <v>19</v>
      </c>
      <c r="E1" s="512" t="s">
        <v>161</v>
      </c>
      <c r="F1" s="512" t="s">
        <v>168</v>
      </c>
      <c r="G1" s="512" t="s">
        <v>162</v>
      </c>
      <c r="H1" s="505" t="s">
        <v>229</v>
      </c>
      <c r="I1" s="505" t="s">
        <v>216</v>
      </c>
      <c r="J1" s="512" t="s">
        <v>20</v>
      </c>
      <c r="K1" s="513" t="s">
        <v>21</v>
      </c>
    </row>
    <row r="2" spans="1:20" ht="15" x14ac:dyDescent="0.25">
      <c r="A2" s="64" t="s">
        <v>3</v>
      </c>
      <c r="B2" s="58"/>
      <c r="C2" s="58"/>
      <c r="D2" s="58"/>
      <c r="E2" s="58"/>
      <c r="F2" s="58"/>
      <c r="G2" s="58"/>
      <c r="H2" s="504"/>
      <c r="I2" s="504"/>
      <c r="J2" s="58"/>
      <c r="K2" s="280"/>
    </row>
    <row r="3" spans="1:20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5"/>
    </row>
    <row r="4" spans="1:20" x14ac:dyDescent="0.2">
      <c r="A4" s="62" t="s">
        <v>30</v>
      </c>
      <c r="B4" s="21">
        <f>[3]American!$FU$22</f>
        <v>84458</v>
      </c>
      <c r="C4" s="21">
        <f>[3]Delta!$FU$22+[3]Delta!$FU$32</f>
        <v>1005547</v>
      </c>
      <c r="D4" s="21">
        <f>[3]United!$FU$22</f>
        <v>51005</v>
      </c>
      <c r="E4" s="21">
        <f>[3]Spirit!$FU$22</f>
        <v>56593</v>
      </c>
      <c r="F4" s="21">
        <f>[3]Condor!$FU$22+[3]Condor!$FU$32</f>
        <v>4458</v>
      </c>
      <c r="G4" s="21">
        <f>'[3]Air France'!$FU$22+'[3]Air France'!$FU$32</f>
        <v>7850</v>
      </c>
      <c r="H4" s="21">
        <f>'[3]Jet Blue'!$FU$22</f>
        <v>10274</v>
      </c>
      <c r="I4" s="21">
        <f>[3]KLM!$FU$22+[3]KLM!$FU$32</f>
        <v>4403</v>
      </c>
      <c r="J4" s="21">
        <f>'Other Major Airline Stats'!J5</f>
        <v>233319</v>
      </c>
      <c r="K4" s="281">
        <f>SUM(B4:J4)</f>
        <v>1457907</v>
      </c>
    </row>
    <row r="5" spans="1:20" x14ac:dyDescent="0.2">
      <c r="A5" s="62" t="s">
        <v>31</v>
      </c>
      <c r="B5" s="14">
        <f>[3]American!$FU$23</f>
        <v>81128</v>
      </c>
      <c r="C5" s="14">
        <f>[3]Delta!$FU$23+[3]Delta!$FU$33</f>
        <v>999848</v>
      </c>
      <c r="D5" s="14">
        <f>[3]United!$FU$23</f>
        <v>50476</v>
      </c>
      <c r="E5" s="14">
        <f>[3]Spirit!$FU$23</f>
        <v>56085</v>
      </c>
      <c r="F5" s="14">
        <f>[3]Condor!$FU$23+[3]Condor!$FU$33</f>
        <v>4529</v>
      </c>
      <c r="G5" s="14">
        <f>'[3]Air France'!$FU$23+'[3]Air France'!$FU$33</f>
        <v>7190</v>
      </c>
      <c r="H5" s="14">
        <f>'[3]Jet Blue'!$FU$23</f>
        <v>10129</v>
      </c>
      <c r="I5" s="14">
        <f>[3]KLM!$FU$23+[3]KLM!$FU$33</f>
        <v>4249</v>
      </c>
      <c r="J5" s="14">
        <f>'Other Major Airline Stats'!J6</f>
        <v>230079</v>
      </c>
      <c r="K5" s="282">
        <f>SUM(B5:J5)</f>
        <v>1443713</v>
      </c>
      <c r="M5" s="309"/>
      <c r="N5" s="309"/>
      <c r="O5" s="309"/>
      <c r="P5" s="309"/>
      <c r="Q5" s="309"/>
      <c r="R5" s="309"/>
      <c r="S5" s="309"/>
      <c r="T5" s="309"/>
    </row>
    <row r="6" spans="1:20" ht="15" x14ac:dyDescent="0.25">
      <c r="A6" s="60" t="s">
        <v>7</v>
      </c>
      <c r="B6" s="34">
        <f t="shared" ref="B6:J6" si="0">SUM(B4:B5)</f>
        <v>165586</v>
      </c>
      <c r="C6" s="34">
        <f t="shared" si="0"/>
        <v>2005395</v>
      </c>
      <c r="D6" s="34">
        <f t="shared" si="0"/>
        <v>101481</v>
      </c>
      <c r="E6" s="34">
        <f t="shared" si="0"/>
        <v>112678</v>
      </c>
      <c r="F6" s="34">
        <f t="shared" ref="F6:I6" si="1">SUM(F4:F5)</f>
        <v>8987</v>
      </c>
      <c r="G6" s="34">
        <f t="shared" si="1"/>
        <v>15040</v>
      </c>
      <c r="H6" s="34">
        <f t="shared" si="1"/>
        <v>20403</v>
      </c>
      <c r="I6" s="34">
        <f t="shared" si="1"/>
        <v>8652</v>
      </c>
      <c r="J6" s="34">
        <f t="shared" si="0"/>
        <v>463398</v>
      </c>
      <c r="K6" s="283">
        <f>SUM(B6:J6)</f>
        <v>2901620</v>
      </c>
    </row>
    <row r="7" spans="1:20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81"/>
    </row>
    <row r="8" spans="1:20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81">
        <f>SUM(B8:J8)</f>
        <v>0</v>
      </c>
    </row>
    <row r="9" spans="1:20" x14ac:dyDescent="0.2">
      <c r="A9" s="62" t="s">
        <v>30</v>
      </c>
      <c r="B9" s="21">
        <f>[3]American!$FU$27</f>
        <v>3788</v>
      </c>
      <c r="C9" s="21">
        <f>[3]Delta!$FU$27+[3]Delta!$FU$37</f>
        <v>35306</v>
      </c>
      <c r="D9" s="21">
        <f>[3]United!$FU$27</f>
        <v>1599</v>
      </c>
      <c r="E9" s="21">
        <f>[3]Spirit!$FU$27</f>
        <v>318</v>
      </c>
      <c r="F9" s="21">
        <f>[3]Condor!$FU$27+[3]Condor!$FU$37</f>
        <v>6</v>
      </c>
      <c r="G9" s="21">
        <f>'[3]Air France'!$FU$27+'[3]Air France'!$FU$37</f>
        <v>24</v>
      </c>
      <c r="H9" s="21">
        <f>'[3]Jet Blue'!$FU$27</f>
        <v>236</v>
      </c>
      <c r="I9" s="21">
        <f>[3]KLM!$FU$27+[3]KLM!$FU$37</f>
        <v>23</v>
      </c>
      <c r="J9" s="21">
        <f>'Other Major Airline Stats'!J10</f>
        <v>5251</v>
      </c>
      <c r="K9" s="281">
        <f>SUM(B9:J9)</f>
        <v>46551</v>
      </c>
    </row>
    <row r="10" spans="1:20" x14ac:dyDescent="0.2">
      <c r="A10" s="62" t="s">
        <v>33</v>
      </c>
      <c r="B10" s="14">
        <f>[3]American!$FU$28</f>
        <v>4016</v>
      </c>
      <c r="C10" s="14">
        <f>[3]Delta!$FU$28+[3]Delta!$FU$38</f>
        <v>35333</v>
      </c>
      <c r="D10" s="14">
        <f>[3]United!$FU$28</f>
        <v>1423</v>
      </c>
      <c r="E10" s="14">
        <f>[3]Spirit!$FU$28</f>
        <v>326</v>
      </c>
      <c r="F10" s="14">
        <f>[3]Condor!$FU$28+[3]Condor!$FU$38</f>
        <v>6</v>
      </c>
      <c r="G10" s="14">
        <f>'[3]Air France'!$FU$28+'[3]Air France'!$FU$38</f>
        <v>13</v>
      </c>
      <c r="H10" s="14">
        <f>'[3]Jet Blue'!$FU$28</f>
        <v>258</v>
      </c>
      <c r="I10" s="14">
        <f>[3]KLM!$FU$28+[3]KLM!$FU$38</f>
        <v>29</v>
      </c>
      <c r="J10" s="14">
        <f>'Other Major Airline Stats'!J11</f>
        <v>5067</v>
      </c>
      <c r="K10" s="282">
        <f>SUM(B10:J10)</f>
        <v>46471</v>
      </c>
    </row>
    <row r="11" spans="1:20" ht="15.75" thickBot="1" x14ac:dyDescent="0.3">
      <c r="A11" s="63" t="s">
        <v>34</v>
      </c>
      <c r="B11" s="284">
        <f t="shared" ref="B11:J11" si="2">SUM(B9:B10)</f>
        <v>7804</v>
      </c>
      <c r="C11" s="284">
        <f t="shared" si="2"/>
        <v>70639</v>
      </c>
      <c r="D11" s="284">
        <f t="shared" si="2"/>
        <v>3022</v>
      </c>
      <c r="E11" s="284">
        <f t="shared" si="2"/>
        <v>644</v>
      </c>
      <c r="F11" s="284">
        <f t="shared" ref="F11:I11" si="3">SUM(F9:F10)</f>
        <v>12</v>
      </c>
      <c r="G11" s="284">
        <f t="shared" si="3"/>
        <v>37</v>
      </c>
      <c r="H11" s="284">
        <f t="shared" si="3"/>
        <v>494</v>
      </c>
      <c r="I11" s="284">
        <f t="shared" si="3"/>
        <v>52</v>
      </c>
      <c r="J11" s="284">
        <f t="shared" si="2"/>
        <v>10318</v>
      </c>
      <c r="K11" s="285">
        <f>SUM(B11:J11)</f>
        <v>93022</v>
      </c>
    </row>
    <row r="13" spans="1:20" ht="13.5" thickBot="1" x14ac:dyDescent="0.25"/>
    <row r="14" spans="1:20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5"/>
      <c r="J14" s="25"/>
      <c r="K14" s="26"/>
    </row>
    <row r="15" spans="1:20" x14ac:dyDescent="0.2">
      <c r="A15" s="62" t="s">
        <v>22</v>
      </c>
      <c r="B15" s="21">
        <f>[3]American!$FU$4</f>
        <v>661</v>
      </c>
      <c r="C15" s="21">
        <f>[3]Delta!$FU$4+[3]Delta!$FU$15</f>
        <v>7125</v>
      </c>
      <c r="D15" s="21">
        <f>[3]United!$FU$4</f>
        <v>411</v>
      </c>
      <c r="E15" s="21">
        <f>[3]Spirit!$FU$4</f>
        <v>372</v>
      </c>
      <c r="F15" s="21">
        <f>[3]Condor!$FU$4+[3]Condor!$FU$15</f>
        <v>18</v>
      </c>
      <c r="G15" s="21">
        <f>'[3]Air France'!$FU$4+'[3]Air France'!$FU$15</f>
        <v>31</v>
      </c>
      <c r="H15" s="21">
        <f>'[3]Jet Blue'!$FU$4</f>
        <v>93</v>
      </c>
      <c r="I15" s="21">
        <f>[3]KLM!$FU$4+[3]KLM!$FU$15</f>
        <v>17</v>
      </c>
      <c r="J15" s="21">
        <f>'Other Major Airline Stats'!J16</f>
        <v>1897</v>
      </c>
      <c r="K15" s="27">
        <f>SUM(B15:J15)</f>
        <v>10625</v>
      </c>
    </row>
    <row r="16" spans="1:20" x14ac:dyDescent="0.2">
      <c r="A16" s="62" t="s">
        <v>23</v>
      </c>
      <c r="B16" s="14">
        <f>[3]American!$FU$5</f>
        <v>661</v>
      </c>
      <c r="C16" s="14">
        <f>[3]Delta!$FU$5+[3]Delta!$FU$16</f>
        <v>7107</v>
      </c>
      <c r="D16" s="14">
        <f>[3]United!$FU$5</f>
        <v>411</v>
      </c>
      <c r="E16" s="14">
        <f>[3]Spirit!$FU$5</f>
        <v>372</v>
      </c>
      <c r="F16" s="14">
        <f>[3]Condor!$FU$5+[3]Condor!$FU$16</f>
        <v>18</v>
      </c>
      <c r="G16" s="14">
        <f>'[3]Air France'!$FU$5+'[3]Air France'!$FU$16</f>
        <v>31</v>
      </c>
      <c r="H16" s="14">
        <f>'[3]Jet Blue'!$FU$5</f>
        <v>92</v>
      </c>
      <c r="I16" s="14">
        <f>[3]KLM!$FU$5+[3]KLM!$FU$16</f>
        <v>17</v>
      </c>
      <c r="J16" s="14">
        <f>'Other Major Airline Stats'!J17</f>
        <v>1894</v>
      </c>
      <c r="K16" s="33">
        <f>SUM(B16:J16)</f>
        <v>10603</v>
      </c>
    </row>
    <row r="17" spans="1:11" x14ac:dyDescent="0.2">
      <c r="A17" s="62" t="s">
        <v>24</v>
      </c>
      <c r="B17" s="288">
        <f t="shared" ref="B17:J17" si="4">SUM(B15:B16)</f>
        <v>1322</v>
      </c>
      <c r="C17" s="286">
        <f t="shared" si="4"/>
        <v>14232</v>
      </c>
      <c r="D17" s="286">
        <f t="shared" si="4"/>
        <v>822</v>
      </c>
      <c r="E17" s="286">
        <f t="shared" si="4"/>
        <v>744</v>
      </c>
      <c r="F17" s="286">
        <f t="shared" ref="F17:I17" si="5">SUM(F15:F16)</f>
        <v>36</v>
      </c>
      <c r="G17" s="286">
        <f t="shared" si="5"/>
        <v>62</v>
      </c>
      <c r="H17" s="286">
        <f t="shared" si="5"/>
        <v>185</v>
      </c>
      <c r="I17" s="286">
        <f t="shared" si="5"/>
        <v>34</v>
      </c>
      <c r="J17" s="286">
        <f t="shared" si="4"/>
        <v>3791</v>
      </c>
      <c r="K17" s="287">
        <f>SUM(B17:J17)</f>
        <v>21228</v>
      </c>
    </row>
    <row r="18" spans="1:11" x14ac:dyDescent="0.2">
      <c r="A18" s="62"/>
      <c r="B18" s="21"/>
      <c r="C18" s="21"/>
      <c r="D18" s="21"/>
      <c r="E18" s="21"/>
      <c r="F18" s="21"/>
      <c r="G18" s="21"/>
      <c r="H18" s="21"/>
      <c r="I18" s="21"/>
      <c r="J18" s="21"/>
      <c r="K18" s="27"/>
    </row>
    <row r="19" spans="1:11" x14ac:dyDescent="0.2">
      <c r="A19" s="62" t="s">
        <v>25</v>
      </c>
      <c r="B19" s="21">
        <f>[3]American!$FU$8</f>
        <v>0</v>
      </c>
      <c r="C19" s="21">
        <f>[3]Delta!$FU$8</f>
        <v>7</v>
      </c>
      <c r="D19" s="21">
        <f>[3]United!$FU$8</f>
        <v>0</v>
      </c>
      <c r="E19" s="21">
        <f>[3]Spirit!$FU$8</f>
        <v>0</v>
      </c>
      <c r="F19" s="21">
        <f>[3]Condor!$FU$8</f>
        <v>0</v>
      </c>
      <c r="G19" s="21">
        <f>'[3]Air France'!$FU$8</f>
        <v>0</v>
      </c>
      <c r="H19" s="21">
        <f>'[3]Jet Blue'!$FU$8</f>
        <v>0</v>
      </c>
      <c r="I19" s="21">
        <f>[3]KLM!$FU$8</f>
        <v>0</v>
      </c>
      <c r="J19" s="21">
        <f>'Other Major Airline Stats'!J20</f>
        <v>81</v>
      </c>
      <c r="K19" s="27">
        <f>SUM(B19:J19)</f>
        <v>88</v>
      </c>
    </row>
    <row r="20" spans="1:11" x14ac:dyDescent="0.2">
      <c r="A20" s="62" t="s">
        <v>26</v>
      </c>
      <c r="B20" s="14">
        <f>[3]American!$FU$9</f>
        <v>0</v>
      </c>
      <c r="C20" s="14">
        <f>[3]Delta!$FU$9</f>
        <v>22</v>
      </c>
      <c r="D20" s="14">
        <f>[3]United!$FU$9</f>
        <v>0</v>
      </c>
      <c r="E20" s="14">
        <f>[3]Spirit!$FU$9</f>
        <v>0</v>
      </c>
      <c r="F20" s="14">
        <f>[3]Condor!$FU$9</f>
        <v>0</v>
      </c>
      <c r="G20" s="14">
        <f>'[3]Air France'!$FU$9</f>
        <v>0</v>
      </c>
      <c r="H20" s="14">
        <f>'[3]Jet Blue'!$FU$9</f>
        <v>0</v>
      </c>
      <c r="I20" s="14">
        <f>[3]KLM!$FU$9</f>
        <v>0</v>
      </c>
      <c r="J20" s="14">
        <f>'Other Major Airline Stats'!J21</f>
        <v>88</v>
      </c>
      <c r="K20" s="33">
        <f>SUM(B20:J20)</f>
        <v>110</v>
      </c>
    </row>
    <row r="21" spans="1:11" x14ac:dyDescent="0.2">
      <c r="A21" s="62" t="s">
        <v>27</v>
      </c>
      <c r="B21" s="288">
        <f t="shared" ref="B21:J21" si="6">SUM(B19:B20)</f>
        <v>0</v>
      </c>
      <c r="C21" s="286">
        <f t="shared" si="6"/>
        <v>29</v>
      </c>
      <c r="D21" s="286">
        <f t="shared" si="6"/>
        <v>0</v>
      </c>
      <c r="E21" s="286">
        <f t="shared" si="6"/>
        <v>0</v>
      </c>
      <c r="F21" s="286">
        <f t="shared" ref="F21:I21" si="7">SUM(F19:F20)</f>
        <v>0</v>
      </c>
      <c r="G21" s="286">
        <f t="shared" si="7"/>
        <v>0</v>
      </c>
      <c r="H21" s="286">
        <f t="shared" si="7"/>
        <v>0</v>
      </c>
      <c r="I21" s="286">
        <f t="shared" si="7"/>
        <v>0</v>
      </c>
      <c r="J21" s="286">
        <f t="shared" si="6"/>
        <v>169</v>
      </c>
      <c r="K21" s="176">
        <f>SUM(B21:J21)</f>
        <v>198</v>
      </c>
    </row>
    <row r="22" spans="1:11" x14ac:dyDescent="0.2">
      <c r="A22" s="62"/>
      <c r="B22" s="21"/>
      <c r="C22" s="21"/>
      <c r="D22" s="21"/>
      <c r="E22" s="21"/>
      <c r="F22" s="21"/>
      <c r="G22" s="21"/>
      <c r="H22" s="21"/>
      <c r="I22" s="21"/>
      <c r="J22" s="21"/>
      <c r="K22" s="27"/>
    </row>
    <row r="23" spans="1:11" ht="15.75" thickBot="1" x14ac:dyDescent="0.3">
      <c r="A23" s="63" t="s">
        <v>28</v>
      </c>
      <c r="B23" s="28">
        <f t="shared" ref="B23:J23" si="8">B17+B21</f>
        <v>1322</v>
      </c>
      <c r="C23" s="28">
        <f t="shared" si="8"/>
        <v>14261</v>
      </c>
      <c r="D23" s="28">
        <f t="shared" si="8"/>
        <v>822</v>
      </c>
      <c r="E23" s="28">
        <f>E17+E21</f>
        <v>744</v>
      </c>
      <c r="F23" s="28">
        <f t="shared" ref="F23:I23" si="9">F17+F21</f>
        <v>36</v>
      </c>
      <c r="G23" s="28">
        <f t="shared" si="9"/>
        <v>62</v>
      </c>
      <c r="H23" s="28">
        <f t="shared" si="9"/>
        <v>185</v>
      </c>
      <c r="I23" s="28">
        <f t="shared" si="9"/>
        <v>34</v>
      </c>
      <c r="J23" s="28">
        <f t="shared" si="8"/>
        <v>3960</v>
      </c>
      <c r="K23" s="29">
        <f>SUM(B23:J23)</f>
        <v>21426</v>
      </c>
    </row>
    <row r="25" spans="1:11" ht="13.5" thickBot="1" x14ac:dyDescent="0.25">
      <c r="B25" s="413"/>
      <c r="C25" s="413"/>
      <c r="D25" s="413"/>
      <c r="E25" s="413"/>
      <c r="F25" s="413"/>
      <c r="G25" s="413"/>
      <c r="H25" s="413"/>
      <c r="I25" s="413"/>
      <c r="J25" s="413"/>
    </row>
    <row r="26" spans="1:11" ht="15.75" thickTop="1" x14ac:dyDescent="0.25">
      <c r="A26" s="65" t="s">
        <v>35</v>
      </c>
      <c r="B26" s="31"/>
      <c r="C26" s="31"/>
      <c r="D26" s="31"/>
      <c r="E26" s="31"/>
      <c r="F26" s="31"/>
      <c r="G26" s="31"/>
      <c r="H26" s="31"/>
      <c r="I26" s="31"/>
      <c r="J26" s="31"/>
      <c r="K26" s="32"/>
    </row>
    <row r="27" spans="1:11" x14ac:dyDescent="0.2">
      <c r="A27" s="62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0"/>
    </row>
    <row r="28" spans="1:11" x14ac:dyDescent="0.2">
      <c r="A28" s="62" t="s">
        <v>37</v>
      </c>
      <c r="B28" s="21">
        <f>[3]American!$FU$47</f>
        <v>45575</v>
      </c>
      <c r="C28" s="21">
        <f>[3]Delta!$FU$47</f>
        <v>4536732</v>
      </c>
      <c r="D28" s="21">
        <f>[3]United!$FU$47</f>
        <v>79294</v>
      </c>
      <c r="E28" s="21">
        <f>[3]Spirit!$FU$47</f>
        <v>0</v>
      </c>
      <c r="F28" s="21">
        <f>[3]Condor!$FU$47</f>
        <v>187243</v>
      </c>
      <c r="G28" s="21">
        <f>'[3]Air France'!$FU$47</f>
        <v>436262</v>
      </c>
      <c r="H28" s="21">
        <f>'[3]Jet Blue'!$FU$47</f>
        <v>0</v>
      </c>
      <c r="I28" s="21">
        <f>[3]KLM!$FU$47</f>
        <v>428857</v>
      </c>
      <c r="J28" s="21">
        <f>'Other Major Airline Stats'!J28</f>
        <v>510416</v>
      </c>
      <c r="K28" s="27">
        <f>SUM(B28:J28)</f>
        <v>6224379</v>
      </c>
    </row>
    <row r="29" spans="1:11" x14ac:dyDescent="0.2">
      <c r="A29" s="62" t="s">
        <v>38</v>
      </c>
      <c r="B29" s="14">
        <f>[3]American!$FU$48</f>
        <v>17657</v>
      </c>
      <c r="C29" s="14">
        <f>[3]Delta!$FU$48</f>
        <v>1619560</v>
      </c>
      <c r="D29" s="14">
        <f>[3]United!$FU$48</f>
        <v>36443</v>
      </c>
      <c r="E29" s="14">
        <f>[3]Spirit!$FU$48</f>
        <v>0</v>
      </c>
      <c r="F29" s="14">
        <f>[3]Condor!$FU$48</f>
        <v>0</v>
      </c>
      <c r="G29" s="14">
        <f>'[3]Air France'!$FU$48</f>
        <v>0</v>
      </c>
      <c r="H29" s="14">
        <f>'[3]Jet Blue'!$FU$48</f>
        <v>0</v>
      </c>
      <c r="I29" s="14">
        <f>[3]KLM!$FU$48</f>
        <v>0</v>
      </c>
      <c r="J29" s="14">
        <f>'Other Major Airline Stats'!J29</f>
        <v>295206</v>
      </c>
      <c r="K29" s="33">
        <f>SUM(B29:J29)</f>
        <v>1968866</v>
      </c>
    </row>
    <row r="30" spans="1:11" x14ac:dyDescent="0.2">
      <c r="A30" s="66" t="s">
        <v>39</v>
      </c>
      <c r="B30" s="288">
        <f t="shared" ref="B30:J30" si="10">SUM(B28:B29)</f>
        <v>63232</v>
      </c>
      <c r="C30" s="288">
        <f t="shared" si="10"/>
        <v>6156292</v>
      </c>
      <c r="D30" s="288">
        <f t="shared" si="10"/>
        <v>115737</v>
      </c>
      <c r="E30" s="288">
        <f t="shared" si="10"/>
        <v>0</v>
      </c>
      <c r="F30" s="288">
        <f t="shared" ref="F30:I30" si="11">SUM(F28:F29)</f>
        <v>187243</v>
      </c>
      <c r="G30" s="288">
        <f t="shared" si="11"/>
        <v>436262</v>
      </c>
      <c r="H30" s="288">
        <f t="shared" si="11"/>
        <v>0</v>
      </c>
      <c r="I30" s="288">
        <f t="shared" si="11"/>
        <v>428857</v>
      </c>
      <c r="J30" s="288">
        <f t="shared" si="10"/>
        <v>805622</v>
      </c>
      <c r="K30" s="27">
        <f>SUM(B30:J30)</f>
        <v>8193245</v>
      </c>
    </row>
    <row r="31" spans="1:11" x14ac:dyDescent="0.2">
      <c r="A31" s="62"/>
      <c r="B31" s="21"/>
      <c r="C31" s="21"/>
      <c r="D31" s="21"/>
      <c r="E31" s="21"/>
      <c r="F31" s="21"/>
      <c r="G31" s="21"/>
      <c r="H31" s="21"/>
      <c r="I31" s="21"/>
      <c r="J31" s="21"/>
      <c r="K31" s="27"/>
    </row>
    <row r="32" spans="1:11" x14ac:dyDescent="0.2">
      <c r="A32" s="62" t="s">
        <v>40</v>
      </c>
      <c r="B32" s="21"/>
      <c r="C32" s="21"/>
      <c r="D32" s="21"/>
      <c r="E32" s="21"/>
      <c r="F32" s="21"/>
      <c r="G32" s="21"/>
      <c r="H32" s="21"/>
      <c r="I32" s="21"/>
      <c r="J32" s="21"/>
      <c r="K32" s="27">
        <f t="shared" ref="K32:K40" si="12">SUM(B32:J32)</f>
        <v>0</v>
      </c>
    </row>
    <row r="33" spans="1:11" x14ac:dyDescent="0.2">
      <c r="A33" s="62" t="s">
        <v>37</v>
      </c>
      <c r="B33" s="21">
        <f>[3]American!$FU$52</f>
        <v>13187</v>
      </c>
      <c r="C33" s="21">
        <f>[3]Delta!$FU$52</f>
        <v>2582642</v>
      </c>
      <c r="D33" s="21">
        <f>[3]United!$FU$52</f>
        <v>45028</v>
      </c>
      <c r="E33" s="21">
        <f>[3]Spirit!$FU$52</f>
        <v>0</v>
      </c>
      <c r="F33" s="21">
        <f>[3]Condor!$FU$52</f>
        <v>46484</v>
      </c>
      <c r="G33" s="21">
        <f>'[3]Air France'!$FU$52</f>
        <v>258590</v>
      </c>
      <c r="H33" s="21">
        <f>'[3]Jet Blue'!$FU$52</f>
        <v>0</v>
      </c>
      <c r="I33" s="21">
        <f>[3]KLM!$FU$52</f>
        <v>173806</v>
      </c>
      <c r="J33" s="21">
        <f>'Other Major Airline Stats'!J33</f>
        <v>217345</v>
      </c>
      <c r="K33" s="27">
        <f t="shared" si="12"/>
        <v>3337082</v>
      </c>
    </row>
    <row r="34" spans="1:11" x14ac:dyDescent="0.2">
      <c r="A34" s="62" t="s">
        <v>38</v>
      </c>
      <c r="B34" s="14">
        <f>[3]American!$FU$53</f>
        <v>73015</v>
      </c>
      <c r="C34" s="14">
        <f>[3]Delta!$FU$53</f>
        <v>1915805</v>
      </c>
      <c r="D34" s="14">
        <f>[3]United!$FU$53</f>
        <v>50932</v>
      </c>
      <c r="E34" s="14">
        <f>[3]Spirit!$FU$53</f>
        <v>0</v>
      </c>
      <c r="F34" s="14">
        <f>[3]Condor!$FU$53</f>
        <v>0</v>
      </c>
      <c r="G34" s="14">
        <f>'[3]Air France'!$FU$53</f>
        <v>0</v>
      </c>
      <c r="H34" s="14">
        <f>'[3]Jet Blue'!$FU$53</f>
        <v>0</v>
      </c>
      <c r="I34" s="14">
        <f>[3]KLM!$FU$53</f>
        <v>0</v>
      </c>
      <c r="J34" s="14">
        <f>'Other Major Airline Stats'!J34</f>
        <v>159314</v>
      </c>
      <c r="K34" s="33">
        <f t="shared" si="12"/>
        <v>2199066</v>
      </c>
    </row>
    <row r="35" spans="1:11" x14ac:dyDescent="0.2">
      <c r="A35" s="66" t="s">
        <v>41</v>
      </c>
      <c r="B35" s="288">
        <f t="shared" ref="B35:J35" si="13">SUM(B33:B34)</f>
        <v>86202</v>
      </c>
      <c r="C35" s="288">
        <f t="shared" si="13"/>
        <v>4498447</v>
      </c>
      <c r="D35" s="288">
        <f t="shared" si="13"/>
        <v>95960</v>
      </c>
      <c r="E35" s="288">
        <f t="shared" si="13"/>
        <v>0</v>
      </c>
      <c r="F35" s="288">
        <f t="shared" ref="F35:I35" si="14">SUM(F33:F34)</f>
        <v>46484</v>
      </c>
      <c r="G35" s="288">
        <f t="shared" si="14"/>
        <v>258590</v>
      </c>
      <c r="H35" s="288">
        <f t="shared" si="14"/>
        <v>0</v>
      </c>
      <c r="I35" s="288">
        <f t="shared" si="14"/>
        <v>173806</v>
      </c>
      <c r="J35" s="288">
        <f t="shared" si="13"/>
        <v>376659</v>
      </c>
      <c r="K35" s="27">
        <f t="shared" si="12"/>
        <v>5536148</v>
      </c>
    </row>
    <row r="36" spans="1:11" hidden="1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7">
        <f t="shared" si="12"/>
        <v>0</v>
      </c>
    </row>
    <row r="37" spans="1:11" hidden="1" x14ac:dyDescent="0.2">
      <c r="A37" s="62" t="s">
        <v>42</v>
      </c>
      <c r="B37" s="21"/>
      <c r="C37" s="21"/>
      <c r="D37" s="21"/>
      <c r="E37" s="21"/>
      <c r="F37" s="21"/>
      <c r="G37" s="21"/>
      <c r="H37" s="21"/>
      <c r="I37" s="21"/>
      <c r="J37" s="21"/>
      <c r="K37" s="27">
        <f t="shared" si="12"/>
        <v>0</v>
      </c>
    </row>
    <row r="38" spans="1:11" hidden="1" x14ac:dyDescent="0.2">
      <c r="A38" s="62" t="s">
        <v>37</v>
      </c>
      <c r="B38" s="21">
        <f>[3]American!$FU$57</f>
        <v>0</v>
      </c>
      <c r="C38" s="21">
        <f>[3]Delta!$FU$57</f>
        <v>0</v>
      </c>
      <c r="D38" s="21">
        <f>[3]United!$FU$57</f>
        <v>0</v>
      </c>
      <c r="E38" s="21">
        <f>[3]Spirit!$FU$57</f>
        <v>0</v>
      </c>
      <c r="F38" s="21">
        <f>[3]Condor!$FU$57</f>
        <v>0</v>
      </c>
      <c r="G38" s="21">
        <f>'[3]Air France'!$FU$57</f>
        <v>0</v>
      </c>
      <c r="H38" s="21">
        <f>'[3]Jet Blue'!$FU$57</f>
        <v>0</v>
      </c>
      <c r="I38" s="21">
        <f>[3]KLM!$FU$57</f>
        <v>0</v>
      </c>
      <c r="J38" s="21">
        <f>'Other Major Airline Stats'!J38</f>
        <v>0</v>
      </c>
      <c r="K38" s="27">
        <f t="shared" si="12"/>
        <v>0</v>
      </c>
    </row>
    <row r="39" spans="1:11" hidden="1" x14ac:dyDescent="0.2">
      <c r="A39" s="62" t="s">
        <v>38</v>
      </c>
      <c r="B39" s="14">
        <f>[3]American!$FU$58</f>
        <v>0</v>
      </c>
      <c r="C39" s="14">
        <f>[3]Delta!$FU$58</f>
        <v>0</v>
      </c>
      <c r="D39" s="14">
        <f>[3]United!$FU$58</f>
        <v>0</v>
      </c>
      <c r="E39" s="14">
        <f>[3]Spirit!$FU$58</f>
        <v>0</v>
      </c>
      <c r="F39" s="14">
        <f>[3]Condor!$FU$58</f>
        <v>0</v>
      </c>
      <c r="G39" s="14">
        <f>'[3]Air France'!$FU$58</f>
        <v>0</v>
      </c>
      <c r="H39" s="14">
        <f>'[3]Jet Blue'!$FU$58</f>
        <v>0</v>
      </c>
      <c r="I39" s="14">
        <f>[3]KLM!$FU$58</f>
        <v>0</v>
      </c>
      <c r="J39" s="14">
        <f>'Other Major Airline Stats'!J39</f>
        <v>0</v>
      </c>
      <c r="K39" s="33">
        <f t="shared" si="12"/>
        <v>0</v>
      </c>
    </row>
    <row r="40" spans="1:11" hidden="1" x14ac:dyDescent="0.2">
      <c r="A40" s="66" t="s">
        <v>43</v>
      </c>
      <c r="B40" s="288">
        <f t="shared" ref="B40:J40" si="15">SUM(B38:B39)</f>
        <v>0</v>
      </c>
      <c r="C40" s="288">
        <f t="shared" si="15"/>
        <v>0</v>
      </c>
      <c r="D40" s="288">
        <f t="shared" si="15"/>
        <v>0</v>
      </c>
      <c r="E40" s="288">
        <f t="shared" si="15"/>
        <v>0</v>
      </c>
      <c r="F40" s="288">
        <f t="shared" ref="F40:I40" si="16">SUM(F38:F39)</f>
        <v>0</v>
      </c>
      <c r="G40" s="288">
        <f t="shared" si="16"/>
        <v>0</v>
      </c>
      <c r="H40" s="288">
        <f t="shared" si="16"/>
        <v>0</v>
      </c>
      <c r="I40" s="288">
        <f t="shared" si="16"/>
        <v>0</v>
      </c>
      <c r="J40" s="288">
        <f t="shared" si="15"/>
        <v>0</v>
      </c>
      <c r="K40" s="27">
        <f t="shared" si="12"/>
        <v>0</v>
      </c>
    </row>
    <row r="41" spans="1:11" x14ac:dyDescent="0.2">
      <c r="A41" s="62"/>
      <c r="B41" s="21"/>
      <c r="C41" s="21"/>
      <c r="D41" s="21"/>
      <c r="E41" s="21"/>
      <c r="F41" s="21"/>
      <c r="G41" s="21"/>
      <c r="H41" s="21"/>
      <c r="I41" s="21"/>
      <c r="J41" s="21"/>
      <c r="K41" s="27"/>
    </row>
    <row r="42" spans="1:11" x14ac:dyDescent="0.2">
      <c r="A42" s="62" t="s">
        <v>44</v>
      </c>
      <c r="B42" s="21"/>
      <c r="C42" s="21"/>
      <c r="D42" s="21"/>
      <c r="E42" s="21"/>
      <c r="F42" s="21"/>
      <c r="G42" s="21"/>
      <c r="H42" s="21"/>
      <c r="I42" s="21"/>
      <c r="J42" s="21"/>
      <c r="K42" s="27">
        <f>SUM(B42:J42)</f>
        <v>0</v>
      </c>
    </row>
    <row r="43" spans="1:11" x14ac:dyDescent="0.2">
      <c r="A43" s="62" t="s">
        <v>45</v>
      </c>
      <c r="B43" s="21">
        <f t="shared" ref="B43:J44" si="17">B28+B33+B38</f>
        <v>58762</v>
      </c>
      <c r="C43" s="21">
        <f t="shared" si="17"/>
        <v>7119374</v>
      </c>
      <c r="D43" s="21">
        <f t="shared" si="17"/>
        <v>124322</v>
      </c>
      <c r="E43" s="21">
        <f>E28+E33+E38</f>
        <v>0</v>
      </c>
      <c r="F43" s="21">
        <f t="shared" ref="F43:I43" si="18">F28+F33+F38</f>
        <v>233727</v>
      </c>
      <c r="G43" s="21">
        <f t="shared" si="18"/>
        <v>694852</v>
      </c>
      <c r="H43" s="21">
        <f t="shared" si="18"/>
        <v>0</v>
      </c>
      <c r="I43" s="21">
        <f t="shared" si="18"/>
        <v>602663</v>
      </c>
      <c r="J43" s="21">
        <f t="shared" si="17"/>
        <v>727761</v>
      </c>
      <c r="K43" s="27">
        <f>SUM(B43:J43)</f>
        <v>9561461</v>
      </c>
    </row>
    <row r="44" spans="1:11" x14ac:dyDescent="0.2">
      <c r="A44" s="62" t="s">
        <v>38</v>
      </c>
      <c r="B44" s="14">
        <f t="shared" si="17"/>
        <v>90672</v>
      </c>
      <c r="C44" s="14">
        <f t="shared" si="17"/>
        <v>3535365</v>
      </c>
      <c r="D44" s="14">
        <f t="shared" si="17"/>
        <v>87375</v>
      </c>
      <c r="E44" s="14">
        <f>E29+E34+E39</f>
        <v>0</v>
      </c>
      <c r="F44" s="14">
        <f t="shared" ref="F44:I44" si="19">F29+F34+F39</f>
        <v>0</v>
      </c>
      <c r="G44" s="14">
        <f t="shared" si="19"/>
        <v>0</v>
      </c>
      <c r="H44" s="14">
        <f t="shared" si="19"/>
        <v>0</v>
      </c>
      <c r="I44" s="14">
        <f t="shared" si="19"/>
        <v>0</v>
      </c>
      <c r="J44" s="14">
        <f t="shared" si="17"/>
        <v>454520</v>
      </c>
      <c r="K44" s="27">
        <f>SUM(B44:J44)</f>
        <v>4167932</v>
      </c>
    </row>
    <row r="45" spans="1:11" ht="15.75" thickBot="1" x14ac:dyDescent="0.3">
      <c r="A45" s="63" t="s">
        <v>46</v>
      </c>
      <c r="B45" s="289">
        <f t="shared" ref="B45:J45" si="20">SUM(B43:B44)</f>
        <v>149434</v>
      </c>
      <c r="C45" s="289">
        <f t="shared" si="20"/>
        <v>10654739</v>
      </c>
      <c r="D45" s="289">
        <f t="shared" si="20"/>
        <v>211697</v>
      </c>
      <c r="E45" s="289">
        <f t="shared" si="20"/>
        <v>0</v>
      </c>
      <c r="F45" s="289">
        <f t="shared" ref="F45:I45" si="21">SUM(F43:F44)</f>
        <v>233727</v>
      </c>
      <c r="G45" s="289">
        <f t="shared" si="21"/>
        <v>694852</v>
      </c>
      <c r="H45" s="289">
        <f t="shared" si="21"/>
        <v>0</v>
      </c>
      <c r="I45" s="289">
        <f t="shared" si="21"/>
        <v>602663</v>
      </c>
      <c r="J45" s="289">
        <f t="shared" si="20"/>
        <v>1182281</v>
      </c>
      <c r="K45" s="290">
        <f>SUM(B45:J45)</f>
        <v>13729393</v>
      </c>
    </row>
    <row r="46" spans="1:11" x14ac:dyDescent="0.2">
      <c r="B46" s="13"/>
      <c r="C46" s="13"/>
      <c r="D46" s="13"/>
      <c r="E46" s="13"/>
      <c r="F46" s="13"/>
      <c r="G46" s="13"/>
      <c r="H46" s="13"/>
      <c r="I46" s="13"/>
      <c r="J46" s="13"/>
    </row>
    <row r="47" spans="1:11" hidden="1" x14ac:dyDescent="0.2">
      <c r="A47" s="375" t="s">
        <v>124</v>
      </c>
      <c r="C47" s="319">
        <f>[3]Delta!$FU$70+[3]Delta!$FU$73</f>
        <v>488926</v>
      </c>
      <c r="D47" s="306"/>
      <c r="E47" s="306"/>
      <c r="F47" s="306"/>
      <c r="G47" s="306"/>
      <c r="H47" s="306"/>
      <c r="I47" s="306"/>
      <c r="J47" s="306"/>
      <c r="K47" s="307">
        <f>SUM(B47:J47)</f>
        <v>488926</v>
      </c>
    </row>
    <row r="48" spans="1:11" hidden="1" x14ac:dyDescent="0.2">
      <c r="A48" s="376" t="s">
        <v>125</v>
      </c>
      <c r="C48" s="319">
        <f>[3]Delta!$FU$71+[3]Delta!$FU$74</f>
        <v>510922</v>
      </c>
      <c r="D48" s="306"/>
      <c r="E48" s="306"/>
      <c r="F48" s="306"/>
      <c r="G48" s="306"/>
      <c r="H48" s="306"/>
      <c r="I48" s="306"/>
      <c r="J48" s="306"/>
      <c r="K48" s="307">
        <f>SUM(B48:J48)</f>
        <v>510922</v>
      </c>
    </row>
    <row r="49" spans="1:11" hidden="1" x14ac:dyDescent="0.2">
      <c r="A49" s="377" t="s">
        <v>126</v>
      </c>
      <c r="C49" s="320">
        <f>SUM(C47:C48)</f>
        <v>999848</v>
      </c>
      <c r="K49" s="307">
        <f>SUM(B49:J49)</f>
        <v>999848</v>
      </c>
    </row>
    <row r="50" spans="1:11" x14ac:dyDescent="0.2">
      <c r="A50" s="375" t="s">
        <v>124</v>
      </c>
      <c r="B50" s="387"/>
      <c r="C50" s="322">
        <f>[3]Delta!$FU$70+[3]Delta!$FU$73</f>
        <v>488926</v>
      </c>
      <c r="D50" s="387"/>
      <c r="E50" s="322">
        <f>[3]Spirit!$FU$70+[3]Spirit!$FU$73</f>
        <v>0</v>
      </c>
      <c r="F50" s="387"/>
      <c r="G50" s="387"/>
      <c r="H50" s="387"/>
      <c r="I50" s="387"/>
      <c r="J50" s="321">
        <f>'Other Major Airline Stats'!J48</f>
        <v>181166</v>
      </c>
      <c r="K50" s="310">
        <f>SUM(B50:J50)</f>
        <v>670092</v>
      </c>
    </row>
    <row r="51" spans="1:11" x14ac:dyDescent="0.2">
      <c r="A51" s="389" t="s">
        <v>125</v>
      </c>
      <c r="B51" s="387"/>
      <c r="C51" s="322">
        <f>[3]Delta!$FU$71+[3]Delta!$FU$74</f>
        <v>510922</v>
      </c>
      <c r="D51" s="387"/>
      <c r="E51" s="322">
        <f>[3]Spirit!$FU$71+[3]Spirit!$FU$74</f>
        <v>0</v>
      </c>
      <c r="F51" s="387"/>
      <c r="G51" s="387"/>
      <c r="H51" s="387"/>
      <c r="I51" s="387"/>
      <c r="J51" s="321">
        <f>+'Other Major Airline Stats'!J49</f>
        <v>6152</v>
      </c>
      <c r="K51" s="310">
        <f>SUM(B51:J51)</f>
        <v>517074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August 2018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M15" sqref="M15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78">
        <v>43313</v>
      </c>
      <c r="B2" s="436" t="s">
        <v>47</v>
      </c>
      <c r="C2" s="436" t="s">
        <v>159</v>
      </c>
      <c r="D2" s="435" t="s">
        <v>196</v>
      </c>
      <c r="E2" s="435" t="s">
        <v>197</v>
      </c>
      <c r="F2" s="436" t="s">
        <v>48</v>
      </c>
      <c r="G2" s="435" t="s">
        <v>132</v>
      </c>
      <c r="H2" s="435" t="s">
        <v>49</v>
      </c>
      <c r="I2" s="435" t="s">
        <v>131</v>
      </c>
      <c r="J2" s="514" t="s">
        <v>61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29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30</v>
      </c>
      <c r="B5" s="146">
        <f>[3]Frontier!$FU$22</f>
        <v>23643</v>
      </c>
      <c r="C5" s="146">
        <f>'[3]Great Lakes'!$FU$22</f>
        <v>0</v>
      </c>
      <c r="D5" s="118">
        <f>'[3]Air Choice One'!$FU$22</f>
        <v>437</v>
      </c>
      <c r="E5" s="118">
        <f>'[3]Boutique Air'!$FU$22</f>
        <v>435</v>
      </c>
      <c r="F5" s="146">
        <f>[3]Icelandair!$FU$32</f>
        <v>7211</v>
      </c>
      <c r="G5" s="118">
        <f>[3]Southwest!$FU$22</f>
        <v>92814</v>
      </c>
      <c r="H5" s="118">
        <f>'[3]Sun Country'!$FU$22+'[3]Sun Country'!$FU$32</f>
        <v>98536</v>
      </c>
      <c r="I5" s="118">
        <f>[3]Alaska!$FU$22</f>
        <v>10243</v>
      </c>
      <c r="J5" s="147">
        <f>SUM(B5:I5)</f>
        <v>233319</v>
      </c>
      <c r="M5" s="130"/>
    </row>
    <row r="6" spans="1:13" x14ac:dyDescent="0.2">
      <c r="A6" s="62" t="s">
        <v>31</v>
      </c>
      <c r="B6" s="146">
        <f>[3]Frontier!$FU$23</f>
        <v>24400</v>
      </c>
      <c r="C6" s="146">
        <f>'[3]Great Lakes'!$FU$23</f>
        <v>0</v>
      </c>
      <c r="D6" s="118">
        <f>'[3]Air Choice One'!$FU$23</f>
        <v>485</v>
      </c>
      <c r="E6" s="118">
        <f>'[3]Boutique Air'!$FU$23</f>
        <v>450</v>
      </c>
      <c r="F6" s="146">
        <f>[3]Icelandair!$FU$33</f>
        <v>7240</v>
      </c>
      <c r="G6" s="118">
        <f>[3]Southwest!$FU$23</f>
        <v>91706</v>
      </c>
      <c r="H6" s="118">
        <f>'[3]Sun Country'!$FU$23+'[3]Sun Country'!$FU$33</f>
        <v>95612</v>
      </c>
      <c r="I6" s="118">
        <f>[3]Alaska!$FU$23</f>
        <v>10186</v>
      </c>
      <c r="J6" s="147">
        <f>SUM(B6:I6)</f>
        <v>230079</v>
      </c>
    </row>
    <row r="7" spans="1:13" ht="15" x14ac:dyDescent="0.25">
      <c r="A7" s="60" t="s">
        <v>7</v>
      </c>
      <c r="B7" s="155">
        <f t="shared" ref="B7:I7" si="0">SUM(B5:B6)</f>
        <v>48043</v>
      </c>
      <c r="C7" s="155">
        <f t="shared" si="0"/>
        <v>0</v>
      </c>
      <c r="D7" s="155">
        <f t="shared" ref="D7:E7" si="1">SUM(D5:D6)</f>
        <v>922</v>
      </c>
      <c r="E7" s="155">
        <f t="shared" si="1"/>
        <v>885</v>
      </c>
      <c r="F7" s="155">
        <f t="shared" si="0"/>
        <v>14451</v>
      </c>
      <c r="G7" s="155">
        <f t="shared" si="0"/>
        <v>184520</v>
      </c>
      <c r="H7" s="155">
        <f>SUM(H5:H6)</f>
        <v>194148</v>
      </c>
      <c r="I7" s="155">
        <f t="shared" si="0"/>
        <v>20429</v>
      </c>
      <c r="J7" s="156">
        <f>SUM(B7:I7)</f>
        <v>463398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32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30</v>
      </c>
      <c r="B10" s="154">
        <f>[3]Frontier!$FU$27</f>
        <v>173</v>
      </c>
      <c r="C10" s="154">
        <f>'[3]Great Lakes'!$FU$27</f>
        <v>0</v>
      </c>
      <c r="D10" s="154">
        <f>'[3]Air Choice One'!$FU$27</f>
        <v>0</v>
      </c>
      <c r="E10" s="154">
        <f>'[3]Boutique Air'!$FU$27</f>
        <v>0</v>
      </c>
      <c r="F10" s="154">
        <f>[3]Icelandair!$FU$37</f>
        <v>91</v>
      </c>
      <c r="G10" s="154">
        <f>[3]Southwest!$FU$27</f>
        <v>2210</v>
      </c>
      <c r="H10" s="154">
        <f>'[3]Sun Country'!$FU$27+'[3]Sun Country'!$FU$37</f>
        <v>2341</v>
      </c>
      <c r="I10" s="154">
        <f>[3]Alaska!$FU$27</f>
        <v>436</v>
      </c>
      <c r="J10" s="147">
        <f>SUM(B10:I10)</f>
        <v>5251</v>
      </c>
    </row>
    <row r="11" spans="1:13" x14ac:dyDescent="0.2">
      <c r="A11" s="62" t="s">
        <v>33</v>
      </c>
      <c r="B11" s="157">
        <f>[3]Frontier!$FU$28</f>
        <v>162</v>
      </c>
      <c r="C11" s="157">
        <f>'[3]Great Lakes'!$FU$28</f>
        <v>0</v>
      </c>
      <c r="D11" s="157">
        <f>'[3]Air Choice One'!$FU$28</f>
        <v>0</v>
      </c>
      <c r="E11" s="157">
        <f>'[3]Boutique Air'!$FU$28</f>
        <v>0</v>
      </c>
      <c r="F11" s="157">
        <f>[3]Icelandair!$FU$38</f>
        <v>141</v>
      </c>
      <c r="G11" s="157">
        <f>[3]Southwest!$FU$28</f>
        <v>2227</v>
      </c>
      <c r="H11" s="157">
        <f>'[3]Sun Country'!$FU$28+'[3]Sun Country'!$FU$38</f>
        <v>2079</v>
      </c>
      <c r="I11" s="157">
        <f>[3]Alaska!$FU$28</f>
        <v>458</v>
      </c>
      <c r="J11" s="147">
        <f>SUM(B11:I11)</f>
        <v>5067</v>
      </c>
    </row>
    <row r="12" spans="1:13" ht="15.75" thickBot="1" x14ac:dyDescent="0.3">
      <c r="A12" s="63" t="s">
        <v>34</v>
      </c>
      <c r="B12" s="150">
        <f t="shared" ref="B12:I12" si="2">SUM(B10:B11)</f>
        <v>335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232</v>
      </c>
      <c r="G12" s="150">
        <f t="shared" si="2"/>
        <v>4437</v>
      </c>
      <c r="H12" s="150">
        <f>SUM(H10:H11)</f>
        <v>4420</v>
      </c>
      <c r="I12" s="150">
        <f t="shared" si="2"/>
        <v>894</v>
      </c>
      <c r="J12" s="158">
        <f>SUM(B12:I12)</f>
        <v>10318</v>
      </c>
      <c r="M12" s="130"/>
    </row>
    <row r="13" spans="1:13" ht="15" x14ac:dyDescent="0.25">
      <c r="A13" s="59"/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22</v>
      </c>
      <c r="B16" s="146">
        <f>[3]Frontier!$FU$4</f>
        <v>158</v>
      </c>
      <c r="C16" s="146">
        <f>'[3]Great Lakes'!$FU$4</f>
        <v>0</v>
      </c>
      <c r="D16" s="106">
        <f>'[3]Air Choice One'!$FU$4</f>
        <v>100</v>
      </c>
      <c r="E16" s="106">
        <f>'[3]Boutique Air'!$FU$4</f>
        <v>78</v>
      </c>
      <c r="F16" s="146">
        <f>[3]Icelandair!$FU$15</f>
        <v>49</v>
      </c>
      <c r="G16" s="106">
        <f>[3]Southwest!$FU$4</f>
        <v>746</v>
      </c>
      <c r="H16" s="118">
        <f>'[3]Sun Country'!$FU$4+'[3]Sun Country'!$FU$15</f>
        <v>704</v>
      </c>
      <c r="I16" s="118">
        <f>[3]Alaska!$FU$4</f>
        <v>62</v>
      </c>
      <c r="J16" s="147">
        <f>SUM(B16:I16)</f>
        <v>1897</v>
      </c>
    </row>
    <row r="17" spans="1:257" x14ac:dyDescent="0.2">
      <c r="A17" s="62" t="s">
        <v>23</v>
      </c>
      <c r="B17" s="146">
        <f>[3]Frontier!$FU$5</f>
        <v>158</v>
      </c>
      <c r="C17" s="146">
        <f>'[3]Great Lakes'!$FU$5</f>
        <v>0</v>
      </c>
      <c r="D17" s="106">
        <f>'[3]Air Choice One'!$FU$5</f>
        <v>100</v>
      </c>
      <c r="E17" s="106">
        <f>'[3]Boutique Air'!$FU$5</f>
        <v>78</v>
      </c>
      <c r="F17" s="146">
        <f>[3]Icelandair!$FU$16</f>
        <v>49</v>
      </c>
      <c r="G17" s="106">
        <f>[3]Southwest!$FU$5</f>
        <v>745</v>
      </c>
      <c r="H17" s="118">
        <f>'[3]Sun Country'!$FU$5+'[3]Sun Country'!$FU$16</f>
        <v>702</v>
      </c>
      <c r="I17" s="118">
        <f>[3]Alaska!$FU$5</f>
        <v>62</v>
      </c>
      <c r="J17" s="147">
        <f>SUM(B17:I17)</f>
        <v>1894</v>
      </c>
    </row>
    <row r="18" spans="1:257" x14ac:dyDescent="0.2">
      <c r="A18" s="66" t="s">
        <v>24</v>
      </c>
      <c r="B18" s="148">
        <f t="shared" ref="B18:I18" si="4">SUM(B16:B17)</f>
        <v>316</v>
      </c>
      <c r="C18" s="148">
        <f t="shared" si="4"/>
        <v>0</v>
      </c>
      <c r="D18" s="148">
        <f t="shared" ref="D18:E18" si="5">SUM(D16:D17)</f>
        <v>200</v>
      </c>
      <c r="E18" s="148">
        <f t="shared" si="5"/>
        <v>156</v>
      </c>
      <c r="F18" s="148">
        <f t="shared" si="4"/>
        <v>98</v>
      </c>
      <c r="G18" s="148">
        <f t="shared" si="4"/>
        <v>1491</v>
      </c>
      <c r="H18" s="148">
        <f t="shared" si="4"/>
        <v>1406</v>
      </c>
      <c r="I18" s="148">
        <f t="shared" si="4"/>
        <v>124</v>
      </c>
      <c r="J18" s="149">
        <f>SUM(B18:I18)</f>
        <v>3791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25</v>
      </c>
      <c r="B20" s="146">
        <f>[3]Frontier!$FU$8</f>
        <v>0</v>
      </c>
      <c r="C20" s="146">
        <f>'[3]Great Lakes'!$FU$8</f>
        <v>0</v>
      </c>
      <c r="D20" s="118">
        <f>'[3]Air Choice One'!$FU$8</f>
        <v>0</v>
      </c>
      <c r="E20" s="118">
        <f>'[3]Boutique Air'!$FU$8</f>
        <v>0</v>
      </c>
      <c r="F20" s="146">
        <f>[3]Icelandair!$FU$8</f>
        <v>0</v>
      </c>
      <c r="G20" s="118">
        <f>[3]Southwest!$FU$8</f>
        <v>0</v>
      </c>
      <c r="H20" s="118">
        <f>'[3]Sun Country'!$FU$8</f>
        <v>81</v>
      </c>
      <c r="I20" s="118">
        <f>[3]Alaska!$FU$8</f>
        <v>0</v>
      </c>
      <c r="J20" s="147">
        <f>SUM(B20:I20)</f>
        <v>81</v>
      </c>
    </row>
    <row r="21" spans="1:257" x14ac:dyDescent="0.2">
      <c r="A21" s="62" t="s">
        <v>26</v>
      </c>
      <c r="B21" s="146">
        <f>[3]Frontier!$FU$9</f>
        <v>0</v>
      </c>
      <c r="C21" s="146">
        <f>'[3]Great Lakes'!$FU$9</f>
        <v>0</v>
      </c>
      <c r="D21" s="118">
        <f>'[3]Air Choice One'!$FU$9</f>
        <v>0</v>
      </c>
      <c r="E21" s="118">
        <f>'[3]Boutique Air'!$FU$9</f>
        <v>0</v>
      </c>
      <c r="F21" s="146">
        <f>[3]Icelandair!$FU$9</f>
        <v>0</v>
      </c>
      <c r="G21" s="118">
        <f>[3]Southwest!$FU$9</f>
        <v>0</v>
      </c>
      <c r="H21" s="118">
        <f>'[3]Sun Country'!$FU$9</f>
        <v>88</v>
      </c>
      <c r="I21" s="118">
        <f>[3]Alaska!$FU$9</f>
        <v>0</v>
      </c>
      <c r="J21" s="147">
        <f>SUM(B21:I21)</f>
        <v>88</v>
      </c>
    </row>
    <row r="22" spans="1:257" x14ac:dyDescent="0.2">
      <c r="A22" s="66" t="s">
        <v>27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0</v>
      </c>
      <c r="H22" s="148">
        <f t="shared" si="6"/>
        <v>169</v>
      </c>
      <c r="I22" s="148">
        <f t="shared" si="6"/>
        <v>0</v>
      </c>
      <c r="J22" s="149">
        <f>SUM(B22:I22)</f>
        <v>169</v>
      </c>
    </row>
    <row r="23" spans="1:257" ht="15.75" thickBot="1" x14ac:dyDescent="0.3">
      <c r="A23" s="63" t="s">
        <v>28</v>
      </c>
      <c r="B23" s="150">
        <f t="shared" ref="B23:I23" si="8">B22+B18</f>
        <v>316</v>
      </c>
      <c r="C23" s="150">
        <f t="shared" si="8"/>
        <v>0</v>
      </c>
      <c r="D23" s="150">
        <f t="shared" ref="D23:E23" si="9">D22+D18</f>
        <v>200</v>
      </c>
      <c r="E23" s="150">
        <f t="shared" si="9"/>
        <v>156</v>
      </c>
      <c r="F23" s="150">
        <f t="shared" si="8"/>
        <v>98</v>
      </c>
      <c r="G23" s="150">
        <f t="shared" si="8"/>
        <v>1491</v>
      </c>
      <c r="H23" s="150">
        <f t="shared" si="8"/>
        <v>1575</v>
      </c>
      <c r="I23" s="150">
        <f t="shared" si="8"/>
        <v>124</v>
      </c>
      <c r="J23" s="151">
        <f>SUM(B23:I23)</f>
        <v>3960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13"/>
      <c r="C25" s="413"/>
      <c r="D25" s="413"/>
      <c r="E25" s="413"/>
      <c r="F25" s="413"/>
      <c r="G25" s="413"/>
      <c r="H25" s="413"/>
      <c r="I25" s="413"/>
      <c r="J25" s="130"/>
    </row>
    <row r="26" spans="1:257" ht="15.75" thickTop="1" x14ac:dyDescent="0.25">
      <c r="A26" s="65" t="s">
        <v>35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36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37</v>
      </c>
      <c r="B28" s="146">
        <f>[3]Frontier!$FU$47</f>
        <v>0</v>
      </c>
      <c r="C28" s="146">
        <f>'[3]Great Lakes'!$FU$47</f>
        <v>0</v>
      </c>
      <c r="D28" s="118">
        <f>'[3]Air Choice One'!$FU$47</f>
        <v>0</v>
      </c>
      <c r="E28" s="118">
        <f>'[3]Boutique Air'!$FU$47</f>
        <v>0</v>
      </c>
      <c r="F28" s="146">
        <f>[3]Icelandair!$FU$47</f>
        <v>52097</v>
      </c>
      <c r="G28" s="118">
        <f>[3]Southwest!$FU$47</f>
        <v>201233</v>
      </c>
      <c r="H28" s="118">
        <f>'[3]Sun Country'!$FU$47</f>
        <v>226335</v>
      </c>
      <c r="I28" s="118">
        <f>[3]Alaska!$FU$47</f>
        <v>30751</v>
      </c>
      <c r="J28" s="147">
        <f>SUM(B28:I28)</f>
        <v>510416</v>
      </c>
    </row>
    <row r="29" spans="1:257" x14ac:dyDescent="0.2">
      <c r="A29" s="62" t="s">
        <v>38</v>
      </c>
      <c r="B29" s="146">
        <f>[3]Frontier!$FU$48</f>
        <v>0</v>
      </c>
      <c r="C29" s="146">
        <f>'[3]Great Lakes'!$FU$48</f>
        <v>0</v>
      </c>
      <c r="D29" s="118">
        <f>'[3]Air Choice One'!$FU$48</f>
        <v>0</v>
      </c>
      <c r="E29" s="118">
        <f>'[3]Boutique Air'!$FU$48</f>
        <v>0</v>
      </c>
      <c r="F29" s="146">
        <f>[3]Icelandair!$FU$48</f>
        <v>0</v>
      </c>
      <c r="G29" s="118">
        <f>[3]Southwest!$FU$48</f>
        <v>0</v>
      </c>
      <c r="H29" s="118">
        <f>'[3]Sun Country'!$FU$48</f>
        <v>287546</v>
      </c>
      <c r="I29" s="118">
        <f>[3]Alaska!$FU$48</f>
        <v>7660</v>
      </c>
      <c r="J29" s="147">
        <f>SUM(B29:I29)</f>
        <v>295206</v>
      </c>
    </row>
    <row r="30" spans="1:257" x14ac:dyDescent="0.2">
      <c r="A30" s="66" t="s">
        <v>39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52097</v>
      </c>
      <c r="G30" s="162">
        <f t="shared" si="10"/>
        <v>201233</v>
      </c>
      <c r="H30" s="162">
        <f t="shared" si="10"/>
        <v>513881</v>
      </c>
      <c r="I30" s="162">
        <f t="shared" si="10"/>
        <v>38411</v>
      </c>
      <c r="J30" s="165">
        <f>SUM(B30:I30)</f>
        <v>805622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40</v>
      </c>
      <c r="B32" s="146"/>
      <c r="C32" s="146"/>
      <c r="D32" s="118"/>
      <c r="E32" s="118"/>
      <c r="F32" s="146"/>
      <c r="G32" s="118"/>
      <c r="H32" s="118"/>
      <c r="I32" s="118"/>
      <c r="J32" s="147"/>
    </row>
    <row r="33" spans="1:10" x14ac:dyDescent="0.2">
      <c r="A33" s="62" t="s">
        <v>37</v>
      </c>
      <c r="B33" s="146">
        <f>[3]Frontier!$FU$52</f>
        <v>0</v>
      </c>
      <c r="C33" s="146">
        <f>'[3]Great Lakes'!$FU$52</f>
        <v>0</v>
      </c>
      <c r="D33" s="118">
        <f>'[3]Air Choice One'!$FU$52</f>
        <v>0</v>
      </c>
      <c r="E33" s="118">
        <f>'[3]Boutique Air'!$FU$52</f>
        <v>0</v>
      </c>
      <c r="F33" s="146">
        <f>[3]Icelandair!$FU$52</f>
        <v>30</v>
      </c>
      <c r="G33" s="118">
        <f>[3]Southwest!$FU$52</f>
        <v>97453</v>
      </c>
      <c r="H33" s="118">
        <f>'[3]Sun Country'!$FU$52</f>
        <v>112936</v>
      </c>
      <c r="I33" s="118">
        <f>[3]Alaska!$FU$52</f>
        <v>6926</v>
      </c>
      <c r="J33" s="147">
        <f>SUM(B33:I33)</f>
        <v>217345</v>
      </c>
    </row>
    <row r="34" spans="1:10" x14ac:dyDescent="0.2">
      <c r="A34" s="62" t="s">
        <v>38</v>
      </c>
      <c r="B34" s="146">
        <f>[3]Frontier!$FU$53</f>
        <v>0</v>
      </c>
      <c r="C34" s="146">
        <f>'[3]Great Lakes'!$FU$53</f>
        <v>0</v>
      </c>
      <c r="D34" s="118">
        <f>'[3]Air Choice One'!$FU$53</f>
        <v>0</v>
      </c>
      <c r="E34" s="118">
        <f>'[3]Boutique Air'!$FU$53</f>
        <v>0</v>
      </c>
      <c r="F34" s="146">
        <f>[3]Icelandair!$FU$53</f>
        <v>0</v>
      </c>
      <c r="G34" s="118">
        <f>[3]Southwest!$FU$53</f>
        <v>0</v>
      </c>
      <c r="H34" s="118">
        <f>'[3]Sun Country'!$FU$53</f>
        <v>157293</v>
      </c>
      <c r="I34" s="118">
        <f>[3]Alaska!$FU$53</f>
        <v>2021</v>
      </c>
      <c r="J34" s="163">
        <f>SUM(B34:I34)</f>
        <v>159314</v>
      </c>
    </row>
    <row r="35" spans="1:10" x14ac:dyDescent="0.2">
      <c r="A35" s="66" t="s">
        <v>41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30</v>
      </c>
      <c r="G35" s="164">
        <f t="shared" si="12"/>
        <v>97453</v>
      </c>
      <c r="H35" s="164">
        <f t="shared" si="12"/>
        <v>270229</v>
      </c>
      <c r="I35" s="164">
        <f t="shared" si="12"/>
        <v>8947</v>
      </c>
      <c r="J35" s="165">
        <f>SUM(B35:I35)</f>
        <v>376659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42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37</v>
      </c>
      <c r="B38" s="154">
        <f>[3]Frontier!$FU$57</f>
        <v>0</v>
      </c>
      <c r="C38" s="154">
        <f>'[3]Great Lakes'!$FU$57</f>
        <v>0</v>
      </c>
      <c r="D38" s="154">
        <f>'[3]Air Choice One'!$FU$57</f>
        <v>0</v>
      </c>
      <c r="E38" s="154">
        <f>'[3]Boutique Air'!$FU$57</f>
        <v>0</v>
      </c>
      <c r="F38" s="154">
        <f>[3]Icelandair!$FU$57</f>
        <v>0</v>
      </c>
      <c r="G38" s="154">
        <f>[3]Southwest!$FU$57</f>
        <v>0</v>
      </c>
      <c r="H38" s="154">
        <f>'[3]Sun Country'!$FU$57</f>
        <v>0</v>
      </c>
      <c r="I38" s="154">
        <f>[3]Alaska!$FU$57</f>
        <v>0</v>
      </c>
      <c r="J38" s="147">
        <f>SUM(B38:H38)</f>
        <v>0</v>
      </c>
    </row>
    <row r="39" spans="1:10" hidden="1" x14ac:dyDescent="0.2">
      <c r="A39" s="62" t="s">
        <v>38</v>
      </c>
      <c r="B39" s="157">
        <f>[3]Frontier!$FU$58</f>
        <v>0</v>
      </c>
      <c r="C39" s="157">
        <f>'[3]Great Lakes'!$FU$58</f>
        <v>0</v>
      </c>
      <c r="D39" s="157">
        <f>'[3]Air Choice One'!$FU$58</f>
        <v>0</v>
      </c>
      <c r="E39" s="157">
        <f>'[3]Boutique Air'!$FU$58</f>
        <v>0</v>
      </c>
      <c r="F39" s="157">
        <f>[3]Icelandair!$FU$58</f>
        <v>0</v>
      </c>
      <c r="G39" s="157">
        <f>[3]Southwest!$FU$58</f>
        <v>0</v>
      </c>
      <c r="H39" s="157">
        <f>'[3]Sun Country'!$FU$58</f>
        <v>0</v>
      </c>
      <c r="I39" s="157">
        <f>[3]Alaska!$FU$58</f>
        <v>0</v>
      </c>
      <c r="J39" s="163">
        <f>SUM(B39:H39)</f>
        <v>0</v>
      </c>
    </row>
    <row r="40" spans="1:10" hidden="1" x14ac:dyDescent="0.2">
      <c r="A40" s="66" t="s">
        <v>43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44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45</v>
      </c>
      <c r="B43" s="154">
        <f t="shared" ref="B43:I43" si="16">B28+B33+B38</f>
        <v>0</v>
      </c>
      <c r="C43" s="154">
        <f>C28+C33+C38</f>
        <v>0</v>
      </c>
      <c r="D43" s="154">
        <f t="shared" ref="D43:E43" si="17">D28+D33+D38</f>
        <v>0</v>
      </c>
      <c r="E43" s="154">
        <f t="shared" si="17"/>
        <v>0</v>
      </c>
      <c r="F43" s="154">
        <f t="shared" si="16"/>
        <v>52127</v>
      </c>
      <c r="G43" s="154">
        <f t="shared" si="16"/>
        <v>298686</v>
      </c>
      <c r="H43" s="154">
        <f t="shared" si="16"/>
        <v>339271</v>
      </c>
      <c r="I43" s="154">
        <f t="shared" si="16"/>
        <v>37677</v>
      </c>
      <c r="J43" s="147">
        <f>SUM(B43:I43)</f>
        <v>727761</v>
      </c>
    </row>
    <row r="44" spans="1:10" x14ac:dyDescent="0.2">
      <c r="A44" s="62" t="s">
        <v>38</v>
      </c>
      <c r="B44" s="157">
        <f t="shared" ref="B44:I44" si="18">+B39+B34+B29</f>
        <v>0</v>
      </c>
      <c r="C44" s="157">
        <f>+C39+C34+C29</f>
        <v>0</v>
      </c>
      <c r="D44" s="157">
        <f t="shared" ref="D44:E44" si="19">+D39+D34+D29</f>
        <v>0</v>
      </c>
      <c r="E44" s="157">
        <f t="shared" si="19"/>
        <v>0</v>
      </c>
      <c r="F44" s="157">
        <f t="shared" si="18"/>
        <v>0</v>
      </c>
      <c r="G44" s="157">
        <f t="shared" si="18"/>
        <v>0</v>
      </c>
      <c r="H44" s="157">
        <f t="shared" si="18"/>
        <v>444839</v>
      </c>
      <c r="I44" s="157">
        <f t="shared" si="18"/>
        <v>9681</v>
      </c>
      <c r="J44" s="147">
        <f>SUM(B44:I44)</f>
        <v>454520</v>
      </c>
    </row>
    <row r="45" spans="1:10" ht="15.75" thickBot="1" x14ac:dyDescent="0.3">
      <c r="A45" s="63" t="s">
        <v>46</v>
      </c>
      <c r="B45" s="167">
        <f t="shared" ref="B45:I45" si="20">B43+B44</f>
        <v>0</v>
      </c>
      <c r="C45" s="167">
        <f t="shared" si="20"/>
        <v>0</v>
      </c>
      <c r="D45" s="167">
        <f t="shared" ref="D45:E45" si="21">D43+D44</f>
        <v>0</v>
      </c>
      <c r="E45" s="167">
        <f t="shared" si="21"/>
        <v>0</v>
      </c>
      <c r="F45" s="167">
        <f t="shared" si="20"/>
        <v>52127</v>
      </c>
      <c r="G45" s="167">
        <f t="shared" si="20"/>
        <v>298686</v>
      </c>
      <c r="H45" s="167">
        <f t="shared" si="20"/>
        <v>784110</v>
      </c>
      <c r="I45" s="167">
        <f t="shared" si="20"/>
        <v>47358</v>
      </c>
      <c r="J45" s="168">
        <f>SUM(B45:I45)</f>
        <v>1182281</v>
      </c>
    </row>
    <row r="48" spans="1:10" x14ac:dyDescent="0.2">
      <c r="A48" s="375" t="s">
        <v>124</v>
      </c>
      <c r="B48" s="387"/>
      <c r="C48" s="387"/>
      <c r="D48" s="387"/>
      <c r="E48" s="387"/>
      <c r="G48" s="322">
        <f>[3]Southwest!$FU$70+[3]Southwest!$FU$73</f>
        <v>91531</v>
      </c>
      <c r="H48" s="322">
        <f>'[3]Sun Country'!$FU$70+'[3]Sun Country'!$FU$73</f>
        <v>89635</v>
      </c>
      <c r="I48" s="387"/>
      <c r="J48" s="310">
        <f>SUM(B48:I48)</f>
        <v>181166</v>
      </c>
    </row>
    <row r="49" spans="1:10" x14ac:dyDescent="0.2">
      <c r="A49" s="389" t="s">
        <v>125</v>
      </c>
      <c r="B49" s="387"/>
      <c r="C49" s="387"/>
      <c r="D49" s="387"/>
      <c r="E49" s="387"/>
      <c r="G49" s="322">
        <f>[3]Southwest!$FU$71+[3]Southwest!$FU$74</f>
        <v>175</v>
      </c>
      <c r="H49" s="322">
        <f>'[3]Sun Country'!$FU$71+'[3]Sun Country'!$FU$74</f>
        <v>5977</v>
      </c>
      <c r="I49" s="387"/>
      <c r="J49" s="310">
        <f>SUM(B49:I49)</f>
        <v>6152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August 2018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workbookViewId="0">
      <selection activeCell="G30" sqref="G30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85"/>
    </row>
    <row r="2" spans="1:13" s="7" customFormat="1" ht="51.75" thickBot="1" x14ac:dyDescent="0.25">
      <c r="A2" s="378">
        <v>43313</v>
      </c>
      <c r="B2" s="434" t="s">
        <v>163</v>
      </c>
      <c r="C2" s="434" t="s">
        <v>166</v>
      </c>
      <c r="D2" s="434" t="s">
        <v>176</v>
      </c>
      <c r="E2" s="434" t="s">
        <v>175</v>
      </c>
      <c r="F2" s="434" t="s">
        <v>177</v>
      </c>
      <c r="G2" s="434" t="s">
        <v>228</v>
      </c>
      <c r="H2" s="434" t="s">
        <v>181</v>
      </c>
      <c r="I2" s="434" t="s">
        <v>198</v>
      </c>
      <c r="J2" s="434" t="s">
        <v>223</v>
      </c>
      <c r="K2" s="434" t="s">
        <v>180</v>
      </c>
      <c r="L2" s="19" t="s">
        <v>118</v>
      </c>
      <c r="M2" s="19" t="s">
        <v>21</v>
      </c>
    </row>
    <row r="3" spans="1:13" ht="15.75" thickTop="1" x14ac:dyDescent="0.25">
      <c r="A3" s="279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2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10"/>
    </row>
    <row r="5" spans="1:13" x14ac:dyDescent="0.2">
      <c r="A5" s="62" t="s">
        <v>30</v>
      </c>
      <c r="B5" s="131">
        <f>[3]Pinnacle!$FU$22+[3]Pinnacle!$FU$32</f>
        <v>70616</v>
      </c>
      <c r="C5" s="132">
        <f>[3]MESA_UA!$FU$22</f>
        <v>9900</v>
      </c>
      <c r="D5" s="130">
        <f>'[3]Sky West'!$FU$22+'[3]Sky West'!$FU$32</f>
        <v>216734</v>
      </c>
      <c r="E5" s="130">
        <f>'[3]Sky West_UA'!$FU$22</f>
        <v>3560</v>
      </c>
      <c r="F5" s="130">
        <f>'[3]Sky West_AS'!$FU$22</f>
        <v>1785</v>
      </c>
      <c r="G5" s="130">
        <f>'[3]Sky West_AA'!$FU$22</f>
        <v>1959</v>
      </c>
      <c r="H5" s="130">
        <f>[3]Republic!$FU$22</f>
        <v>13097</v>
      </c>
      <c r="I5" s="130">
        <f>[3]Republic_UA!$FU$22</f>
        <v>15852</v>
      </c>
      <c r="J5" s="130">
        <f>'[3]Sky Regional'!$FU$32</f>
        <v>5892</v>
      </c>
      <c r="K5" s="130">
        <f>'[3]American Eagle'!$FU$22</f>
        <v>242</v>
      </c>
      <c r="L5" s="130">
        <f>'Other Regional'!M5</f>
        <v>18843</v>
      </c>
      <c r="M5" s="110">
        <f>SUM(B5:L5)</f>
        <v>358480</v>
      </c>
    </row>
    <row r="6" spans="1:13" s="10" customFormat="1" x14ac:dyDescent="0.2">
      <c r="A6" s="62" t="s">
        <v>31</v>
      </c>
      <c r="B6" s="131">
        <f>[3]Pinnacle!$FU$23+[3]Pinnacle!$FU$33</f>
        <v>71414</v>
      </c>
      <c r="C6" s="132">
        <f>[3]MESA_UA!$FU$23</f>
        <v>10100</v>
      </c>
      <c r="D6" s="130">
        <f>'[3]Sky West'!$FU$23+'[3]Sky West'!$FU$33</f>
        <v>218288</v>
      </c>
      <c r="E6" s="130">
        <f>'[3]Sky West_UA'!$FU$23</f>
        <v>3347</v>
      </c>
      <c r="F6" s="130">
        <f>'[3]Sky West_AS'!$FU$23</f>
        <v>1758</v>
      </c>
      <c r="G6" s="130">
        <f>'[3]Sky West_AA'!$FU$23</f>
        <v>1746</v>
      </c>
      <c r="H6" s="130">
        <f>[3]Republic!$FU$23</f>
        <v>13085</v>
      </c>
      <c r="I6" s="130">
        <f>[3]Republic_UA!$FU$23</f>
        <v>15694</v>
      </c>
      <c r="J6" s="130">
        <f>'[3]Sky Regional'!$FU$33</f>
        <v>6057</v>
      </c>
      <c r="K6" s="130">
        <f>'[3]American Eagle'!$FU$23</f>
        <v>170</v>
      </c>
      <c r="L6" s="130">
        <f>'Other Regional'!M6</f>
        <v>18503</v>
      </c>
      <c r="M6" s="115">
        <f>SUM(B6:L6)</f>
        <v>360162</v>
      </c>
    </row>
    <row r="7" spans="1:13" ht="15" thickBot="1" x14ac:dyDescent="0.25">
      <c r="A7" s="73" t="s">
        <v>7</v>
      </c>
      <c r="B7" s="133">
        <f>SUM(B5:B6)</f>
        <v>142030</v>
      </c>
      <c r="C7" s="133">
        <f t="shared" ref="C7:L7" si="0">SUM(C5:C6)</f>
        <v>20000</v>
      </c>
      <c r="D7" s="133">
        <f t="shared" si="0"/>
        <v>435022</v>
      </c>
      <c r="E7" s="133">
        <f t="shared" si="0"/>
        <v>6907</v>
      </c>
      <c r="F7" s="133">
        <f t="shared" ref="F7:G7" si="1">SUM(F5:F6)</f>
        <v>3543</v>
      </c>
      <c r="G7" s="133">
        <f t="shared" si="1"/>
        <v>3705</v>
      </c>
      <c r="H7" s="133">
        <f t="shared" si="0"/>
        <v>26182</v>
      </c>
      <c r="I7" s="133">
        <f t="shared" si="0"/>
        <v>31546</v>
      </c>
      <c r="J7" s="133">
        <f t="shared" si="0"/>
        <v>11949</v>
      </c>
      <c r="K7" s="133">
        <f t="shared" si="0"/>
        <v>412</v>
      </c>
      <c r="L7" s="133">
        <f t="shared" si="0"/>
        <v>37346</v>
      </c>
      <c r="M7" s="134">
        <f>SUM(B7:L7)</f>
        <v>718642</v>
      </c>
    </row>
    <row r="8" spans="1:13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2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10"/>
    </row>
    <row r="10" spans="1:13" x14ac:dyDescent="0.2">
      <c r="A10" s="62" t="s">
        <v>30</v>
      </c>
      <c r="B10" s="131">
        <f>[3]Pinnacle!$FU$27+[3]Pinnacle!$FU$37</f>
        <v>2593</v>
      </c>
      <c r="C10" s="132">
        <f>[3]MESA_UA!$FU$27</f>
        <v>326</v>
      </c>
      <c r="D10" s="130">
        <f>'[3]Sky West'!$FU$27+'[3]Sky West'!$FU$37</f>
        <v>7986</v>
      </c>
      <c r="E10" s="130">
        <f>'[3]Sky West_UA'!$FU$27</f>
        <v>120</v>
      </c>
      <c r="F10" s="130">
        <f>'[3]Sky West_AS'!$FU$27</f>
        <v>65</v>
      </c>
      <c r="G10" s="130">
        <f>'[3]Sky West_AA'!$FU$27</f>
        <v>56</v>
      </c>
      <c r="H10" s="130">
        <f>[3]Republic!$FU$27</f>
        <v>589</v>
      </c>
      <c r="I10" s="130">
        <f>[3]Republic_UA!$FU$27</f>
        <v>511</v>
      </c>
      <c r="J10" s="130">
        <f>'[3]Sky Regional'!$FU$37</f>
        <v>93</v>
      </c>
      <c r="K10" s="130">
        <f>'[3]American Eagle'!$FU$27</f>
        <v>14</v>
      </c>
      <c r="L10" s="130">
        <f>'Other Regional'!M10</f>
        <v>557</v>
      </c>
      <c r="M10" s="110">
        <f>SUM(B10:L10)</f>
        <v>12910</v>
      </c>
    </row>
    <row r="11" spans="1:13" x14ac:dyDescent="0.2">
      <c r="A11" s="62" t="s">
        <v>33</v>
      </c>
      <c r="B11" s="131">
        <f>[3]Pinnacle!$FU$28+[3]Pinnacle!$FU$38</f>
        <v>2613</v>
      </c>
      <c r="C11" s="132">
        <f>[3]MESA_UA!$FU$28</f>
        <v>218</v>
      </c>
      <c r="D11" s="130">
        <f>'[3]Sky West'!$FU$28+'[3]Sky West'!$FU$38</f>
        <v>7562</v>
      </c>
      <c r="E11" s="130">
        <f>'[3]Sky West_UA'!$FU$28</f>
        <v>110</v>
      </c>
      <c r="F11" s="130">
        <f>'[3]Sky West_AS'!$FU$28</f>
        <v>70</v>
      </c>
      <c r="G11" s="130">
        <f>'[3]Sky West_AA'!$FU$28</f>
        <v>105</v>
      </c>
      <c r="H11" s="130">
        <f>[3]Republic!$FU$28</f>
        <v>659</v>
      </c>
      <c r="I11" s="130">
        <f>[3]Republic_UA!$FU$28</f>
        <v>516</v>
      </c>
      <c r="J11" s="130">
        <f>'[3]Sky Regional'!$FU$38</f>
        <v>89</v>
      </c>
      <c r="K11" s="130">
        <f>'[3]American Eagle'!$FU$28</f>
        <v>14</v>
      </c>
      <c r="L11" s="130">
        <f>'Other Regional'!M11</f>
        <v>637</v>
      </c>
      <c r="M11" s="115">
        <f>SUM(B11:L11)</f>
        <v>12593</v>
      </c>
    </row>
    <row r="12" spans="1:13" ht="15" thickBot="1" x14ac:dyDescent="0.25">
      <c r="A12" s="74" t="s">
        <v>34</v>
      </c>
      <c r="B12" s="136">
        <f t="shared" ref="B12:L12" si="2">SUM(B10:B11)</f>
        <v>5206</v>
      </c>
      <c r="C12" s="136">
        <f t="shared" si="2"/>
        <v>544</v>
      </c>
      <c r="D12" s="136">
        <f t="shared" si="2"/>
        <v>15548</v>
      </c>
      <c r="E12" s="136">
        <f t="shared" si="2"/>
        <v>230</v>
      </c>
      <c r="F12" s="136">
        <f t="shared" ref="F12:G12" si="3">SUM(F10:F11)</f>
        <v>135</v>
      </c>
      <c r="G12" s="136">
        <f t="shared" si="3"/>
        <v>161</v>
      </c>
      <c r="H12" s="136">
        <f t="shared" si="2"/>
        <v>1248</v>
      </c>
      <c r="I12" s="136">
        <f t="shared" si="2"/>
        <v>1027</v>
      </c>
      <c r="J12" s="136">
        <f t="shared" si="2"/>
        <v>182</v>
      </c>
      <c r="K12" s="136">
        <f t="shared" si="2"/>
        <v>28</v>
      </c>
      <c r="L12" s="136">
        <f t="shared" si="2"/>
        <v>1194</v>
      </c>
      <c r="M12" s="137">
        <f>SUM(B12:L12)</f>
        <v>25503</v>
      </c>
    </row>
    <row r="13" spans="1:13" ht="13.5" thickBot="1" x14ac:dyDescent="0.25"/>
    <row r="14" spans="1:13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3"/>
      <c r="M14" s="105">
        <f t="shared" ref="M14" si="4">SUM(B14:L14)</f>
        <v>0</v>
      </c>
    </row>
    <row r="15" spans="1:13" x14ac:dyDescent="0.2">
      <c r="A15" s="62" t="s">
        <v>53</v>
      </c>
      <c r="B15" s="21">
        <f>[3]Pinnacle!$FU$4+[3]Pinnacle!$FU$15</f>
        <v>1146</v>
      </c>
      <c r="C15" s="108">
        <f>[3]MESA_UA!$FU$4</f>
        <v>141</v>
      </c>
      <c r="D15" s="106">
        <f>'[3]Sky West'!$FU$4+'[3]Sky West'!$FU$15</f>
        <v>4430</v>
      </c>
      <c r="E15" s="106">
        <f>'[3]Sky West_UA'!$FU$4</f>
        <v>53</v>
      </c>
      <c r="F15" s="106">
        <f>'[3]Sky West_AS'!$FU$4</f>
        <v>25</v>
      </c>
      <c r="G15" s="106">
        <f>'[3]Sky West_AA'!$FU$4</f>
        <v>31</v>
      </c>
      <c r="H15" s="109">
        <f>[3]Republic!$FU$4</f>
        <v>219</v>
      </c>
      <c r="I15" s="455">
        <f>[3]Republic_UA!$FU$4</f>
        <v>249</v>
      </c>
      <c r="J15" s="455">
        <f>'[3]Sky Regional'!$FU$15</f>
        <v>91</v>
      </c>
      <c r="K15" s="109">
        <f>'[3]American Eagle'!$FU$4</f>
        <v>7</v>
      </c>
      <c r="L15" s="107">
        <f>'Other Regional'!M15</f>
        <v>301</v>
      </c>
      <c r="M15" s="110">
        <f t="shared" ref="M15:M21" si="5">SUM(B15:L15)</f>
        <v>6693</v>
      </c>
    </row>
    <row r="16" spans="1:13" x14ac:dyDescent="0.2">
      <c r="A16" s="62" t="s">
        <v>54</v>
      </c>
      <c r="B16" s="14">
        <f>[3]Pinnacle!$FU$5+[3]Pinnacle!$FU$16</f>
        <v>1145</v>
      </c>
      <c r="C16" s="113">
        <f>[3]MESA_UA!$FU$5</f>
        <v>141</v>
      </c>
      <c r="D16" s="111">
        <f>'[3]Sky West'!$FU$5+'[3]Sky West'!$FU$16</f>
        <v>4416</v>
      </c>
      <c r="E16" s="111">
        <f>'[3]Sky West_UA'!$FU$5</f>
        <v>53</v>
      </c>
      <c r="F16" s="111">
        <f>'[3]Sky West_AS'!$FU$5</f>
        <v>25</v>
      </c>
      <c r="G16" s="111">
        <f>'[3]Sky West_AA'!$FU$5</f>
        <v>31</v>
      </c>
      <c r="H16" s="114">
        <f>[3]Republic!$FU$5</f>
        <v>219</v>
      </c>
      <c r="I16" s="297">
        <f>[3]Republic_UA!$FU$5</f>
        <v>249</v>
      </c>
      <c r="J16" s="297">
        <f>'[3]Sky Regional'!$FU$16</f>
        <v>91</v>
      </c>
      <c r="K16" s="114">
        <f>'[3]American Eagle'!$FU$5</f>
        <v>7</v>
      </c>
      <c r="L16" s="112">
        <f>'Other Regional'!M16</f>
        <v>299</v>
      </c>
      <c r="M16" s="115">
        <f t="shared" si="5"/>
        <v>6676</v>
      </c>
    </row>
    <row r="17" spans="1:13" x14ac:dyDescent="0.2">
      <c r="A17" s="71" t="s">
        <v>55</v>
      </c>
      <c r="B17" s="116">
        <f t="shared" ref="B17:K17" si="6">SUM(B15:B16)</f>
        <v>2291</v>
      </c>
      <c r="C17" s="116">
        <f t="shared" si="6"/>
        <v>282</v>
      </c>
      <c r="D17" s="116">
        <f t="shared" si="6"/>
        <v>8846</v>
      </c>
      <c r="E17" s="116">
        <f t="shared" si="6"/>
        <v>106</v>
      </c>
      <c r="F17" s="116">
        <f t="shared" ref="F17:G17" si="7">SUM(F15:F16)</f>
        <v>50</v>
      </c>
      <c r="G17" s="116">
        <f t="shared" si="7"/>
        <v>62</v>
      </c>
      <c r="H17" s="116">
        <f t="shared" si="6"/>
        <v>438</v>
      </c>
      <c r="I17" s="116">
        <f t="shared" ref="I17:J17" si="8">SUM(I15:I16)</f>
        <v>498</v>
      </c>
      <c r="J17" s="116">
        <f t="shared" si="8"/>
        <v>182</v>
      </c>
      <c r="K17" s="116">
        <f t="shared" si="6"/>
        <v>14</v>
      </c>
      <c r="L17" s="116">
        <f>SUM(L15:L16)</f>
        <v>600</v>
      </c>
      <c r="M17" s="117">
        <f t="shared" si="5"/>
        <v>13369</v>
      </c>
    </row>
    <row r="18" spans="1:13" x14ac:dyDescent="0.2">
      <c r="A18" s="62" t="s">
        <v>56</v>
      </c>
      <c r="B18" s="118">
        <f>[3]Pinnacle!$FU$8</f>
        <v>0</v>
      </c>
      <c r="C18" s="119">
        <f>[3]MESA_UA!$FU$8</f>
        <v>0</v>
      </c>
      <c r="D18" s="118">
        <f>'[3]Sky West'!$FU$8</f>
        <v>0</v>
      </c>
      <c r="E18" s="118">
        <f>'[3]Sky West_UA'!$FU$8</f>
        <v>0</v>
      </c>
      <c r="F18" s="118">
        <f>'[3]Sky West_AS'!$FU$8</f>
        <v>0</v>
      </c>
      <c r="G18" s="118">
        <f>'[3]Sky West_AA'!$FU$8</f>
        <v>0</v>
      </c>
      <c r="H18" s="118">
        <f>[3]Republic!$FU$8</f>
        <v>0</v>
      </c>
      <c r="I18" s="118">
        <f>[3]Republic_UA!$FU$8</f>
        <v>0</v>
      </c>
      <c r="J18" s="118">
        <f>'[3]Sky Regional'!$FU$8</f>
        <v>0</v>
      </c>
      <c r="K18" s="118">
        <f>'[3]American Eagle'!$FU$8</f>
        <v>0</v>
      </c>
      <c r="L18" s="118">
        <f>'Other Regional'!M18</f>
        <v>0</v>
      </c>
      <c r="M18" s="110">
        <f t="shared" si="5"/>
        <v>0</v>
      </c>
    </row>
    <row r="19" spans="1:13" x14ac:dyDescent="0.2">
      <c r="A19" s="62" t="s">
        <v>57</v>
      </c>
      <c r="B19" s="120">
        <f>[3]Pinnacle!$FU$9</f>
        <v>1</v>
      </c>
      <c r="C19" s="121">
        <f>[3]MESA_UA!$FU$9</f>
        <v>0</v>
      </c>
      <c r="D19" s="120">
        <f>'[3]Sky West'!$FU$9</f>
        <v>10</v>
      </c>
      <c r="E19" s="120">
        <f>'[3]Sky West_UA'!$FU$9</f>
        <v>0</v>
      </c>
      <c r="F19" s="120">
        <f>'[3]Sky West_AS'!$FU$9</f>
        <v>0</v>
      </c>
      <c r="G19" s="120">
        <f>'[3]Sky West_AA'!$FU$9</f>
        <v>0</v>
      </c>
      <c r="H19" s="120">
        <f>[3]Republic!$FU$9</f>
        <v>0</v>
      </c>
      <c r="I19" s="120">
        <f>[3]Republic_UA!$FU$9</f>
        <v>0</v>
      </c>
      <c r="J19" s="120">
        <f>'[3]Sky Regional'!$FU$9</f>
        <v>0</v>
      </c>
      <c r="K19" s="120">
        <f>'[3]American Eagle'!$FU$9</f>
        <v>0</v>
      </c>
      <c r="L19" s="120">
        <f>'Other Regional'!M19</f>
        <v>1</v>
      </c>
      <c r="M19" s="115">
        <f t="shared" si="5"/>
        <v>12</v>
      </c>
    </row>
    <row r="20" spans="1:13" x14ac:dyDescent="0.2">
      <c r="A20" s="71" t="s">
        <v>58</v>
      </c>
      <c r="B20" s="116">
        <f t="shared" ref="B20:L20" si="9">SUM(B18:B19)</f>
        <v>1</v>
      </c>
      <c r="C20" s="116">
        <f t="shared" si="9"/>
        <v>0</v>
      </c>
      <c r="D20" s="116">
        <f t="shared" si="9"/>
        <v>10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1</v>
      </c>
      <c r="M20" s="117">
        <f t="shared" si="5"/>
        <v>12</v>
      </c>
    </row>
    <row r="21" spans="1:13" ht="15.75" thickBot="1" x14ac:dyDescent="0.3">
      <c r="A21" s="72" t="s">
        <v>28</v>
      </c>
      <c r="B21" s="122">
        <f t="shared" ref="B21:K21" si="11">SUM(B20,B17)</f>
        <v>2292</v>
      </c>
      <c r="C21" s="122">
        <f t="shared" si="11"/>
        <v>282</v>
      </c>
      <c r="D21" s="122">
        <f t="shared" si="11"/>
        <v>8856</v>
      </c>
      <c r="E21" s="122">
        <f t="shared" si="11"/>
        <v>106</v>
      </c>
      <c r="F21" s="122">
        <f t="shared" ref="F21:G21" si="12">SUM(F20,F17)</f>
        <v>50</v>
      </c>
      <c r="G21" s="122">
        <f t="shared" si="12"/>
        <v>62</v>
      </c>
      <c r="H21" s="122">
        <f t="shared" si="11"/>
        <v>438</v>
      </c>
      <c r="I21" s="122">
        <f t="shared" si="11"/>
        <v>498</v>
      </c>
      <c r="J21" s="122">
        <f t="shared" si="11"/>
        <v>182</v>
      </c>
      <c r="K21" s="122">
        <f t="shared" si="11"/>
        <v>14</v>
      </c>
      <c r="L21" s="122">
        <f>SUM(L20,L17)</f>
        <v>601</v>
      </c>
      <c r="M21" s="123">
        <f t="shared" si="5"/>
        <v>13381</v>
      </c>
    </row>
    <row r="22" spans="1:13" ht="13.5" thickBot="1" x14ac:dyDescent="0.25"/>
    <row r="23" spans="1:13" ht="15.75" thickTop="1" x14ac:dyDescent="0.25">
      <c r="A23" s="65" t="s">
        <v>117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5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10"/>
    </row>
    <row r="25" spans="1:13" x14ac:dyDescent="0.2">
      <c r="A25" s="75" t="s">
        <v>37</v>
      </c>
      <c r="B25" s="130">
        <f>[3]Pinnacle!$FU$47</f>
        <v>0</v>
      </c>
      <c r="C25" s="132">
        <f>[3]MESA_UA!$FU$47</f>
        <v>0</v>
      </c>
      <c r="D25" s="130">
        <f>'[3]Sky West'!$FU$47</f>
        <v>0</v>
      </c>
      <c r="E25" s="130">
        <f>'[3]Sky West_UA'!$FU$47</f>
        <v>0</v>
      </c>
      <c r="F25" s="130">
        <f>'[3]Sky West_AS'!$FU$47</f>
        <v>519</v>
      </c>
      <c r="G25" s="130">
        <f>'[3]Sky West_AA'!$FU$47</f>
        <v>628</v>
      </c>
      <c r="H25" s="130">
        <f>[3]Republic!$FU$47</f>
        <v>0</v>
      </c>
      <c r="I25" s="130">
        <f>[3]Republic_UA!$FU$47</f>
        <v>0</v>
      </c>
      <c r="J25" s="130">
        <f>'[3]Sky Regional'!$FU$47</f>
        <v>2118</v>
      </c>
      <c r="K25" s="130">
        <f>'[3]American Eagle'!$FU$47</f>
        <v>0</v>
      </c>
      <c r="L25" s="130">
        <f>'Other Regional'!M25</f>
        <v>8017</v>
      </c>
      <c r="M25" s="110">
        <f>SUM(B25:L25)</f>
        <v>11282</v>
      </c>
    </row>
    <row r="26" spans="1:13" x14ac:dyDescent="0.2">
      <c r="A26" s="75" t="s">
        <v>38</v>
      </c>
      <c r="B26" s="130">
        <f>[3]Pinnacle!$FU$48</f>
        <v>0</v>
      </c>
      <c r="C26" s="132">
        <f>[3]MESA_UA!$FU$48</f>
        <v>0</v>
      </c>
      <c r="D26" s="130">
        <f>'[3]Sky West'!$FU$48</f>
        <v>0</v>
      </c>
      <c r="E26" s="130">
        <f>'[3]Sky West_UA'!$FU$48</f>
        <v>0</v>
      </c>
      <c r="F26" s="130">
        <f>'[3]Sky West_AS'!$FU$48</f>
        <v>0</v>
      </c>
      <c r="G26" s="130">
        <f>'[3]Sky West_AA'!$FU$48</f>
        <v>0</v>
      </c>
      <c r="H26" s="130">
        <f>[3]Republic!$FU$48</f>
        <v>0</v>
      </c>
      <c r="I26" s="130">
        <f>[3]Republic_UA!$FU$48</f>
        <v>0</v>
      </c>
      <c r="J26" s="130">
        <f>'[3]Sky Regional'!$FU$48</f>
        <v>0</v>
      </c>
      <c r="K26" s="130">
        <f>'[3]American Eagle'!$FU$48</f>
        <v>0</v>
      </c>
      <c r="L26" s="130">
        <f>'Other Regional'!M26</f>
        <v>0</v>
      </c>
      <c r="M26" s="110">
        <f>SUM(B26:L26)</f>
        <v>0</v>
      </c>
    </row>
    <row r="27" spans="1:13" ht="15" thickBot="1" x14ac:dyDescent="0.25">
      <c r="A27" s="73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519</v>
      </c>
      <c r="G27" s="133">
        <f t="shared" si="14"/>
        <v>628</v>
      </c>
      <c r="H27" s="133">
        <f t="shared" si="13"/>
        <v>0</v>
      </c>
      <c r="I27" s="133">
        <f t="shared" si="13"/>
        <v>0</v>
      </c>
      <c r="J27" s="133">
        <f t="shared" si="13"/>
        <v>2118</v>
      </c>
      <c r="K27" s="133">
        <f t="shared" si="13"/>
        <v>0</v>
      </c>
      <c r="L27" s="133">
        <f t="shared" si="13"/>
        <v>8017</v>
      </c>
      <c r="M27" s="134">
        <f>SUM(B27:L27)</f>
        <v>11282</v>
      </c>
    </row>
    <row r="28" spans="1:13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10"/>
    </row>
    <row r="29" spans="1:13" x14ac:dyDescent="0.2">
      <c r="A29" s="75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10"/>
    </row>
    <row r="30" spans="1:13" x14ac:dyDescent="0.2">
      <c r="A30" s="75" t="s">
        <v>59</v>
      </c>
      <c r="B30" s="130">
        <f>[3]Pinnacle!$FU$52</f>
        <v>0</v>
      </c>
      <c r="C30" s="132">
        <f>[3]MESA_UA!$FU$52</f>
        <v>0</v>
      </c>
      <c r="D30" s="130">
        <f>'[3]Sky West'!$FU$52</f>
        <v>0</v>
      </c>
      <c r="E30" s="130">
        <f>'[3]Sky West_UA'!$FU$52</f>
        <v>0</v>
      </c>
      <c r="F30" s="130">
        <f>'[3]Sky West_AS'!$FU$52</f>
        <v>0</v>
      </c>
      <c r="G30" s="130">
        <f>'[3]Sky West_AA'!$FU$52</f>
        <v>0</v>
      </c>
      <c r="H30" s="130">
        <f>[3]Republic!$FU$52</f>
        <v>0</v>
      </c>
      <c r="I30" s="130">
        <f>[3]Republic_UA!$FU$52</f>
        <v>0</v>
      </c>
      <c r="J30" s="130">
        <f>'[3]Sky Regional'!$FU$52</f>
        <v>2634</v>
      </c>
      <c r="K30" s="130">
        <f>'[3]American Eagle'!$FU$52</f>
        <v>0</v>
      </c>
      <c r="L30" s="130">
        <f>'Other Regional'!M30</f>
        <v>506</v>
      </c>
      <c r="M30" s="110">
        <f t="shared" ref="M30:M37" si="15">SUM(B30:L30)</f>
        <v>3140</v>
      </c>
    </row>
    <row r="31" spans="1:13" x14ac:dyDescent="0.2">
      <c r="A31" s="75" t="s">
        <v>60</v>
      </c>
      <c r="B31" s="130">
        <f>[3]Pinnacle!$FU$53</f>
        <v>0</v>
      </c>
      <c r="C31" s="132">
        <f>[3]MESA_UA!$FU$53</f>
        <v>0</v>
      </c>
      <c r="D31" s="130">
        <f>'[3]Sky West'!$FU$53</f>
        <v>0</v>
      </c>
      <c r="E31" s="130">
        <f>'[3]Sky West_UA'!$FU$53</f>
        <v>0</v>
      </c>
      <c r="F31" s="130">
        <f>'[3]Sky West_AS'!$FU$53</f>
        <v>0</v>
      </c>
      <c r="G31" s="130">
        <f>'[3]Sky West_AA'!$FU$53</f>
        <v>0</v>
      </c>
      <c r="H31" s="130">
        <f>[3]Republic!$FU$53</f>
        <v>0</v>
      </c>
      <c r="I31" s="130">
        <f>[3]Republic_UA!$FU$53</f>
        <v>0</v>
      </c>
      <c r="J31" s="130">
        <f>'[3]Sky Regional'!$FU$53</f>
        <v>0</v>
      </c>
      <c r="K31" s="130">
        <f>'[3]American Eagle'!$FU$53</f>
        <v>0</v>
      </c>
      <c r="L31" s="130">
        <f>'Other Regional'!M31</f>
        <v>0</v>
      </c>
      <c r="M31" s="110">
        <f t="shared" si="15"/>
        <v>0</v>
      </c>
    </row>
    <row r="32" spans="1:13" ht="15" thickBot="1" x14ac:dyDescent="0.25">
      <c r="A32" s="73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0</v>
      </c>
      <c r="G32" s="133">
        <f t="shared" si="17"/>
        <v>0</v>
      </c>
      <c r="H32" s="133">
        <f t="shared" si="16"/>
        <v>0</v>
      </c>
      <c r="I32" s="133">
        <f t="shared" si="16"/>
        <v>0</v>
      </c>
      <c r="J32" s="133">
        <f t="shared" si="16"/>
        <v>2634</v>
      </c>
      <c r="K32" s="133">
        <f t="shared" si="16"/>
        <v>0</v>
      </c>
      <c r="L32" s="133">
        <f>SUM(L30:L31)</f>
        <v>506</v>
      </c>
      <c r="M32" s="134">
        <f t="shared" si="15"/>
        <v>3140</v>
      </c>
    </row>
    <row r="33" spans="1:13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10">
        <f t="shared" si="15"/>
        <v>0</v>
      </c>
    </row>
    <row r="34" spans="1:13" ht="13.5" hidden="1" thickTop="1" x14ac:dyDescent="0.2">
      <c r="A34" s="75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10">
        <f t="shared" si="15"/>
        <v>0</v>
      </c>
    </row>
    <row r="35" spans="1:13" ht="13.5" hidden="1" thickTop="1" x14ac:dyDescent="0.2">
      <c r="A35" s="75" t="s">
        <v>37</v>
      </c>
      <c r="B35" s="130">
        <f>[3]Pinnacle!$FU$57</f>
        <v>0</v>
      </c>
      <c r="C35" s="132">
        <f>[3]MESA_UA!$FU$57</f>
        <v>0</v>
      </c>
      <c r="D35" s="130">
        <f>'[3]Sky West'!$FU$57</f>
        <v>0</v>
      </c>
      <c r="E35" s="130">
        <f>'[3]Sky West_UA'!$FU$57</f>
        <v>0</v>
      </c>
      <c r="F35" s="130">
        <f>'[3]Sky West_AS'!$FU$57</f>
        <v>0</v>
      </c>
      <c r="G35" s="130">
        <f>'[3]Sky West_AA'!$FU$57</f>
        <v>0</v>
      </c>
      <c r="H35" s="130">
        <f>[3]Republic!$FU$57</f>
        <v>0</v>
      </c>
      <c r="I35" s="130">
        <f>[3]Republic!$FU$57</f>
        <v>0</v>
      </c>
      <c r="J35" s="130">
        <f>[3]Republic!$FU$57</f>
        <v>0</v>
      </c>
      <c r="K35" s="130">
        <f>'[3]American Eagle'!$FU$57</f>
        <v>0</v>
      </c>
      <c r="L35" s="130">
        <f>'Other Regional'!M35</f>
        <v>0</v>
      </c>
      <c r="M35" s="110">
        <f t="shared" si="15"/>
        <v>0</v>
      </c>
    </row>
    <row r="36" spans="1:13" ht="13.5" hidden="1" thickTop="1" x14ac:dyDescent="0.2">
      <c r="A36" s="75" t="s">
        <v>38</v>
      </c>
      <c r="B36" s="130">
        <f>[3]Pinnacle!$FU$58</f>
        <v>0</v>
      </c>
      <c r="C36" s="132">
        <f>[3]MESA_UA!$FU$58</f>
        <v>0</v>
      </c>
      <c r="D36" s="130">
        <f>'[3]Sky West'!$FU$58</f>
        <v>0</v>
      </c>
      <c r="E36" s="130">
        <f>'[3]Sky West_UA'!$FU$58</f>
        <v>0</v>
      </c>
      <c r="F36" s="130">
        <f>'[3]Sky West_AS'!$FU$58</f>
        <v>0</v>
      </c>
      <c r="G36" s="130">
        <f>'[3]Sky West_AA'!$FU$58</f>
        <v>0</v>
      </c>
      <c r="H36" s="130">
        <f>[3]Republic!$FU$58</f>
        <v>0</v>
      </c>
      <c r="I36" s="130">
        <f>[3]Republic!$FU$58</f>
        <v>0</v>
      </c>
      <c r="J36" s="130">
        <f>[3]Republic!$FU$58</f>
        <v>0</v>
      </c>
      <c r="K36" s="130">
        <f>'[3]American Eagle'!$FU$58</f>
        <v>0</v>
      </c>
      <c r="L36" s="130">
        <f>'Other Regional'!M36</f>
        <v>0</v>
      </c>
      <c r="M36" s="110">
        <f t="shared" si="15"/>
        <v>0</v>
      </c>
    </row>
    <row r="37" spans="1:13" ht="13.5" hidden="1" thickTop="1" x14ac:dyDescent="0.2">
      <c r="A37" s="76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10"/>
    </row>
    <row r="39" spans="1:13" x14ac:dyDescent="0.2">
      <c r="A39" s="75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10"/>
    </row>
    <row r="40" spans="1:13" x14ac:dyDescent="0.2">
      <c r="A40" s="75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519</v>
      </c>
      <c r="G40" s="130">
        <f t="shared" ref="G40" si="22">SUM(G35,G30,G25)</f>
        <v>628</v>
      </c>
      <c r="H40" s="130">
        <f t="shared" si="20"/>
        <v>0</v>
      </c>
      <c r="I40" s="130">
        <f t="shared" si="20"/>
        <v>0</v>
      </c>
      <c r="J40" s="130">
        <f t="shared" si="20"/>
        <v>4752</v>
      </c>
      <c r="K40" s="130">
        <f>SUM(K35,K30,K25)</f>
        <v>0</v>
      </c>
      <c r="L40" s="130">
        <f>L35+L30+L25</f>
        <v>8523</v>
      </c>
      <c r="M40" s="110">
        <f>SUM(B40:L40)</f>
        <v>14422</v>
      </c>
    </row>
    <row r="41" spans="1:13" x14ac:dyDescent="0.2">
      <c r="A41" s="75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0</v>
      </c>
      <c r="G41" s="130">
        <f t="shared" ref="G41" si="23">SUM(G36,G31,G26)</f>
        <v>0</v>
      </c>
      <c r="H41" s="130">
        <f t="shared" si="20"/>
        <v>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0</v>
      </c>
      <c r="M41" s="110">
        <f>SUM(B41:L41)</f>
        <v>0</v>
      </c>
    </row>
    <row r="42" spans="1:13" ht="15" thickBot="1" x14ac:dyDescent="0.25">
      <c r="A42" s="74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519</v>
      </c>
      <c r="G42" s="136">
        <f t="shared" ref="G42" si="24">SUM(G37,G32,G27)</f>
        <v>628</v>
      </c>
      <c r="H42" s="136">
        <f t="shared" si="20"/>
        <v>0</v>
      </c>
      <c r="I42" s="136">
        <f t="shared" si="20"/>
        <v>0</v>
      </c>
      <c r="J42" s="136">
        <f t="shared" si="20"/>
        <v>4752</v>
      </c>
      <c r="K42" s="136">
        <f>SUM(K37,K32,K27)</f>
        <v>0</v>
      </c>
      <c r="L42" s="136">
        <f>SUM(L37,L32,L27)</f>
        <v>8523</v>
      </c>
      <c r="M42" s="137">
        <f>SUM(B42:L42)</f>
        <v>14422</v>
      </c>
    </row>
    <row r="44" spans="1:13" x14ac:dyDescent="0.2">
      <c r="A44" s="375" t="s">
        <v>124</v>
      </c>
      <c r="B44" s="321">
        <f>[3]Pinnacle!$FU$70+[3]Pinnacle!$FU$73</f>
        <v>28423</v>
      </c>
      <c r="D44" s="322">
        <f>'[3]Sky West'!$FU$70+'[3]Sky West'!$FU$73</f>
        <v>63522</v>
      </c>
      <c r="E44" s="5"/>
      <c r="F44" s="5"/>
      <c r="G44" s="5"/>
      <c r="L44" s="322">
        <f>+'Other Regional'!M46</f>
        <v>6405</v>
      </c>
      <c r="M44" s="310">
        <f>SUM(B44:L44)</f>
        <v>98350</v>
      </c>
    </row>
    <row r="45" spans="1:13" x14ac:dyDescent="0.2">
      <c r="A45" s="389" t="s">
        <v>125</v>
      </c>
      <c r="B45" s="321">
        <f>[3]Pinnacle!$FU$71+[3]Pinnacle!$FU$74</f>
        <v>42991</v>
      </c>
      <c r="D45" s="322">
        <f>'[3]Sky West'!$FU$71+'[3]Sky West'!$FU$74</f>
        <v>154766</v>
      </c>
      <c r="E45" s="5"/>
      <c r="F45" s="5"/>
      <c r="G45" s="5"/>
      <c r="L45" s="322">
        <f>+'Other Regional'!M47</f>
        <v>8114</v>
      </c>
      <c r="M45" s="310">
        <f>SUM(B45:L45)</f>
        <v>205871</v>
      </c>
    </row>
    <row r="46" spans="1:13" x14ac:dyDescent="0.2">
      <c r="A46" s="312" t="s">
        <v>126</v>
      </c>
      <c r="B46" s="313">
        <f>SUM(B44:B45)</f>
        <v>71414</v>
      </c>
      <c r="L46" s="2"/>
      <c r="M46" s="311"/>
    </row>
    <row r="47" spans="1:13" x14ac:dyDescent="0.2">
      <c r="A47" s="314"/>
      <c r="B47" s="315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August 2018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7"/>
  <sheetViews>
    <sheetView topLeftCell="A6" zoomScaleNormal="100" zoomScaleSheetLayoutView="100" workbookViewId="0">
      <selection activeCell="B4" sqref="B4:M48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10.42578125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0.42578125" customWidth="1"/>
    <col min="12" max="12" width="9.85546875" customWidth="1"/>
    <col min="13" max="13" width="12.140625" customWidth="1"/>
  </cols>
  <sheetData>
    <row r="1" spans="1:13" s="7" customFormat="1" ht="36" customHeight="1" x14ac:dyDescent="0.2">
      <c r="A1" s="385"/>
    </row>
    <row r="2" spans="1:13" s="7" customFormat="1" ht="55.5" customHeight="1" thickBot="1" x14ac:dyDescent="0.25">
      <c r="A2" s="378">
        <v>43313</v>
      </c>
      <c r="B2" s="434" t="s">
        <v>179</v>
      </c>
      <c r="C2" s="434" t="s">
        <v>178</v>
      </c>
      <c r="D2" s="434" t="s">
        <v>227</v>
      </c>
      <c r="E2" s="434" t="s">
        <v>199</v>
      </c>
      <c r="F2" s="434" t="s">
        <v>170</v>
      </c>
      <c r="G2" s="434" t="s">
        <v>184</v>
      </c>
      <c r="H2" s="434" t="s">
        <v>183</v>
      </c>
      <c r="I2" s="434" t="s">
        <v>165</v>
      </c>
      <c r="J2" s="434" t="s">
        <v>169</v>
      </c>
      <c r="K2" s="434" t="s">
        <v>185</v>
      </c>
      <c r="L2" s="434" t="s">
        <v>182</v>
      </c>
      <c r="M2" s="291" t="s">
        <v>21</v>
      </c>
    </row>
    <row r="3" spans="1:13" ht="15.75" thickTop="1" x14ac:dyDescent="0.25">
      <c r="A3" s="279" t="s">
        <v>3</v>
      </c>
      <c r="B3" s="401"/>
      <c r="C3" s="401"/>
      <c r="D3" s="401"/>
      <c r="E3" s="401"/>
      <c r="F3" s="401"/>
      <c r="G3" s="402"/>
      <c r="H3" s="402"/>
      <c r="I3" s="402"/>
      <c r="J3" s="402"/>
      <c r="K3" s="402"/>
      <c r="L3" s="401"/>
      <c r="M3" s="127"/>
    </row>
    <row r="4" spans="1:13" x14ac:dyDescent="0.2">
      <c r="A4" s="62" t="s">
        <v>29</v>
      </c>
      <c r="B4" s="128"/>
      <c r="C4" s="128"/>
      <c r="D4" s="128"/>
      <c r="E4" s="129"/>
      <c r="F4" s="130"/>
      <c r="G4" s="131"/>
      <c r="H4" s="131"/>
      <c r="I4" s="131"/>
      <c r="J4" s="131"/>
      <c r="K4" s="132"/>
      <c r="L4" s="130"/>
      <c r="M4" s="110"/>
    </row>
    <row r="5" spans="1:13" x14ac:dyDescent="0.2">
      <c r="A5" s="62" t="s">
        <v>30</v>
      </c>
      <c r="B5" s="131">
        <f>'[3]Shuttle America'!$FU$22</f>
        <v>0</v>
      </c>
      <c r="C5" s="131">
        <f>'[3]Shuttle America_Delta'!$FU$22</f>
        <v>52</v>
      </c>
      <c r="D5" s="456">
        <f>[3]Horizon_AS!$FU$22</f>
        <v>4115</v>
      </c>
      <c r="E5" s="456">
        <f>[3]PSA!$FU$22</f>
        <v>0</v>
      </c>
      <c r="F5" s="21">
        <f>[3]Compass!$FU$22+[3]Compass!$FU$32</f>
        <v>0</v>
      </c>
      <c r="G5" s="131">
        <f>'[3]Atlantic Southeast'!$FU$22+'[3]Atlantic Southeast'!$FU$32</f>
        <v>0</v>
      </c>
      <c r="H5" s="131">
        <f>'[3]Continental Express'!$FU$22</f>
        <v>44</v>
      </c>
      <c r="I5" s="130">
        <f>'[3]Go Jet_UA'!$FU$22</f>
        <v>61</v>
      </c>
      <c r="J5" s="21">
        <f>'[3]Go Jet'!$FU$22+'[3]Go Jet'!$FU$32</f>
        <v>14571</v>
      </c>
      <c r="K5" s="132">
        <f>'[3]Air Wisconsin'!$FU$22</f>
        <v>0</v>
      </c>
      <c r="L5" s="130">
        <f>[3]MESA!$FU$22</f>
        <v>0</v>
      </c>
      <c r="M5" s="110">
        <f>SUM(B5:L5)</f>
        <v>18843</v>
      </c>
    </row>
    <row r="6" spans="1:13" s="10" customFormat="1" x14ac:dyDescent="0.2">
      <c r="A6" s="62" t="s">
        <v>31</v>
      </c>
      <c r="B6" s="131">
        <f>'[3]Shuttle America'!$FU$23</f>
        <v>0</v>
      </c>
      <c r="C6" s="131">
        <f>'[3]Shuttle America_Delta'!$FU$23</f>
        <v>32</v>
      </c>
      <c r="D6" s="456">
        <f>[3]Horizon_AS!$FU$23</f>
        <v>3935</v>
      </c>
      <c r="E6" s="456">
        <f>[3]PSA!$FU$23</f>
        <v>0</v>
      </c>
      <c r="F6" s="14">
        <f>[3]Compass!$FU$23+[3]Compass!$FU$33</f>
        <v>0</v>
      </c>
      <c r="G6" s="131">
        <f>'[3]Atlantic Southeast'!$FU$23+'[3]Atlantic Southeast'!$FU$33</f>
        <v>0</v>
      </c>
      <c r="H6" s="131">
        <f>'[3]Continental Express'!$FU$23</f>
        <v>49</v>
      </c>
      <c r="I6" s="130">
        <f>'[3]Go Jet_UA'!$FU$23</f>
        <v>0</v>
      </c>
      <c r="J6" s="14">
        <f>'[3]Go Jet'!$FU$23+'[3]Go Jet'!$FU$33</f>
        <v>14487</v>
      </c>
      <c r="K6" s="132">
        <f>'[3]Air Wisconsin'!$FU$23</f>
        <v>0</v>
      </c>
      <c r="L6" s="130">
        <f>[3]MESA!$FU$23</f>
        <v>0</v>
      </c>
      <c r="M6" s="115">
        <f>SUM(B6:L6)</f>
        <v>18503</v>
      </c>
    </row>
    <row r="7" spans="1:13" ht="15" thickBot="1" x14ac:dyDescent="0.25">
      <c r="A7" s="73" t="s">
        <v>7</v>
      </c>
      <c r="B7" s="133">
        <f t="shared" ref="B7:L7" si="0">SUM(B5:B6)</f>
        <v>0</v>
      </c>
      <c r="C7" s="133">
        <f t="shared" si="0"/>
        <v>84</v>
      </c>
      <c r="D7" s="133">
        <f t="shared" ref="D7" si="1">SUM(D5:D6)</f>
        <v>8050</v>
      </c>
      <c r="E7" s="133">
        <f t="shared" si="0"/>
        <v>0</v>
      </c>
      <c r="F7" s="133">
        <f>SUM(F5:F6)</f>
        <v>0</v>
      </c>
      <c r="G7" s="133">
        <f t="shared" si="0"/>
        <v>0</v>
      </c>
      <c r="H7" s="133">
        <f t="shared" si="0"/>
        <v>93</v>
      </c>
      <c r="I7" s="133">
        <f t="shared" si="0"/>
        <v>61</v>
      </c>
      <c r="J7" s="133">
        <f>SUM(J5:J6)</f>
        <v>29058</v>
      </c>
      <c r="K7" s="133">
        <f t="shared" si="0"/>
        <v>0</v>
      </c>
      <c r="L7" s="133">
        <f t="shared" si="0"/>
        <v>0</v>
      </c>
      <c r="M7" s="134">
        <f>SUM(B7:L7)</f>
        <v>37346</v>
      </c>
    </row>
    <row r="8" spans="1:13" ht="13.5" thickTop="1" x14ac:dyDescent="0.2">
      <c r="A8" s="62"/>
      <c r="B8" s="131"/>
      <c r="C8" s="131"/>
      <c r="D8" s="456"/>
      <c r="E8" s="456"/>
      <c r="F8" s="340"/>
      <c r="G8" s="131"/>
      <c r="H8" s="131"/>
      <c r="I8" s="130"/>
      <c r="J8" s="340"/>
      <c r="K8" s="132"/>
      <c r="L8" s="130"/>
      <c r="M8" s="135"/>
    </row>
    <row r="9" spans="1:13" s="10" customFormat="1" x14ac:dyDescent="0.2">
      <c r="A9" s="62" t="s">
        <v>32</v>
      </c>
      <c r="B9" s="131"/>
      <c r="C9" s="131"/>
      <c r="D9" s="456"/>
      <c r="E9" s="456"/>
      <c r="F9" s="21"/>
      <c r="G9" s="131"/>
      <c r="H9" s="131"/>
      <c r="I9" s="130"/>
      <c r="J9" s="21"/>
      <c r="K9" s="132"/>
      <c r="L9" s="130"/>
      <c r="M9" s="110"/>
    </row>
    <row r="10" spans="1:13" x14ac:dyDescent="0.2">
      <c r="A10" s="62" t="s">
        <v>30</v>
      </c>
      <c r="B10" s="131">
        <f>'[3]Shuttle America'!$FU$27</f>
        <v>0</v>
      </c>
      <c r="C10" s="131">
        <f>'[3]Shuttle America_Delta'!$FU$27</f>
        <v>0</v>
      </c>
      <c r="D10" s="456">
        <f>[3]Horizon_AS!$FU$27</f>
        <v>153</v>
      </c>
      <c r="E10" s="456">
        <f>[3]PSA!$FU$27</f>
        <v>0</v>
      </c>
      <c r="F10" s="21">
        <f>[3]Compass!$FU$27+[3]Compass!$FU$37</f>
        <v>0</v>
      </c>
      <c r="G10" s="21">
        <f>'[3]Atlantic Southeast'!$FU$27+'[3]Atlantic Southeast'!$FU$37</f>
        <v>0</v>
      </c>
      <c r="H10" s="131">
        <f>'[3]Continental Express'!$FU$27</f>
        <v>0</v>
      </c>
      <c r="I10" s="130">
        <f>'[3]Go Jet_UA'!$FU$27</f>
        <v>0</v>
      </c>
      <c r="J10" s="21">
        <f>'[3]Go Jet'!$FU$27+'[3]Go Jet'!$FU$37</f>
        <v>404</v>
      </c>
      <c r="K10" s="132">
        <f>'[3]Air Wisconsin'!$FU$27</f>
        <v>0</v>
      </c>
      <c r="L10" s="130">
        <f>[3]MESA!$FU$27</f>
        <v>0</v>
      </c>
      <c r="M10" s="110">
        <f>SUM(B10:L10)</f>
        <v>557</v>
      </c>
    </row>
    <row r="11" spans="1:13" x14ac:dyDescent="0.2">
      <c r="A11" s="62" t="s">
        <v>33</v>
      </c>
      <c r="B11" s="131">
        <f>'[3]Shuttle America'!$FU$28</f>
        <v>0</v>
      </c>
      <c r="C11" s="131">
        <f>'[3]Shuttle America_Delta'!$FU$28</f>
        <v>0</v>
      </c>
      <c r="D11" s="456">
        <f>[3]Horizon_AS!$FU$28</f>
        <v>151</v>
      </c>
      <c r="E11" s="456">
        <f>[3]PSA!$FU$28</f>
        <v>0</v>
      </c>
      <c r="F11" s="14">
        <f>[3]Compass!$FU$28+[3]Compass!$FU$38</f>
        <v>0</v>
      </c>
      <c r="G11" s="14">
        <f>'[3]Atlantic Southeast'!$FU$28+'[3]Atlantic Southeast'!$FU$38</f>
        <v>0</v>
      </c>
      <c r="H11" s="131">
        <f>'[3]Continental Express'!$FU$28</f>
        <v>0</v>
      </c>
      <c r="I11" s="130">
        <f>'[3]Go Jet_UA'!$FU$28</f>
        <v>0</v>
      </c>
      <c r="J11" s="14">
        <f>'[3]Go Jet'!$FU$28+'[3]Go Jet'!$FU$38</f>
        <v>486</v>
      </c>
      <c r="K11" s="132">
        <f>'[3]Air Wisconsin'!$FU$28</f>
        <v>0</v>
      </c>
      <c r="L11" s="130">
        <f>[3]MESA!$FU$28</f>
        <v>0</v>
      </c>
      <c r="M11" s="115">
        <f>SUM(B11:L11)</f>
        <v>637</v>
      </c>
    </row>
    <row r="12" spans="1:13" ht="15" thickBot="1" x14ac:dyDescent="0.25">
      <c r="A12" s="74" t="s">
        <v>34</v>
      </c>
      <c r="B12" s="136">
        <f>SUM(B10:B11)</f>
        <v>0</v>
      </c>
      <c r="C12" s="136">
        <f>SUM(C10:C11)</f>
        <v>0</v>
      </c>
      <c r="D12" s="136">
        <f t="shared" ref="D12:E12" si="2">SUM(D10:D11)</f>
        <v>304</v>
      </c>
      <c r="E12" s="136">
        <f t="shared" si="2"/>
        <v>0</v>
      </c>
      <c r="F12" s="136">
        <f t="shared" ref="F12:L12" si="3">SUM(F10:F11)</f>
        <v>0</v>
      </c>
      <c r="G12" s="136">
        <f t="shared" si="3"/>
        <v>0</v>
      </c>
      <c r="H12" s="136">
        <f t="shared" si="3"/>
        <v>0</v>
      </c>
      <c r="I12" s="136">
        <f t="shared" si="3"/>
        <v>0</v>
      </c>
      <c r="J12" s="136">
        <f t="shared" ref="J12" si="4">SUM(J10:J11)</f>
        <v>890</v>
      </c>
      <c r="K12" s="136">
        <f t="shared" si="3"/>
        <v>0</v>
      </c>
      <c r="L12" s="136">
        <f t="shared" si="3"/>
        <v>0</v>
      </c>
      <c r="M12" s="137">
        <f>SUM(B12:L12)</f>
        <v>1194</v>
      </c>
    </row>
    <row r="13" spans="1:13" ht="6" customHeight="1" thickBot="1" x14ac:dyDescent="0.25"/>
    <row r="14" spans="1:13" ht="15.75" thickTop="1" x14ac:dyDescent="0.25">
      <c r="A14" s="61" t="s">
        <v>9</v>
      </c>
      <c r="B14" s="103"/>
      <c r="C14" s="103"/>
      <c r="D14" s="103"/>
      <c r="E14" s="103"/>
      <c r="F14" s="103"/>
      <c r="G14" s="104"/>
      <c r="H14" s="104"/>
      <c r="I14" s="103"/>
      <c r="J14" s="103"/>
      <c r="K14" s="104"/>
      <c r="L14" s="103"/>
      <c r="M14" s="105"/>
    </row>
    <row r="15" spans="1:13" x14ac:dyDescent="0.2">
      <c r="A15" s="62" t="s">
        <v>53</v>
      </c>
      <c r="B15" s="106">
        <f>'[3]Shuttle America'!$FU$4</f>
        <v>0</v>
      </c>
      <c r="C15" s="106">
        <f>'[3]Shuttle America_Delta'!$FU$4</f>
        <v>1</v>
      </c>
      <c r="D15" s="457">
        <f>[3]Horizon_AS!$FU$4</f>
        <v>62</v>
      </c>
      <c r="E15" s="457">
        <f>[3]PSA!$FU$4</f>
        <v>0</v>
      </c>
      <c r="F15" s="21">
        <f>[3]Compass!$FU$4+[3]Compass!$FU$15</f>
        <v>0</v>
      </c>
      <c r="G15" s="107">
        <f>'[3]Atlantic Southeast'!$FU$4+'[3]Atlantic Southeast'!$FU$15</f>
        <v>0</v>
      </c>
      <c r="H15" s="107">
        <f>'[3]Continental Express'!$FU$4</f>
        <v>1</v>
      </c>
      <c r="I15" s="106">
        <f>'[3]Go Jet_UA'!$FU$4</f>
        <v>1</v>
      </c>
      <c r="J15" s="21">
        <f>'[3]Go Jet'!$FU$4+'[3]Go Jet'!$FU$15</f>
        <v>236</v>
      </c>
      <c r="K15" s="108">
        <f>'[3]Air Wisconsin'!$FU$4</f>
        <v>0</v>
      </c>
      <c r="L15" s="106">
        <f>[3]MESA!$FU$4</f>
        <v>0</v>
      </c>
      <c r="M15" s="110">
        <f t="shared" ref="M15:M21" si="5">SUM(B15:L15)</f>
        <v>301</v>
      </c>
    </row>
    <row r="16" spans="1:13" x14ac:dyDescent="0.2">
      <c r="A16" s="62" t="s">
        <v>54</v>
      </c>
      <c r="B16" s="111">
        <f>'[3]Shuttle America'!$FU$5</f>
        <v>0</v>
      </c>
      <c r="C16" s="111">
        <f>'[3]Shuttle America_Delta'!$FU$5</f>
        <v>1</v>
      </c>
      <c r="D16" s="458">
        <f>[3]Horizon_AS!$FU$5</f>
        <v>62</v>
      </c>
      <c r="E16" s="458">
        <f>[3]PSA!$FU$5</f>
        <v>0</v>
      </c>
      <c r="F16" s="14">
        <f>[3]Compass!$FU$5+[3]Compass!$FU$16</f>
        <v>0</v>
      </c>
      <c r="G16" s="112">
        <f>'[3]Atlantic Southeast'!$FU$5+'[3]Atlantic Southeast'!$FU$16</f>
        <v>0</v>
      </c>
      <c r="H16" s="112">
        <f>'[3]Continental Express'!$FU$5</f>
        <v>1</v>
      </c>
      <c r="I16" s="111">
        <f>'[3]Go Jet_UA'!$FU$5</f>
        <v>0</v>
      </c>
      <c r="J16" s="14">
        <f>'[3]Go Jet'!$FU$5+'[3]Go Jet'!$FU$16</f>
        <v>235</v>
      </c>
      <c r="K16" s="113">
        <f>'[3]Air Wisconsin'!$FU$5</f>
        <v>0</v>
      </c>
      <c r="L16" s="111">
        <f>[3]MESA!$FU$5</f>
        <v>0</v>
      </c>
      <c r="M16" s="115">
        <f t="shared" si="5"/>
        <v>299</v>
      </c>
    </row>
    <row r="17" spans="1:13" x14ac:dyDescent="0.2">
      <c r="A17" s="71" t="s">
        <v>55</v>
      </c>
      <c r="B17" s="116">
        <f>SUM(B15:B16)</f>
        <v>0</v>
      </c>
      <c r="C17" s="116">
        <f>SUM(C15:C16)</f>
        <v>2</v>
      </c>
      <c r="D17" s="116">
        <f t="shared" ref="D17:E17" si="6">SUM(D15:D16)</f>
        <v>124</v>
      </c>
      <c r="E17" s="116">
        <f t="shared" si="6"/>
        <v>0</v>
      </c>
      <c r="F17" s="286">
        <f>SUM(F15:F16)</f>
        <v>0</v>
      </c>
      <c r="G17" s="116">
        <f t="shared" ref="G17:L17" si="7">SUM(G15:G16)</f>
        <v>0</v>
      </c>
      <c r="H17" s="116">
        <f t="shared" si="7"/>
        <v>2</v>
      </c>
      <c r="I17" s="116">
        <f t="shared" si="7"/>
        <v>1</v>
      </c>
      <c r="J17" s="286">
        <f>SUM(J15:J16)</f>
        <v>471</v>
      </c>
      <c r="K17" s="116">
        <f t="shared" si="7"/>
        <v>0</v>
      </c>
      <c r="L17" s="116">
        <f t="shared" si="7"/>
        <v>0</v>
      </c>
      <c r="M17" s="117">
        <f t="shared" si="5"/>
        <v>600</v>
      </c>
    </row>
    <row r="18" spans="1:13" x14ac:dyDescent="0.2">
      <c r="A18" s="62" t="s">
        <v>56</v>
      </c>
      <c r="B18" s="118">
        <f>'[3]Shuttle America'!$FU$8</f>
        <v>0</v>
      </c>
      <c r="C18" s="118">
        <f>'[3]Shuttle America_Delta'!$FU$8</f>
        <v>0</v>
      </c>
      <c r="D18" s="118">
        <f>[3]Horizon_AS!$FU$8</f>
        <v>0</v>
      </c>
      <c r="E18" s="118">
        <f>[3]PSA!$FU$8</f>
        <v>0</v>
      </c>
      <c r="F18" s="21">
        <f>[3]Compass!$FU$8</f>
        <v>0</v>
      </c>
      <c r="G18" s="109">
        <f>'[3]Atlantic Southeast'!$FU$8</f>
        <v>0</v>
      </c>
      <c r="H18" s="109">
        <f>'[3]Continental Express'!$FU$8</f>
        <v>0</v>
      </c>
      <c r="I18" s="118">
        <f>'[3]Go Jet_UA'!$FU$8</f>
        <v>0</v>
      </c>
      <c r="J18" s="21">
        <f>'[3]Go Jet'!$FU$8</f>
        <v>0</v>
      </c>
      <c r="K18" s="119">
        <f>'[3]Air Wisconsin'!$FU$8</f>
        <v>0</v>
      </c>
      <c r="L18" s="118">
        <f>[3]MESA!$FU$8</f>
        <v>0</v>
      </c>
      <c r="M18" s="110">
        <f t="shared" si="5"/>
        <v>0</v>
      </c>
    </row>
    <row r="19" spans="1:13" x14ac:dyDescent="0.2">
      <c r="A19" s="62" t="s">
        <v>57</v>
      </c>
      <c r="B19" s="120">
        <f>'[3]Shuttle America'!$FU$9</f>
        <v>0</v>
      </c>
      <c r="C19" s="120">
        <f>'[3]Shuttle America_Delta'!$FU$9</f>
        <v>0</v>
      </c>
      <c r="D19" s="120">
        <f>[3]Horizon_AS!$FU$9</f>
        <v>0</v>
      </c>
      <c r="E19" s="120">
        <f>[3]PSA!$FU$9</f>
        <v>0</v>
      </c>
      <c r="F19" s="14">
        <f>[3]Compass!$FU$9</f>
        <v>0</v>
      </c>
      <c r="G19" s="114">
        <f>'[3]Atlantic Southeast'!$FU$9</f>
        <v>0</v>
      </c>
      <c r="H19" s="114">
        <f>'[3]Continental Express'!$FU$9</f>
        <v>0</v>
      </c>
      <c r="I19" s="120">
        <f>'[3]Go Jet_UA'!$FU$9</f>
        <v>0</v>
      </c>
      <c r="J19" s="14">
        <f>'[3]Go Jet'!$FU$9</f>
        <v>1</v>
      </c>
      <c r="K19" s="121">
        <f>'[3]Air Wisconsin'!$FU$9</f>
        <v>0</v>
      </c>
      <c r="L19" s="120">
        <f>[3]MESA!$FU$9</f>
        <v>0</v>
      </c>
      <c r="M19" s="115">
        <f t="shared" si="5"/>
        <v>1</v>
      </c>
    </row>
    <row r="20" spans="1:13" x14ac:dyDescent="0.2">
      <c r="A20" s="71" t="s">
        <v>58</v>
      </c>
      <c r="B20" s="116">
        <f>SUM(B18:B19)</f>
        <v>0</v>
      </c>
      <c r="C20" s="116">
        <f>SUM(C18:C19)</f>
        <v>0</v>
      </c>
      <c r="D20" s="116">
        <f t="shared" ref="D20:E20" si="8">SUM(D18:D19)</f>
        <v>0</v>
      </c>
      <c r="E20" s="116">
        <f t="shared" si="8"/>
        <v>0</v>
      </c>
      <c r="F20" s="286">
        <f>SUM(F18:F19)</f>
        <v>0</v>
      </c>
      <c r="G20" s="116">
        <f t="shared" ref="G20:L20" si="9">SUM(G18:G19)</f>
        <v>0</v>
      </c>
      <c r="H20" s="116">
        <f t="shared" si="9"/>
        <v>0</v>
      </c>
      <c r="I20" s="116">
        <f t="shared" si="9"/>
        <v>0</v>
      </c>
      <c r="J20" s="286">
        <f>SUM(J18:J19)</f>
        <v>1</v>
      </c>
      <c r="K20" s="116">
        <f t="shared" si="9"/>
        <v>0</v>
      </c>
      <c r="L20" s="116">
        <f t="shared" si="9"/>
        <v>0</v>
      </c>
      <c r="M20" s="117">
        <f t="shared" si="5"/>
        <v>1</v>
      </c>
    </row>
    <row r="21" spans="1:13" ht="15.75" thickBot="1" x14ac:dyDescent="0.3">
      <c r="A21" s="72" t="s">
        <v>28</v>
      </c>
      <c r="B21" s="122">
        <f>SUM(B20,B17)</f>
        <v>0</v>
      </c>
      <c r="C21" s="122">
        <f>SUM(C20,C17)</f>
        <v>2</v>
      </c>
      <c r="D21" s="122">
        <f t="shared" ref="D21:E21" si="10">SUM(D20,D17)</f>
        <v>124</v>
      </c>
      <c r="E21" s="122">
        <f t="shared" si="10"/>
        <v>0</v>
      </c>
      <c r="F21" s="122">
        <f t="shared" ref="F21:L21" si="11">SUM(F20,F17)</f>
        <v>0</v>
      </c>
      <c r="G21" s="122">
        <f t="shared" si="11"/>
        <v>0</v>
      </c>
      <c r="H21" s="122">
        <f t="shared" si="11"/>
        <v>2</v>
      </c>
      <c r="I21" s="122">
        <f t="shared" si="11"/>
        <v>1</v>
      </c>
      <c r="J21" s="122">
        <f t="shared" ref="J21" si="12">SUM(J20,J17)</f>
        <v>472</v>
      </c>
      <c r="K21" s="122">
        <f t="shared" si="11"/>
        <v>0</v>
      </c>
      <c r="L21" s="122">
        <f t="shared" si="11"/>
        <v>0</v>
      </c>
      <c r="M21" s="123">
        <f t="shared" si="5"/>
        <v>601</v>
      </c>
    </row>
    <row r="22" spans="1:13" ht="3.75" customHeight="1" thickBot="1" x14ac:dyDescent="0.25"/>
    <row r="23" spans="1:13" ht="15.75" thickTop="1" x14ac:dyDescent="0.25">
      <c r="A23" s="65" t="s">
        <v>117</v>
      </c>
      <c r="B23" s="138"/>
      <c r="C23" s="138"/>
      <c r="D23" s="138"/>
      <c r="E23" s="138"/>
      <c r="F23" s="138"/>
      <c r="G23" s="139"/>
      <c r="H23" s="139"/>
      <c r="I23" s="138"/>
      <c r="J23" s="138"/>
      <c r="K23" s="139"/>
      <c r="L23" s="138"/>
      <c r="M23" s="140"/>
    </row>
    <row r="24" spans="1:13" x14ac:dyDescent="0.2">
      <c r="A24" s="75" t="s">
        <v>36</v>
      </c>
      <c r="B24" s="130"/>
      <c r="C24" s="130"/>
      <c r="D24" s="130"/>
      <c r="E24" s="130"/>
      <c r="G24" s="131"/>
      <c r="H24" s="131"/>
      <c r="I24" s="130"/>
      <c r="K24" s="132"/>
      <c r="L24" s="130"/>
      <c r="M24" s="110"/>
    </row>
    <row r="25" spans="1:13" x14ac:dyDescent="0.2">
      <c r="A25" s="75" t="s">
        <v>37</v>
      </c>
      <c r="B25" s="130">
        <f>'[3]Shuttle America'!$FU$47</f>
        <v>0</v>
      </c>
      <c r="C25" s="130">
        <f>'[3]Shuttle America_Delta'!$FU$47</f>
        <v>0</v>
      </c>
      <c r="D25" s="130">
        <f>[3]Horizon_AS!$FU$47</f>
        <v>7344</v>
      </c>
      <c r="E25" s="130">
        <f>[3]PSA!$FU$47</f>
        <v>0</v>
      </c>
      <c r="F25" s="130">
        <f>[3]Compass!$FU$47</f>
        <v>0</v>
      </c>
      <c r="G25" s="131">
        <f>'[3]Atlantic Southeast'!$FU$47</f>
        <v>0</v>
      </c>
      <c r="H25" s="131">
        <f>'[3]Continental Express'!$FU$47</f>
        <v>0</v>
      </c>
      <c r="I25" s="130">
        <f>'[3]Go Jet_UA'!$FU$47</f>
        <v>0</v>
      </c>
      <c r="J25" s="130">
        <f>'[3]Go Jet'!$FU$47</f>
        <v>673</v>
      </c>
      <c r="K25" s="132">
        <f>'[3]Air Wisconsin'!$FU$47</f>
        <v>0</v>
      </c>
      <c r="L25" s="130">
        <f>[3]MESA!$FU$47</f>
        <v>0</v>
      </c>
      <c r="M25" s="110">
        <f>SUM(B25:L25)</f>
        <v>8017</v>
      </c>
    </row>
    <row r="26" spans="1:13" x14ac:dyDescent="0.2">
      <c r="A26" s="75" t="s">
        <v>38</v>
      </c>
      <c r="B26" s="130">
        <f>'[3]Shuttle America'!$FU$48</f>
        <v>0</v>
      </c>
      <c r="C26" s="130">
        <f>'[3]Shuttle America_Delta'!$FU$48</f>
        <v>0</v>
      </c>
      <c r="D26" s="130">
        <f>[3]Horizon_AS!$FU$48</f>
        <v>0</v>
      </c>
      <c r="E26" s="130">
        <f>[3]PSA!$FU$48</f>
        <v>0</v>
      </c>
      <c r="F26" s="130">
        <f>[3]Compass!$FU$48</f>
        <v>0</v>
      </c>
      <c r="G26" s="131">
        <f>'[3]Atlantic Southeast'!$FU$48</f>
        <v>0</v>
      </c>
      <c r="H26" s="131">
        <f>'[3]Continental Express'!$FU$48</f>
        <v>0</v>
      </c>
      <c r="I26" s="130">
        <f>'[3]Go Jet_UA'!$FU$48</f>
        <v>0</v>
      </c>
      <c r="J26" s="130">
        <f>'[3]Go Jet'!$FU$48</f>
        <v>0</v>
      </c>
      <c r="K26" s="132">
        <f>'[3]Air Wisconsin'!$FU$48</f>
        <v>0</v>
      </c>
      <c r="L26" s="130">
        <f>[3]MESA!$FU$48</f>
        <v>0</v>
      </c>
      <c r="M26" s="110">
        <f>SUM(B26:L26)</f>
        <v>0</v>
      </c>
    </row>
    <row r="27" spans="1:13" ht="15" thickBot="1" x14ac:dyDescent="0.25">
      <c r="A27" s="73" t="s">
        <v>39</v>
      </c>
      <c r="B27" s="133">
        <f>SUM(B25:B26)</f>
        <v>0</v>
      </c>
      <c r="C27" s="133">
        <f>SUM(C25:C26)</f>
        <v>0</v>
      </c>
      <c r="D27" s="133">
        <f t="shared" ref="D27:E27" si="13">SUM(D25:D26)</f>
        <v>7344</v>
      </c>
      <c r="E27" s="133">
        <f t="shared" si="13"/>
        <v>0</v>
      </c>
      <c r="F27" s="133">
        <f>SUM(F25:F26)</f>
        <v>0</v>
      </c>
      <c r="G27" s="133">
        <f t="shared" ref="G27:L27" si="14">SUM(G25:G26)</f>
        <v>0</v>
      </c>
      <c r="H27" s="133">
        <f t="shared" si="14"/>
        <v>0</v>
      </c>
      <c r="I27" s="133">
        <f t="shared" si="14"/>
        <v>0</v>
      </c>
      <c r="J27" s="133">
        <f>SUM(J25:J26)</f>
        <v>673</v>
      </c>
      <c r="K27" s="133">
        <f t="shared" si="14"/>
        <v>0</v>
      </c>
      <c r="L27" s="133">
        <f t="shared" si="14"/>
        <v>0</v>
      </c>
      <c r="M27" s="134">
        <f>SUM(B27:L27)</f>
        <v>8017</v>
      </c>
    </row>
    <row r="28" spans="1:13" ht="7.5" customHeight="1" thickTop="1" x14ac:dyDescent="0.2">
      <c r="A28" s="75"/>
      <c r="B28" s="130"/>
      <c r="C28" s="130"/>
      <c r="D28" s="130"/>
      <c r="E28" s="130"/>
      <c r="F28" s="130"/>
      <c r="G28" s="131"/>
      <c r="H28" s="131"/>
      <c r="I28" s="130"/>
      <c r="J28" s="130"/>
      <c r="K28" s="132"/>
      <c r="L28" s="130"/>
      <c r="M28" s="110"/>
    </row>
    <row r="29" spans="1:13" x14ac:dyDescent="0.2">
      <c r="A29" s="75" t="s">
        <v>40</v>
      </c>
      <c r="B29" s="130"/>
      <c r="C29" s="130"/>
      <c r="D29" s="130"/>
      <c r="E29" s="130"/>
      <c r="F29" s="130"/>
      <c r="G29" s="131"/>
      <c r="H29" s="131"/>
      <c r="I29" s="130"/>
      <c r="J29" s="130"/>
      <c r="K29" s="132"/>
      <c r="L29" s="130"/>
      <c r="M29" s="110"/>
    </row>
    <row r="30" spans="1:13" x14ac:dyDescent="0.2">
      <c r="A30" s="75" t="s">
        <v>59</v>
      </c>
      <c r="B30" s="130">
        <f>'[3]Shuttle America'!$FU$52</f>
        <v>0</v>
      </c>
      <c r="C30" s="130">
        <f>'[3]Shuttle America_Delta'!$FU$52</f>
        <v>0</v>
      </c>
      <c r="D30" s="130">
        <f>[3]Horizon_AS!$FU$52</f>
        <v>506</v>
      </c>
      <c r="E30" s="130">
        <f>[3]PSA!$FU$52</f>
        <v>0</v>
      </c>
      <c r="F30" s="130">
        <f>[3]Compass!$FU$52</f>
        <v>0</v>
      </c>
      <c r="G30" s="131">
        <f>'[3]Atlantic Southeast'!$FU$52</f>
        <v>0</v>
      </c>
      <c r="H30" s="131">
        <f>'[3]Continental Express'!$FU$52</f>
        <v>0</v>
      </c>
      <c r="I30" s="130">
        <f>'[3]Go Jet_UA'!$FU$52</f>
        <v>0</v>
      </c>
      <c r="J30" s="130">
        <f>'[3]Go Jet'!$FU$52</f>
        <v>0</v>
      </c>
      <c r="K30" s="132">
        <f>'[3]Air Wisconsin'!BH$52</f>
        <v>0</v>
      </c>
      <c r="L30" s="130">
        <f>[3]MESA!$FU$52</f>
        <v>0</v>
      </c>
      <c r="M30" s="110">
        <f>SUM(B30:L30)</f>
        <v>506</v>
      </c>
    </row>
    <row r="31" spans="1:13" x14ac:dyDescent="0.2">
      <c r="A31" s="75" t="s">
        <v>60</v>
      </c>
      <c r="B31" s="130">
        <f>'[3]Shuttle America'!$FU$53</f>
        <v>0</v>
      </c>
      <c r="C31" s="130">
        <f>'[3]Shuttle America_Delta'!$FU$53</f>
        <v>0</v>
      </c>
      <c r="D31" s="130">
        <f>[3]Horizon_AS!$FU$53</f>
        <v>0</v>
      </c>
      <c r="E31" s="130">
        <f>[3]PSA!$FU$53</f>
        <v>0</v>
      </c>
      <c r="F31" s="130">
        <f>[3]Compass!$FU$53</f>
        <v>0</v>
      </c>
      <c r="G31" s="131">
        <f>'[3]Atlantic Southeast'!$FU$53</f>
        <v>0</v>
      </c>
      <c r="H31" s="131">
        <f>'[3]Continental Express'!$FU$53</f>
        <v>0</v>
      </c>
      <c r="I31" s="130">
        <f>'[3]Go Jet_UA'!$FU$53</f>
        <v>0</v>
      </c>
      <c r="J31" s="130">
        <f>'[3]Go Jet'!$FU$53</f>
        <v>0</v>
      </c>
      <c r="K31" s="132">
        <f>'[3]Air Wisconsin'!$FU$53</f>
        <v>0</v>
      </c>
      <c r="L31" s="130">
        <f>[3]MESA!$FU$53</f>
        <v>0</v>
      </c>
      <c r="M31" s="110">
        <f>SUM(B31:L31)</f>
        <v>0</v>
      </c>
    </row>
    <row r="32" spans="1:13" ht="15" thickBot="1" x14ac:dyDescent="0.25">
      <c r="A32" s="73" t="s">
        <v>41</v>
      </c>
      <c r="B32" s="133">
        <f t="shared" ref="B32:L32" si="15">SUM(B30:B31)</f>
        <v>0</v>
      </c>
      <c r="C32" s="133">
        <f t="shared" si="15"/>
        <v>0</v>
      </c>
      <c r="D32" s="133">
        <f t="shared" ref="D32" si="16">SUM(D30:D31)</f>
        <v>506</v>
      </c>
      <c r="E32" s="133">
        <f t="shared" si="15"/>
        <v>0</v>
      </c>
      <c r="F32" s="133">
        <f t="shared" si="15"/>
        <v>0</v>
      </c>
      <c r="G32" s="133">
        <f t="shared" si="15"/>
        <v>0</v>
      </c>
      <c r="H32" s="133">
        <f t="shared" si="15"/>
        <v>0</v>
      </c>
      <c r="I32" s="133">
        <f t="shared" si="15"/>
        <v>0</v>
      </c>
      <c r="J32" s="133">
        <f t="shared" ref="J32" si="17">SUM(J30:J31)</f>
        <v>0</v>
      </c>
      <c r="K32" s="133">
        <f t="shared" si="15"/>
        <v>0</v>
      </c>
      <c r="L32" s="133">
        <f t="shared" si="15"/>
        <v>0</v>
      </c>
      <c r="M32" s="134">
        <f>SUM(B32:L32)</f>
        <v>506</v>
      </c>
    </row>
    <row r="33" spans="1:13" ht="13.5" hidden="1" thickTop="1" x14ac:dyDescent="0.2">
      <c r="A33" s="75"/>
      <c r="B33" s="130"/>
      <c r="C33" s="130"/>
      <c r="D33" s="130"/>
      <c r="E33" s="130"/>
      <c r="F33" s="130"/>
      <c r="G33" s="131"/>
      <c r="H33" s="131"/>
      <c r="I33" s="130"/>
      <c r="J33" s="130"/>
      <c r="K33" s="132"/>
      <c r="L33" s="130"/>
      <c r="M33" s="110"/>
    </row>
    <row r="34" spans="1:13" ht="13.5" hidden="1" thickTop="1" x14ac:dyDescent="0.2">
      <c r="A34" s="75" t="s">
        <v>42</v>
      </c>
      <c r="B34" s="130"/>
      <c r="C34" s="130"/>
      <c r="D34" s="130"/>
      <c r="E34" s="130"/>
      <c r="F34" s="130"/>
      <c r="G34" s="131"/>
      <c r="H34" s="131"/>
      <c r="I34" s="130"/>
      <c r="J34" s="130"/>
      <c r="K34" s="132"/>
      <c r="L34" s="130"/>
      <c r="M34" s="110"/>
    </row>
    <row r="35" spans="1:13" ht="13.5" hidden="1" thickTop="1" x14ac:dyDescent="0.2">
      <c r="A35" s="75" t="s">
        <v>37</v>
      </c>
      <c r="B35" s="130">
        <f>'[3]Shuttle America'!$FU$57</f>
        <v>0</v>
      </c>
      <c r="C35" s="130">
        <f>'[3]Shuttle America_Delta'!$FU$57</f>
        <v>0</v>
      </c>
      <c r="D35" s="130">
        <f>[3]Horizon_AS!$FU$57</f>
        <v>0</v>
      </c>
      <c r="E35" s="130">
        <f>[3]PSA!$FU$57</f>
        <v>0</v>
      </c>
      <c r="F35" s="130">
        <f>[3]Compass!$FU$57</f>
        <v>0</v>
      </c>
      <c r="G35" s="131">
        <f>'[3]Atlantic Southeast'!$FU$57</f>
        <v>0</v>
      </c>
      <c r="H35" s="131">
        <f>'[3]Continental Express'!$FU$57</f>
        <v>0</v>
      </c>
      <c r="I35" s="130">
        <f>'[3]Go Jet_UA'!$AJ$57</f>
        <v>0</v>
      </c>
      <c r="J35" s="130">
        <f>'[3]Go Jet'!$FU$57</f>
        <v>0</v>
      </c>
      <c r="K35" s="132">
        <f>'[3]Air Wisconsin'!BG$57</f>
        <v>0</v>
      </c>
      <c r="L35" s="130">
        <f>[3]MESA!$AJ$57</f>
        <v>0</v>
      </c>
      <c r="M35" s="110">
        <f>SUM(B35:L35)</f>
        <v>0</v>
      </c>
    </row>
    <row r="36" spans="1:13" ht="13.5" hidden="1" thickTop="1" x14ac:dyDescent="0.2">
      <c r="A36" s="75" t="s">
        <v>38</v>
      </c>
      <c r="B36" s="130">
        <f>'[3]Shuttle America'!BG$58</f>
        <v>0</v>
      </c>
      <c r="C36" s="130">
        <f>'[3]Shuttle America_Delta'!BH$58</f>
        <v>0</v>
      </c>
      <c r="D36" s="130">
        <f>[3]Horizon_AS!BF$58</f>
        <v>0</v>
      </c>
      <c r="E36" s="130">
        <f>[3]PSA!BG$58</f>
        <v>0</v>
      </c>
      <c r="F36" s="130">
        <f>[3]Compass!BG$58</f>
        <v>0</v>
      </c>
      <c r="G36" s="131">
        <f>'[3]Atlantic Southeast'!BG$58</f>
        <v>0</v>
      </c>
      <c r="H36" s="131">
        <f>'[3]Continental Express'!BG$58</f>
        <v>0</v>
      </c>
      <c r="I36" s="130">
        <f>'[3]Go Jet_UA'!$AJ$58</f>
        <v>0</v>
      </c>
      <c r="J36" s="130">
        <f>'[3]Go Jet'!BK$58</f>
        <v>0</v>
      </c>
      <c r="K36" s="132">
        <f>'[3]Air Wisconsin'!BG$58</f>
        <v>0</v>
      </c>
      <c r="L36" s="130">
        <f>[3]MESA!$AJ$58</f>
        <v>0</v>
      </c>
      <c r="M36" s="110">
        <f>SUM(B36:L36)</f>
        <v>0</v>
      </c>
    </row>
    <row r="37" spans="1:13" ht="13.5" hidden="1" thickTop="1" x14ac:dyDescent="0.2">
      <c r="A37" s="76" t="s">
        <v>43</v>
      </c>
      <c r="B37" s="141">
        <f>SUM(B35:B36)</f>
        <v>0</v>
      </c>
      <c r="C37" s="141">
        <f>SUM(C35:C36)</f>
        <v>0</v>
      </c>
      <c r="D37" s="141">
        <f t="shared" ref="D37:E37" si="18">SUM(D35:D36)</f>
        <v>0</v>
      </c>
      <c r="E37" s="141">
        <f t="shared" si="18"/>
        <v>0</v>
      </c>
      <c r="F37" s="141">
        <f>SUM(F35:F36)</f>
        <v>0</v>
      </c>
      <c r="G37" s="142">
        <f t="shared" ref="G37:L37" si="19">SUM(G35:G36)</f>
        <v>0</v>
      </c>
      <c r="H37" s="142">
        <f t="shared" si="19"/>
        <v>0</v>
      </c>
      <c r="I37" s="141">
        <f t="shared" si="19"/>
        <v>0</v>
      </c>
      <c r="J37" s="141">
        <f>SUM(J35:J36)</f>
        <v>0</v>
      </c>
      <c r="K37" s="141">
        <f t="shared" si="19"/>
        <v>0</v>
      </c>
      <c r="L37" s="141">
        <f t="shared" si="19"/>
        <v>0</v>
      </c>
      <c r="M37" s="143">
        <f>SUM(B37:L37)</f>
        <v>0</v>
      </c>
    </row>
    <row r="38" spans="1:13" ht="6.75" customHeight="1" thickTop="1" x14ac:dyDescent="0.2">
      <c r="A38" s="75"/>
      <c r="B38" s="130"/>
      <c r="C38" s="130"/>
      <c r="D38" s="130"/>
      <c r="E38" s="130"/>
      <c r="F38" s="130"/>
      <c r="G38" s="131"/>
      <c r="H38" s="131"/>
      <c r="I38" s="130"/>
      <c r="J38" s="130"/>
      <c r="K38" s="132"/>
      <c r="L38" s="130"/>
      <c r="M38" s="110"/>
    </row>
    <row r="39" spans="1:13" x14ac:dyDescent="0.2">
      <c r="A39" s="75" t="s">
        <v>44</v>
      </c>
      <c r="B39" s="130"/>
      <c r="C39" s="130"/>
      <c r="D39" s="130"/>
      <c r="E39" s="130"/>
      <c r="F39" s="130"/>
      <c r="G39" s="131"/>
      <c r="H39" s="131"/>
      <c r="I39" s="130"/>
      <c r="J39" s="130"/>
      <c r="K39" s="132"/>
      <c r="L39" s="130"/>
      <c r="M39" s="110"/>
    </row>
    <row r="40" spans="1:13" x14ac:dyDescent="0.2">
      <c r="A40" s="75" t="s">
        <v>45</v>
      </c>
      <c r="B40" s="130">
        <f t="shared" ref="B40:L40" si="20">SUM(B35,B30,B25)</f>
        <v>0</v>
      </c>
      <c r="C40" s="130">
        <f>SUM(C35,C30,C25)</f>
        <v>0</v>
      </c>
      <c r="D40" s="130">
        <f t="shared" ref="D40:E41" si="21">SUM(D35,D30,D25)</f>
        <v>7850</v>
      </c>
      <c r="E40" s="130">
        <f t="shared" si="21"/>
        <v>0</v>
      </c>
      <c r="F40" s="130">
        <f t="shared" si="20"/>
        <v>0</v>
      </c>
      <c r="G40" s="130">
        <f t="shared" si="20"/>
        <v>0</v>
      </c>
      <c r="H40" s="130">
        <f t="shared" si="20"/>
        <v>0</v>
      </c>
      <c r="I40" s="130">
        <f>SUM(I35,I30,I25)</f>
        <v>0</v>
      </c>
      <c r="J40" s="130">
        <f t="shared" ref="J40" si="22">SUM(J35,J30,J25)</f>
        <v>673</v>
      </c>
      <c r="K40" s="130">
        <f t="shared" si="20"/>
        <v>0</v>
      </c>
      <c r="L40" s="130">
        <f t="shared" si="20"/>
        <v>0</v>
      </c>
      <c r="M40" s="110">
        <f>SUM(B40:L40)</f>
        <v>8523</v>
      </c>
    </row>
    <row r="41" spans="1:13" x14ac:dyDescent="0.2">
      <c r="A41" s="75" t="s">
        <v>38</v>
      </c>
      <c r="B41" s="130">
        <f>SUM(B36,B31,B26)</f>
        <v>0</v>
      </c>
      <c r="C41" s="130">
        <f>SUM(C36,C31,C26)</f>
        <v>0</v>
      </c>
      <c r="D41" s="130">
        <f t="shared" si="21"/>
        <v>0</v>
      </c>
      <c r="E41" s="130">
        <f t="shared" si="21"/>
        <v>0</v>
      </c>
      <c r="F41" s="130">
        <f t="shared" ref="F41:L41" si="23">SUM(F36,F31,F26)</f>
        <v>0</v>
      </c>
      <c r="G41" s="130">
        <f t="shared" si="23"/>
        <v>0</v>
      </c>
      <c r="H41" s="130">
        <f t="shared" si="23"/>
        <v>0</v>
      </c>
      <c r="I41" s="130">
        <f>SUM(I36,I31,I26)</f>
        <v>0</v>
      </c>
      <c r="J41" s="130">
        <f t="shared" ref="J41" si="24">SUM(J36,J31,J26)</f>
        <v>0</v>
      </c>
      <c r="K41" s="130">
        <f t="shared" si="23"/>
        <v>0</v>
      </c>
      <c r="L41" s="130">
        <f t="shared" si="23"/>
        <v>0</v>
      </c>
      <c r="M41" s="110">
        <f>SUM(B41:L41)</f>
        <v>0</v>
      </c>
    </row>
    <row r="42" spans="1:13" ht="15" thickBot="1" x14ac:dyDescent="0.25">
      <c r="A42" s="74" t="s">
        <v>46</v>
      </c>
      <c r="B42" s="136">
        <f>SUM(B40:B41)</f>
        <v>0</v>
      </c>
      <c r="C42" s="136">
        <f>SUM(C40:C41)</f>
        <v>0</v>
      </c>
      <c r="D42" s="136">
        <f t="shared" ref="D42:E42" si="25">SUM(D40:D41)</f>
        <v>7850</v>
      </c>
      <c r="E42" s="136">
        <f t="shared" si="25"/>
        <v>0</v>
      </c>
      <c r="F42" s="136">
        <f t="shared" ref="F42:L42" si="26">SUM(F40:F41)</f>
        <v>0</v>
      </c>
      <c r="G42" s="136">
        <f t="shared" si="26"/>
        <v>0</v>
      </c>
      <c r="H42" s="136">
        <f t="shared" si="26"/>
        <v>0</v>
      </c>
      <c r="I42" s="136">
        <f t="shared" si="26"/>
        <v>0</v>
      </c>
      <c r="J42" s="136">
        <f t="shared" ref="J42" si="27">SUM(J40:J41)</f>
        <v>673</v>
      </c>
      <c r="K42" s="136">
        <f t="shared" si="26"/>
        <v>0</v>
      </c>
      <c r="L42" s="136">
        <f t="shared" si="26"/>
        <v>0</v>
      </c>
      <c r="M42" s="137">
        <f>SUM(B42:L42)</f>
        <v>8523</v>
      </c>
    </row>
    <row r="43" spans="1:13" ht="4.5" customHeight="1" x14ac:dyDescent="0.2"/>
    <row r="44" spans="1:13" hidden="1" x14ac:dyDescent="0.2">
      <c r="A44" s="323" t="s">
        <v>127</v>
      </c>
      <c r="F44" s="322">
        <f>[3]Compass!BG$70+[3]Compass!BG$73</f>
        <v>27782</v>
      </c>
      <c r="G44" s="308"/>
      <c r="J44" s="322">
        <f>'[3]Go Jet'!BK$70+'[3]Go Jet'!BK$73</f>
        <v>0</v>
      </c>
      <c r="M44" s="310">
        <f>SUM(F44:F44)</f>
        <v>27782</v>
      </c>
    </row>
    <row r="45" spans="1:13" hidden="1" x14ac:dyDescent="0.2">
      <c r="A45" s="323" t="s">
        <v>128</v>
      </c>
      <c r="F45" s="322">
        <f>[3]Compass!BG$71+[3]Compass!BG$74</f>
        <v>47176</v>
      </c>
      <c r="G45" s="326"/>
      <c r="J45" s="322">
        <f>'[3]Go Jet'!BK$71+'[3]Go Jet'!BK$74</f>
        <v>0</v>
      </c>
      <c r="M45" s="310">
        <f>SUM(F45:F45)</f>
        <v>47176</v>
      </c>
    </row>
    <row r="46" spans="1:13" x14ac:dyDescent="0.2">
      <c r="A46" s="375" t="s">
        <v>124</v>
      </c>
      <c r="C46" s="322">
        <f>'[3]Shuttle America_Delta'!$FU$70+'[3]Shuttle America_Delta'!$FU$73</f>
        <v>31</v>
      </c>
      <c r="D46" s="5"/>
      <c r="F46" s="322">
        <f>[3]Compass!$FU$70+[3]Compass!$FU$73</f>
        <v>0</v>
      </c>
      <c r="G46" s="322">
        <f>'[3]Atlantic Southeast'!$FU$70+'[3]Atlantic Southeast'!$FU$73</f>
        <v>0</v>
      </c>
      <c r="J46" s="322">
        <f>'[3]Go Jet'!$FU$70+'[3]Go Jet'!$FU$73</f>
        <v>6374</v>
      </c>
      <c r="M46" s="388">
        <f>SUM(B46:L46)</f>
        <v>6405</v>
      </c>
    </row>
    <row r="47" spans="1:13" x14ac:dyDescent="0.2">
      <c r="A47" s="389" t="s">
        <v>125</v>
      </c>
      <c r="C47" s="322">
        <f>'[3]Shuttle America_Delta'!$FU$71+'[3]Shuttle America_Delta'!$FU$74</f>
        <v>1</v>
      </c>
      <c r="D47" s="5"/>
      <c r="F47" s="322">
        <f>[3]Compass!$FU$71+[3]Compass!$FU$74</f>
        <v>0</v>
      </c>
      <c r="G47" s="322">
        <f>'[3]Atlantic Southeast'!$FU$71+'[3]Atlantic Southeast'!$FU$74</f>
        <v>0</v>
      </c>
      <c r="J47" s="322">
        <f>'[3]Go Jet'!$FU$71+'[3]Go Jet'!$FU$74</f>
        <v>8113</v>
      </c>
      <c r="M47" s="388">
        <f>SUM(B47:L47)</f>
        <v>8114</v>
      </c>
    </row>
  </sheetData>
  <phoneticPr fontId="6" type="noConversion"/>
  <printOptions horizontalCentered="1"/>
  <pageMargins left="0.75" right="0.75" top="0.92" bottom="1" header="0.5" footer="0.5"/>
  <pageSetup scale="80" orientation="landscape" r:id="rId1"/>
  <headerFooter alignWithMargins="0">
    <oddHeader>&amp;L
Schedule 5
&amp;CMinneapolis-St. Paul International Airport
&amp;"Arial,Bold"Other Regional
August 2018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10" zoomScale="115" zoomScaleNormal="115" workbookViewId="0">
      <selection activeCell="M28" sqref="M28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78">
        <v>43313</v>
      </c>
      <c r="B2" s="180" t="s">
        <v>119</v>
      </c>
      <c r="C2" s="180" t="s">
        <v>157</v>
      </c>
      <c r="D2" s="102" t="s">
        <v>78</v>
      </c>
      <c r="E2" s="102" t="s">
        <v>158</v>
      </c>
      <c r="F2" s="180" t="s">
        <v>133</v>
      </c>
      <c r="G2" s="174" t="s">
        <v>79</v>
      </c>
    </row>
    <row r="3" spans="1:17" x14ac:dyDescent="0.2">
      <c r="A3" s="278" t="s">
        <v>3</v>
      </c>
      <c r="B3" s="186"/>
      <c r="C3" s="185"/>
      <c r="D3" s="185"/>
      <c r="E3" s="185"/>
      <c r="F3" s="185"/>
      <c r="G3" s="269"/>
    </row>
    <row r="4" spans="1:17" x14ac:dyDescent="0.2">
      <c r="A4" s="62" t="s">
        <v>29</v>
      </c>
      <c r="B4" s="417"/>
      <c r="C4" s="184"/>
      <c r="D4" s="184"/>
      <c r="E4" s="184"/>
      <c r="F4" s="184"/>
      <c r="G4" s="254"/>
    </row>
    <row r="5" spans="1:17" x14ac:dyDescent="0.2">
      <c r="A5" s="62" t="s">
        <v>30</v>
      </c>
      <c r="B5" s="417">
        <f>'[3]Charter Misc'!$FU$22</f>
        <v>159</v>
      </c>
      <c r="C5" s="184">
        <f>[3]Ryan!$FU$22</f>
        <v>0</v>
      </c>
      <c r="D5" s="184">
        <f>'[3]Charter Misc'!$FU$32</f>
        <v>0</v>
      </c>
      <c r="E5" s="184">
        <f>[3]Omni!$FU$32</f>
        <v>0</v>
      </c>
      <c r="F5" s="184">
        <f>[3]Xtra!$FU$32+[3]Xtra!$FU$22</f>
        <v>0</v>
      </c>
      <c r="G5" s="339">
        <f>SUM(B5:F5)</f>
        <v>159</v>
      </c>
    </row>
    <row r="6" spans="1:17" x14ac:dyDescent="0.2">
      <c r="A6" s="62" t="s">
        <v>31</v>
      </c>
      <c r="B6" s="418">
        <f>'[3]Charter Misc'!$FU$23</f>
        <v>159</v>
      </c>
      <c r="C6" s="187">
        <f>[3]Ryan!$FU$23</f>
        <v>0</v>
      </c>
      <c r="D6" s="187">
        <f>'[3]Charter Misc'!$FU$33</f>
        <v>0</v>
      </c>
      <c r="E6" s="187">
        <f>[3]Omni!$FU$33</f>
        <v>0</v>
      </c>
      <c r="F6" s="187">
        <f>[3]Xtra!$FU$33+[3]Xtra!$FU$23</f>
        <v>0</v>
      </c>
      <c r="G6" s="338">
        <f>SUM(B6:F6)</f>
        <v>159</v>
      </c>
    </row>
    <row r="7" spans="1:17" ht="15.75" thickBot="1" x14ac:dyDescent="0.3">
      <c r="A7" s="183" t="s">
        <v>7</v>
      </c>
      <c r="B7" s="419">
        <f>SUM(B5:B6)</f>
        <v>318</v>
      </c>
      <c r="C7" s="298">
        <f>SUM(C5:C6)</f>
        <v>0</v>
      </c>
      <c r="D7" s="298">
        <f>SUM(D5:D6)</f>
        <v>0</v>
      </c>
      <c r="E7" s="298">
        <f>SUM(E5:E6)</f>
        <v>0</v>
      </c>
      <c r="F7" s="298">
        <f>SUM(F5:F6)</f>
        <v>0</v>
      </c>
      <c r="G7" s="299">
        <f>SUM(B7:F7)</f>
        <v>318</v>
      </c>
    </row>
    <row r="8" spans="1:17" ht="13.5" thickBot="1" x14ac:dyDescent="0.25"/>
    <row r="9" spans="1:17" x14ac:dyDescent="0.2">
      <c r="A9" s="181" t="s">
        <v>9</v>
      </c>
      <c r="B9" s="420"/>
      <c r="C9" s="45"/>
      <c r="D9" s="45"/>
      <c r="E9" s="45"/>
      <c r="F9" s="45"/>
      <c r="G9" s="57"/>
    </row>
    <row r="10" spans="1:17" x14ac:dyDescent="0.2">
      <c r="A10" s="182" t="s">
        <v>80</v>
      </c>
      <c r="B10" s="417">
        <f>'[3]Charter Misc'!$FU$4</f>
        <v>1</v>
      </c>
      <c r="C10" s="184">
        <f>[3]Ryan!$FU$4</f>
        <v>0</v>
      </c>
      <c r="D10" s="184">
        <f>'[3]Charter Misc'!$FU$15</f>
        <v>0</v>
      </c>
      <c r="E10" s="184">
        <f>[3]Omni!$FU$15</f>
        <v>0</v>
      </c>
      <c r="F10" s="184">
        <f>[3]Xtra!$FU$15+[3]Xtra!$FU$4</f>
        <v>0</v>
      </c>
      <c r="G10" s="338">
        <f>SUM(B10:F10)</f>
        <v>1</v>
      </c>
    </row>
    <row r="11" spans="1:17" x14ac:dyDescent="0.2">
      <c r="A11" s="182" t="s">
        <v>81</v>
      </c>
      <c r="B11" s="417">
        <f>'[3]Charter Misc'!$FU$5</f>
        <v>1</v>
      </c>
      <c r="C11" s="184">
        <f>[3]Ryan!$FU$5</f>
        <v>0</v>
      </c>
      <c r="D11" s="184">
        <f>'[3]Charter Misc'!$FU$16</f>
        <v>0</v>
      </c>
      <c r="E11" s="184">
        <f>[3]Omni!$FU$16</f>
        <v>0</v>
      </c>
      <c r="F11" s="184">
        <f>[3]Xtra!$FU$16+[3]Xtra!$FU$5</f>
        <v>0</v>
      </c>
      <c r="G11" s="338">
        <f>SUM(B11:F11)</f>
        <v>1</v>
      </c>
    </row>
    <row r="12" spans="1:17" ht="15.75" thickBot="1" x14ac:dyDescent="0.3">
      <c r="A12" s="277" t="s">
        <v>28</v>
      </c>
      <c r="B12" s="421">
        <f>SUM(B10:B11)</f>
        <v>2</v>
      </c>
      <c r="C12" s="300">
        <f>SUM(C10:C11)</f>
        <v>0</v>
      </c>
      <c r="D12" s="300">
        <f>SUM(D10:D11)</f>
        <v>0</v>
      </c>
      <c r="E12" s="300">
        <f>SUM(E10:E11)</f>
        <v>0</v>
      </c>
      <c r="F12" s="300">
        <f>SUM(F10:F11)</f>
        <v>0</v>
      </c>
      <c r="G12" s="301">
        <f>SUM(B12:F12)</f>
        <v>2</v>
      </c>
      <c r="Q12" s="130"/>
    </row>
    <row r="17" spans="1:16" x14ac:dyDescent="0.2">
      <c r="B17" s="523" t="s">
        <v>155</v>
      </c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5"/>
    </row>
    <row r="18" spans="1:16" ht="13.5" thickBot="1" x14ac:dyDescent="0.25">
      <c r="A18" s="317"/>
      <c r="E18" s="226"/>
      <c r="G18" s="226"/>
      <c r="H18" s="226"/>
      <c r="L18" s="233"/>
      <c r="N18" s="234"/>
    </row>
    <row r="19" spans="1:16" ht="13.5" customHeight="1" thickBot="1" x14ac:dyDescent="0.25">
      <c r="A19" s="403"/>
      <c r="B19" s="526" t="s">
        <v>121</v>
      </c>
      <c r="C19" s="527"/>
      <c r="D19" s="527"/>
      <c r="E19" s="528"/>
      <c r="G19" s="526" t="s">
        <v>122</v>
      </c>
      <c r="H19" s="529"/>
      <c r="I19" s="529"/>
      <c r="J19" s="530"/>
      <c r="L19" s="531" t="s">
        <v>123</v>
      </c>
      <c r="M19" s="532"/>
      <c r="N19" s="532"/>
      <c r="O19" s="533"/>
    </row>
    <row r="20" spans="1:16" ht="13.5" thickBot="1" x14ac:dyDescent="0.25">
      <c r="A20" s="237" t="s">
        <v>102</v>
      </c>
      <c r="B20" s="242" t="s">
        <v>103</v>
      </c>
      <c r="C20" s="8" t="s">
        <v>104</v>
      </c>
      <c r="D20" s="8" t="s">
        <v>226</v>
      </c>
      <c r="E20" s="8" t="s">
        <v>190</v>
      </c>
      <c r="F20" s="243" t="s">
        <v>99</v>
      </c>
      <c r="G20" s="8" t="s">
        <v>103</v>
      </c>
      <c r="H20" s="8" t="s">
        <v>104</v>
      </c>
      <c r="I20" s="500" t="s">
        <v>226</v>
      </c>
      <c r="J20" s="500" t="s">
        <v>190</v>
      </c>
      <c r="K20" s="243" t="s">
        <v>99</v>
      </c>
      <c r="L20" s="242" t="s">
        <v>103</v>
      </c>
      <c r="M20" s="236" t="s">
        <v>104</v>
      </c>
      <c r="N20" s="500" t="s">
        <v>226</v>
      </c>
      <c r="O20" s="500" t="s">
        <v>190</v>
      </c>
      <c r="P20" s="243" t="s">
        <v>99</v>
      </c>
    </row>
    <row r="21" spans="1:16" ht="14.1" customHeight="1" x14ac:dyDescent="0.2">
      <c r="A21" s="246" t="s">
        <v>105</v>
      </c>
      <c r="B21" s="510">
        <f>+[4]Charter!$B$21</f>
        <v>137179</v>
      </c>
      <c r="C21" s="511">
        <f>+[4]Charter!$C$21</f>
        <v>131658</v>
      </c>
      <c r="D21" s="508">
        <f t="shared" ref="D21:D32" si="0">SUM(B21:C21)</f>
        <v>268837</v>
      </c>
      <c r="E21" s="335">
        <f>[5]Charter!$D$21</f>
        <v>256747</v>
      </c>
      <c r="F21" s="337">
        <f t="shared" ref="F21:F32" si="1">(D21-E21)/E21</f>
        <v>4.7089157809049376E-2</v>
      </c>
      <c r="G21" s="510">
        <f>+[4]Charter!$G$21</f>
        <v>1202691</v>
      </c>
      <c r="H21" s="511">
        <f>+[4]Charter!$H$21</f>
        <v>1213282</v>
      </c>
      <c r="I21" s="508">
        <f t="shared" ref="I21:I26" si="2">SUM(G21:H21)</f>
        <v>2415973</v>
      </c>
      <c r="J21" s="335">
        <f>[5]Charter!$I$21</f>
        <v>2435679</v>
      </c>
      <c r="K21" s="247">
        <f t="shared" ref="K21:K32" si="3">(I21-J21)/J21</f>
        <v>-8.0905570890088558E-3</v>
      </c>
      <c r="L21" s="510">
        <f>+[4]Charter!$L$21</f>
        <v>1339870</v>
      </c>
      <c r="M21" s="511">
        <f>+[4]Charter!$M$21</f>
        <v>1344940</v>
      </c>
      <c r="N21" s="508">
        <f t="shared" ref="N21:N32" si="4">SUM(L21:M21)</f>
        <v>2684810</v>
      </c>
      <c r="O21" s="335">
        <f>[5]Charter!$N$21</f>
        <v>2692426</v>
      </c>
      <c r="P21" s="247">
        <f>(N21-O21)/O21</f>
        <v>-2.8286756999078154E-3</v>
      </c>
    </row>
    <row r="22" spans="1:16" ht="14.1" customHeight="1" x14ac:dyDescent="0.2">
      <c r="A22" s="248" t="s">
        <v>106</v>
      </c>
      <c r="B22" s="331">
        <f>+[6]Charter!$B22</f>
        <v>141643</v>
      </c>
      <c r="C22" s="333">
        <f>+[6]Charter!$C22</f>
        <v>143472</v>
      </c>
      <c r="D22" s="507">
        <f t="shared" ref="D22" si="5">SUM(B22:C22)</f>
        <v>285115</v>
      </c>
      <c r="E22" s="336">
        <f>[7]Charter!D22</f>
        <v>272463</v>
      </c>
      <c r="F22" s="334">
        <f t="shared" si="1"/>
        <v>4.6435662823943069E-2</v>
      </c>
      <c r="G22" s="506">
        <f t="shared" ref="G22:G23" si="6">L22-B22</f>
        <v>1192631</v>
      </c>
      <c r="H22" s="507">
        <f t="shared" ref="H22:H23" si="7">M22-C22</f>
        <v>1233627</v>
      </c>
      <c r="I22" s="507">
        <f t="shared" si="2"/>
        <v>2426258</v>
      </c>
      <c r="J22" s="336">
        <f>[7]Charter!I22</f>
        <v>2337959</v>
      </c>
      <c r="K22" s="250">
        <f t="shared" si="3"/>
        <v>3.7767557087185877E-2</v>
      </c>
      <c r="L22" s="331">
        <f>+[6]Charter!$L22</f>
        <v>1334274</v>
      </c>
      <c r="M22" s="333">
        <f>+[6]Charter!$M22</f>
        <v>1377099</v>
      </c>
      <c r="N22" s="507">
        <f t="shared" ref="N22" si="8">SUM(L22:M22)</f>
        <v>2711373</v>
      </c>
      <c r="O22" s="336">
        <f>[7]Charter!N22</f>
        <v>2610422</v>
      </c>
      <c r="P22" s="249">
        <f t="shared" ref="P22:P32" si="9">(N22-O22)/O22</f>
        <v>3.8672291300027355E-2</v>
      </c>
    </row>
    <row r="23" spans="1:16" ht="14.1" customHeight="1" x14ac:dyDescent="0.2">
      <c r="A23" s="248" t="s">
        <v>107</v>
      </c>
      <c r="B23" s="331">
        <f>+[8]Charter!$B23</f>
        <v>183302</v>
      </c>
      <c r="C23" s="333">
        <f>+[8]Charter!$C23</f>
        <v>184526</v>
      </c>
      <c r="D23" s="332">
        <f t="shared" si="0"/>
        <v>367828</v>
      </c>
      <c r="E23" s="336">
        <f>[9]Charter!D23</f>
        <v>348451</v>
      </c>
      <c r="F23" s="249">
        <f t="shared" si="1"/>
        <v>5.5608966540489191E-2</v>
      </c>
      <c r="G23" s="506">
        <f t="shared" si="6"/>
        <v>1511202</v>
      </c>
      <c r="H23" s="507">
        <f t="shared" si="7"/>
        <v>1531837</v>
      </c>
      <c r="I23" s="332">
        <f t="shared" si="2"/>
        <v>3043039</v>
      </c>
      <c r="J23" s="336">
        <f>[9]Charter!I23</f>
        <v>3083230</v>
      </c>
      <c r="K23" s="250">
        <f t="shared" si="3"/>
        <v>-1.3035355779490988E-2</v>
      </c>
      <c r="L23" s="331">
        <f>+[8]Charter!$L23</f>
        <v>1694504</v>
      </c>
      <c r="M23" s="333">
        <f>+[8]Charter!$M23</f>
        <v>1716363</v>
      </c>
      <c r="N23" s="332">
        <f t="shared" si="4"/>
        <v>3410867</v>
      </c>
      <c r="O23" s="336">
        <f>[9]Charter!N23</f>
        <v>3431681</v>
      </c>
      <c r="P23" s="249">
        <f t="shared" si="9"/>
        <v>-6.0652490718105792E-3</v>
      </c>
    </row>
    <row r="24" spans="1:16" ht="14.1" customHeight="1" x14ac:dyDescent="0.2">
      <c r="A24" s="248" t="s">
        <v>108</v>
      </c>
      <c r="B24" s="331">
        <f>+[10]Charter!$B24</f>
        <v>130702</v>
      </c>
      <c r="C24" s="333">
        <f>+[10]Charter!$C24</f>
        <v>111716</v>
      </c>
      <c r="D24" s="332">
        <f t="shared" ref="D24" si="10">SUM(B24:C24)</f>
        <v>242418</v>
      </c>
      <c r="E24" s="336">
        <f>[11]Charter!D24</f>
        <v>251391</v>
      </c>
      <c r="F24" s="249">
        <f t="shared" si="1"/>
        <v>-3.5693401911762949E-2</v>
      </c>
      <c r="G24" s="506">
        <f t="shared" ref="G24:H26" si="11">L24-B24</f>
        <v>1413434</v>
      </c>
      <c r="H24" s="507">
        <f t="shared" si="11"/>
        <v>1337410</v>
      </c>
      <c r="I24" s="332">
        <f t="shared" si="2"/>
        <v>2750844</v>
      </c>
      <c r="J24" s="336">
        <f>[11]Charter!I24</f>
        <v>2843673</v>
      </c>
      <c r="K24" s="250">
        <f t="shared" si="3"/>
        <v>-3.2644048735561371E-2</v>
      </c>
      <c r="L24" s="331">
        <f>+[10]Charter!$L24</f>
        <v>1544136</v>
      </c>
      <c r="M24" s="333">
        <f>+[10]Charter!$M24</f>
        <v>1449126</v>
      </c>
      <c r="N24" s="332">
        <f t="shared" ref="N24" si="12">SUM(L24:M24)</f>
        <v>2993262</v>
      </c>
      <c r="O24" s="336">
        <f>[11]Charter!N24</f>
        <v>3095064</v>
      </c>
      <c r="P24" s="249">
        <f t="shared" si="9"/>
        <v>-3.2891726956211564E-2</v>
      </c>
    </row>
    <row r="25" spans="1:16" ht="14.1" customHeight="1" x14ac:dyDescent="0.2">
      <c r="A25" s="235" t="s">
        <v>76</v>
      </c>
      <c r="B25" s="331">
        <f>+[12]Charter!$B25</f>
        <v>128052</v>
      </c>
      <c r="C25" s="333">
        <f>+[12]Charter!$C25</f>
        <v>118282</v>
      </c>
      <c r="D25" s="332">
        <f t="shared" ref="D25" si="13">SUM(B25:C25)</f>
        <v>246334</v>
      </c>
      <c r="E25" s="336">
        <f>[13]Charter!D25</f>
        <v>225442</v>
      </c>
      <c r="F25" s="238">
        <f t="shared" si="1"/>
        <v>9.2671285740900097E-2</v>
      </c>
      <c r="G25" s="506">
        <f t="shared" si="11"/>
        <v>1504357</v>
      </c>
      <c r="H25" s="507">
        <f t="shared" si="11"/>
        <v>1476799</v>
      </c>
      <c r="I25" s="332">
        <f t="shared" si="2"/>
        <v>2981156</v>
      </c>
      <c r="J25" s="336">
        <f>[13]Charter!I25</f>
        <v>2980236</v>
      </c>
      <c r="K25" s="244">
        <f t="shared" si="3"/>
        <v>3.0870038480174052E-4</v>
      </c>
      <c r="L25" s="331">
        <f>+[12]Charter!$L25</f>
        <v>1632409</v>
      </c>
      <c r="M25" s="333">
        <f>+[12]Charter!$M25</f>
        <v>1595081</v>
      </c>
      <c r="N25" s="332">
        <f t="shared" ref="N25" si="14">SUM(L25:M25)</f>
        <v>3227490</v>
      </c>
      <c r="O25" s="336">
        <f>[13]Charter!N25</f>
        <v>3205678</v>
      </c>
      <c r="P25" s="238">
        <f t="shared" si="9"/>
        <v>6.8041768387217929E-3</v>
      </c>
    </row>
    <row r="26" spans="1:16" ht="14.1" customHeight="1" x14ac:dyDescent="0.2">
      <c r="A26" s="248" t="s">
        <v>109</v>
      </c>
      <c r="B26" s="331">
        <f>+[14]Charter!$B26</f>
        <v>128004</v>
      </c>
      <c r="C26" s="333">
        <f>+[14]Charter!$C26</f>
        <v>132185</v>
      </c>
      <c r="D26" s="332">
        <f t="shared" ref="D26" si="15">SUM(B26:C26)</f>
        <v>260189</v>
      </c>
      <c r="E26" s="336">
        <f>[15]Charter!D26</f>
        <v>248451</v>
      </c>
      <c r="F26" s="249">
        <f t="shared" si="1"/>
        <v>4.7244728336774656E-2</v>
      </c>
      <c r="G26" s="506">
        <f t="shared" si="11"/>
        <v>1634622</v>
      </c>
      <c r="H26" s="507">
        <f t="shared" si="11"/>
        <v>1620854</v>
      </c>
      <c r="I26" s="332">
        <f t="shared" si="2"/>
        <v>3255476</v>
      </c>
      <c r="J26" s="336">
        <f>[15]Charter!I26</f>
        <v>3247151</v>
      </c>
      <c r="K26" s="250">
        <f t="shared" si="3"/>
        <v>2.5637859157150375E-3</v>
      </c>
      <c r="L26" s="331">
        <f>+[14]Charter!$L26</f>
        <v>1762626</v>
      </c>
      <c r="M26" s="333">
        <f>+[14]Charter!$M26</f>
        <v>1753039</v>
      </c>
      <c r="N26" s="332">
        <f t="shared" ref="N26" si="16">SUM(L26:M26)</f>
        <v>3515665</v>
      </c>
      <c r="O26" s="336">
        <f>[15]Charter!N26</f>
        <v>3495602</v>
      </c>
      <c r="P26" s="249">
        <f t="shared" si="9"/>
        <v>5.7394978032396134E-3</v>
      </c>
    </row>
    <row r="27" spans="1:16" ht="14.1" customHeight="1" x14ac:dyDescent="0.2">
      <c r="A27" s="235" t="s">
        <v>110</v>
      </c>
      <c r="B27" s="331">
        <f>+[2]Charter!$B27</f>
        <v>139361</v>
      </c>
      <c r="C27" s="333">
        <f>+[2]Charter!$C27</f>
        <v>126713</v>
      </c>
      <c r="D27" s="332">
        <f t="shared" ref="D27" si="17">SUM(B27:C27)</f>
        <v>266074</v>
      </c>
      <c r="E27" s="336">
        <f>[16]Charter!D27</f>
        <v>263710</v>
      </c>
      <c r="F27" s="238">
        <f t="shared" si="1"/>
        <v>8.9643927041067831E-3</v>
      </c>
      <c r="G27" s="506">
        <f t="shared" ref="G27" si="18">L27-B27</f>
        <v>1694875</v>
      </c>
      <c r="H27" s="507">
        <f t="shared" ref="H27" si="19">M27-C27</f>
        <v>1704059</v>
      </c>
      <c r="I27" s="332">
        <f t="shared" ref="I27" si="20">SUM(G27:H27)</f>
        <v>3398934</v>
      </c>
      <c r="J27" s="336">
        <f>[16]Charter!I27</f>
        <v>3397860</v>
      </c>
      <c r="K27" s="244">
        <f t="shared" si="3"/>
        <v>3.1608129822888523E-4</v>
      </c>
      <c r="L27" s="331">
        <f>+[2]Charter!$L27</f>
        <v>1834236</v>
      </c>
      <c r="M27" s="333">
        <f>+[2]Charter!$M27</f>
        <v>1830772</v>
      </c>
      <c r="N27" s="332">
        <f t="shared" ref="N27" si="21">SUM(L27:M27)</f>
        <v>3665008</v>
      </c>
      <c r="O27" s="336">
        <f>[16]Charter!N27</f>
        <v>3661570</v>
      </c>
      <c r="P27" s="238">
        <f t="shared" si="9"/>
        <v>9.3894149231067551E-4</v>
      </c>
    </row>
    <row r="28" spans="1:16" ht="14.1" customHeight="1" x14ac:dyDescent="0.2">
      <c r="A28" s="248" t="s">
        <v>111</v>
      </c>
      <c r="B28" s="506">
        <f>'Intl Detail'!$P$4+'Intl Detail'!$P$9</f>
        <v>139687</v>
      </c>
      <c r="C28" s="507">
        <f>'Intl Detail'!$P$5+'Intl Detail'!$P$10</f>
        <v>136180</v>
      </c>
      <c r="D28" s="332">
        <f t="shared" ref="D28" si="22">SUM(B28:C28)</f>
        <v>275867</v>
      </c>
      <c r="E28" s="336">
        <f>[1]Charter!D28</f>
        <v>267158</v>
      </c>
      <c r="F28" s="249">
        <f t="shared" si="1"/>
        <v>3.2598686919351097E-2</v>
      </c>
      <c r="G28" s="506">
        <f t="shared" ref="G28" si="23">L28-B28</f>
        <v>1736320</v>
      </c>
      <c r="H28" s="507">
        <f t="shared" ref="H28" si="24">M28-C28</f>
        <v>1726918</v>
      </c>
      <c r="I28" s="332">
        <f t="shared" ref="I28" si="25">SUM(G28:H28)</f>
        <v>3463238</v>
      </c>
      <c r="J28" s="336">
        <f>[1]Charter!I28</f>
        <v>3401041</v>
      </c>
      <c r="K28" s="250">
        <f t="shared" si="3"/>
        <v>1.8287636050256378E-2</v>
      </c>
      <c r="L28" s="506">
        <f>'Monthly Summary'!$B$11</f>
        <v>1876007</v>
      </c>
      <c r="M28" s="507">
        <f>'Monthly Summary'!$C$11</f>
        <v>1863098</v>
      </c>
      <c r="N28" s="332">
        <f t="shared" ref="N28" si="26">SUM(L28:M28)</f>
        <v>3739105</v>
      </c>
      <c r="O28" s="336">
        <f>[1]Charter!N28</f>
        <v>3668199</v>
      </c>
      <c r="P28" s="249">
        <f t="shared" si="9"/>
        <v>1.932992184993235E-2</v>
      </c>
    </row>
    <row r="29" spans="1:16" ht="14.1" customHeight="1" x14ac:dyDescent="0.2">
      <c r="A29" s="235" t="s">
        <v>112</v>
      </c>
      <c r="B29" s="331"/>
      <c r="C29" s="333"/>
      <c r="D29" s="332">
        <f t="shared" si="0"/>
        <v>0</v>
      </c>
      <c r="E29" s="336"/>
      <c r="F29" s="238" t="e">
        <f t="shared" si="1"/>
        <v>#DIV/0!</v>
      </c>
      <c r="G29" s="331"/>
      <c r="H29" s="333"/>
      <c r="I29" s="332">
        <f t="shared" ref="I29:I32" si="27">SUM(G29:H29)</f>
        <v>0</v>
      </c>
      <c r="J29" s="336"/>
      <c r="K29" s="244" t="e">
        <f t="shared" si="3"/>
        <v>#DIV/0!</v>
      </c>
      <c r="L29" s="331"/>
      <c r="M29" s="333"/>
      <c r="N29" s="332">
        <f t="shared" si="4"/>
        <v>0</v>
      </c>
      <c r="O29" s="336"/>
      <c r="P29" s="238" t="e">
        <f t="shared" si="9"/>
        <v>#DIV/0!</v>
      </c>
    </row>
    <row r="30" spans="1:16" ht="14.1" customHeight="1" x14ac:dyDescent="0.2">
      <c r="A30" s="248" t="s">
        <v>113</v>
      </c>
      <c r="B30" s="331"/>
      <c r="C30" s="333"/>
      <c r="D30" s="332">
        <f>SUM(B30:C30)</f>
        <v>0</v>
      </c>
      <c r="E30" s="336"/>
      <c r="F30" s="249" t="e">
        <f t="shared" si="1"/>
        <v>#DIV/0!</v>
      </c>
      <c r="G30" s="331"/>
      <c r="H30" s="333"/>
      <c r="I30" s="332">
        <f>SUM(G30:H30)</f>
        <v>0</v>
      </c>
      <c r="J30" s="336"/>
      <c r="K30" s="250" t="e">
        <f t="shared" si="3"/>
        <v>#DIV/0!</v>
      </c>
      <c r="L30" s="331"/>
      <c r="M30" s="333"/>
      <c r="N30" s="332">
        <f>SUM(L30:M30)</f>
        <v>0</v>
      </c>
      <c r="O30" s="336"/>
      <c r="P30" s="249" t="e">
        <f t="shared" si="9"/>
        <v>#DIV/0!</v>
      </c>
    </row>
    <row r="31" spans="1:16" ht="14.1" customHeight="1" x14ac:dyDescent="0.2">
      <c r="A31" s="235" t="s">
        <v>114</v>
      </c>
      <c r="B31" s="331"/>
      <c r="C31" s="333"/>
      <c r="D31" s="332">
        <f>SUM(B31:C31)</f>
        <v>0</v>
      </c>
      <c r="E31" s="336"/>
      <c r="F31" s="238" t="e">
        <f t="shared" si="1"/>
        <v>#DIV/0!</v>
      </c>
      <c r="G31" s="331"/>
      <c r="H31" s="333"/>
      <c r="I31" s="332">
        <f t="shared" si="27"/>
        <v>0</v>
      </c>
      <c r="J31" s="336"/>
      <c r="K31" s="244" t="e">
        <f t="shared" si="3"/>
        <v>#DIV/0!</v>
      </c>
      <c r="L31" s="331"/>
      <c r="M31" s="333"/>
      <c r="N31" s="332">
        <f>SUM(L31:M31)</f>
        <v>0</v>
      </c>
      <c r="O31" s="336"/>
      <c r="P31" s="238" t="e">
        <f t="shared" si="9"/>
        <v>#DIV/0!</v>
      </c>
    </row>
    <row r="32" spans="1:16" ht="14.1" customHeight="1" x14ac:dyDescent="0.2">
      <c r="A32" s="251" t="s">
        <v>115</v>
      </c>
      <c r="B32" s="331"/>
      <c r="C32" s="333"/>
      <c r="D32" s="161">
        <f t="shared" si="0"/>
        <v>0</v>
      </c>
      <c r="E32" s="336"/>
      <c r="F32" s="252" t="e">
        <f t="shared" si="1"/>
        <v>#DIV/0!</v>
      </c>
      <c r="G32" s="253"/>
      <c r="H32" s="161"/>
      <c r="I32" s="161">
        <f t="shared" si="27"/>
        <v>0</v>
      </c>
      <c r="J32" s="336"/>
      <c r="K32" s="252" t="e">
        <f t="shared" si="3"/>
        <v>#DIV/0!</v>
      </c>
      <c r="L32" s="331"/>
      <c r="M32" s="333"/>
      <c r="N32" s="161">
        <f t="shared" si="4"/>
        <v>0</v>
      </c>
      <c r="O32" s="336"/>
      <c r="P32" s="252" t="e">
        <f t="shared" si="9"/>
        <v>#DIV/0!</v>
      </c>
    </row>
    <row r="33" spans="1:16" ht="13.5" thickBot="1" x14ac:dyDescent="0.25">
      <c r="A33" s="245" t="s">
        <v>77</v>
      </c>
      <c r="B33" s="255">
        <f>SUM(B21:B32)</f>
        <v>1127930</v>
      </c>
      <c r="C33" s="256">
        <f>SUM(C21:C32)</f>
        <v>1084732</v>
      </c>
      <c r="D33" s="256">
        <f>SUM(D21:D32)</f>
        <v>2212662</v>
      </c>
      <c r="E33" s="257">
        <f>SUM(E21:E32)</f>
        <v>2133813</v>
      </c>
      <c r="F33" s="240">
        <f>(D33-E33)/E33</f>
        <v>3.6952160287710312E-2</v>
      </c>
      <c r="G33" s="258">
        <f>SUM(G21:G32)</f>
        <v>11890132</v>
      </c>
      <c r="H33" s="256">
        <f>SUM(H21:H32)</f>
        <v>11844786</v>
      </c>
      <c r="I33" s="256">
        <f>SUM(I21:I32)</f>
        <v>23734918</v>
      </c>
      <c r="J33" s="259">
        <f>SUM(J21:J32)</f>
        <v>23726829</v>
      </c>
      <c r="K33" s="241">
        <f>(I33-J33)/J33</f>
        <v>3.4092208444710416E-4</v>
      </c>
      <c r="L33" s="258">
        <f>SUM(L21:L32)</f>
        <v>13018062</v>
      </c>
      <c r="M33" s="256">
        <f>SUM(M21:M32)</f>
        <v>12929518</v>
      </c>
      <c r="N33" s="256">
        <f>SUM(N21:N32)</f>
        <v>25947580</v>
      </c>
      <c r="O33" s="257">
        <f>SUM(O21:O32)</f>
        <v>25860642</v>
      </c>
      <c r="P33" s="239">
        <f>(N33-O33)/O33</f>
        <v>3.3617881566900001E-3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D37" s="130"/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August 2018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3"/>
  <sheetViews>
    <sheetView zoomScaleNormal="100" workbookViewId="0">
      <selection activeCell="C4" sqref="C4:C33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3" width="10.28515625" customWidth="1"/>
    <col min="4" max="5" width="11.28515625" bestFit="1" customWidth="1"/>
    <col min="6" max="6" width="1" customWidth="1"/>
    <col min="7" max="7" width="11.28515625" bestFit="1" customWidth="1"/>
    <col min="8" max="9" width="11.28515625" customWidth="1"/>
    <col min="11" max="12" width="11.28515625" bestFit="1" customWidth="1"/>
    <col min="14" max="14" width="11.28515625" bestFit="1" customWidth="1"/>
  </cols>
  <sheetData>
    <row r="1" spans="1:21" s="190" customFormat="1" ht="15.75" thickBot="1" x14ac:dyDescent="0.3">
      <c r="B1" s="537"/>
      <c r="C1" s="537"/>
      <c r="D1" s="537"/>
      <c r="E1" s="537"/>
      <c r="F1" s="448"/>
      <c r="G1" s="538" t="s">
        <v>94</v>
      </c>
      <c r="H1" s="539"/>
      <c r="I1" s="539"/>
      <c r="J1" s="539"/>
      <c r="K1" s="539"/>
      <c r="L1" s="539"/>
      <c r="M1" s="540"/>
    </row>
    <row r="2" spans="1:21" s="191" customFormat="1" ht="30.75" customHeight="1" thickBot="1" x14ac:dyDescent="0.25">
      <c r="A2" s="378">
        <v>43313</v>
      </c>
      <c r="B2" s="437" t="s">
        <v>186</v>
      </c>
      <c r="C2" s="516" t="s">
        <v>231</v>
      </c>
      <c r="D2" s="8" t="s">
        <v>82</v>
      </c>
      <c r="E2" s="8" t="s">
        <v>83</v>
      </c>
      <c r="F2" s="199"/>
      <c r="G2" s="180" t="s">
        <v>84</v>
      </c>
      <c r="H2" s="180" t="s">
        <v>187</v>
      </c>
      <c r="I2" s="180" t="s">
        <v>167</v>
      </c>
      <c r="J2" s="102" t="s">
        <v>85</v>
      </c>
      <c r="K2" s="8" t="s">
        <v>86</v>
      </c>
      <c r="L2" s="180" t="s">
        <v>87</v>
      </c>
      <c r="M2" s="180" t="s">
        <v>130</v>
      </c>
      <c r="N2" s="180" t="s">
        <v>21</v>
      </c>
    </row>
    <row r="3" spans="1:21" ht="15" x14ac:dyDescent="0.25">
      <c r="A3" s="200" t="s">
        <v>9</v>
      </c>
      <c r="B3" s="201"/>
      <c r="C3" s="201"/>
      <c r="D3" s="201"/>
      <c r="E3" s="201"/>
      <c r="F3" s="202"/>
      <c r="G3" s="45"/>
      <c r="H3" s="45"/>
      <c r="I3" s="45"/>
      <c r="J3" s="45"/>
      <c r="K3" s="56"/>
      <c r="L3" s="45"/>
      <c r="M3" s="45"/>
      <c r="N3" s="203"/>
    </row>
    <row r="4" spans="1:21" x14ac:dyDescent="0.2">
      <c r="A4" s="53" t="s">
        <v>53</v>
      </c>
      <c r="B4" s="161">
        <f>[3]DHL!$FU$4</f>
        <v>23</v>
      </c>
      <c r="C4" s="161">
        <f>'[3]Atlas Air'!$FU$4</f>
        <v>33</v>
      </c>
      <c r="D4" s="161">
        <f>[3]FedEx!$FU$4+[3]FedEx!$FU$15</f>
        <v>136</v>
      </c>
      <c r="E4" s="161">
        <f>[3]UPS!$FU$4+[3]UPS!$FU$15</f>
        <v>139</v>
      </c>
      <c r="F4" s="192"/>
      <c r="G4" s="118">
        <f>[3]ATI_BAX!$FU$4</f>
        <v>0</v>
      </c>
      <c r="H4" s="161">
        <f>[3]IFL!$FU$4+[3]IFL!$FU$15</f>
        <v>24</v>
      </c>
      <c r="I4" s="118">
        <f>'[3]Suburban Air Freight'!$FU$15</f>
        <v>0</v>
      </c>
      <c r="J4" s="118">
        <f>[3]Bemidji!$FU$4</f>
        <v>295</v>
      </c>
      <c r="K4" s="118">
        <f>'[3]CSA Air'!$FU$4</f>
        <v>0</v>
      </c>
      <c r="L4" s="118">
        <f>'[3]Mountain Cargo'!$FU$4</f>
        <v>23</v>
      </c>
      <c r="M4" s="118">
        <f>'[3]Misc Cargo'!$FU$4</f>
        <v>50</v>
      </c>
      <c r="N4" s="204">
        <f>SUM(B4:M4)</f>
        <v>723</v>
      </c>
    </row>
    <row r="5" spans="1:21" x14ac:dyDescent="0.2">
      <c r="A5" s="53" t="s">
        <v>54</v>
      </c>
      <c r="B5" s="198">
        <f>[3]DHL!$FU$5</f>
        <v>23</v>
      </c>
      <c r="C5" s="198">
        <f>'[3]Atlas Air'!$FU$5</f>
        <v>33</v>
      </c>
      <c r="D5" s="198">
        <f>[3]FedEx!$FU$5</f>
        <v>136</v>
      </c>
      <c r="E5" s="198">
        <f>[3]UPS!$FU$5+[3]UPS!$FU$16</f>
        <v>139</v>
      </c>
      <c r="F5" s="192"/>
      <c r="G5" s="120">
        <f>[3]ATI_BAX!$FU$5</f>
        <v>0</v>
      </c>
      <c r="H5" s="198">
        <f>[3]IFL!$FU$5</f>
        <v>24</v>
      </c>
      <c r="I5" s="120">
        <f>'[3]Suburban Air Freight'!$FU$16</f>
        <v>0</v>
      </c>
      <c r="J5" s="120">
        <f>[3]Bemidji!$FU$5</f>
        <v>295</v>
      </c>
      <c r="K5" s="120">
        <f>'[3]CSA Air'!$FU$5</f>
        <v>0</v>
      </c>
      <c r="L5" s="120">
        <f>'[3]Mountain Cargo'!$FU$5</f>
        <v>23</v>
      </c>
      <c r="M5" s="120">
        <f>'[3]Misc Cargo'!$FU$5</f>
        <v>49</v>
      </c>
      <c r="N5" s="208">
        <f>SUM(B5:M5)</f>
        <v>722</v>
      </c>
    </row>
    <row r="6" spans="1:21" s="189" customFormat="1" x14ac:dyDescent="0.2">
      <c r="A6" s="205" t="s">
        <v>55</v>
      </c>
      <c r="B6" s="206">
        <f>SUM(B4:B5)</f>
        <v>46</v>
      </c>
      <c r="C6" s="206">
        <f>SUM(C4:C5)</f>
        <v>66</v>
      </c>
      <c r="D6" s="206">
        <f>SUM(D4:D5)</f>
        <v>272</v>
      </c>
      <c r="E6" s="206">
        <f>SUM(E4:E5)</f>
        <v>278</v>
      </c>
      <c r="F6" s="193"/>
      <c r="G6" s="188">
        <f t="shared" ref="G6:M6" si="0">SUM(G4:G5)</f>
        <v>0</v>
      </c>
      <c r="H6" s="206">
        <f>SUM(H4:H5)</f>
        <v>48</v>
      </c>
      <c r="I6" s="188">
        <f t="shared" si="0"/>
        <v>0</v>
      </c>
      <c r="J6" s="188">
        <f t="shared" si="0"/>
        <v>590</v>
      </c>
      <c r="K6" s="188">
        <f t="shared" si="0"/>
        <v>0</v>
      </c>
      <c r="L6" s="188">
        <f t="shared" si="0"/>
        <v>46</v>
      </c>
      <c r="M6" s="188">
        <f t="shared" si="0"/>
        <v>99</v>
      </c>
      <c r="N6" s="207">
        <f>SUM(B6:M6)</f>
        <v>1445</v>
      </c>
    </row>
    <row r="7" spans="1:21" x14ac:dyDescent="0.2">
      <c r="A7" s="53"/>
      <c r="B7" s="161"/>
      <c r="C7" s="161"/>
      <c r="D7" s="161"/>
      <c r="E7" s="161"/>
      <c r="F7" s="192"/>
      <c r="G7" s="118"/>
      <c r="H7" s="161"/>
      <c r="I7" s="118"/>
      <c r="J7" s="118"/>
      <c r="K7" s="118"/>
      <c r="L7" s="118"/>
      <c r="M7" s="118"/>
      <c r="N7" s="204"/>
    </row>
    <row r="8" spans="1:21" x14ac:dyDescent="0.2">
      <c r="A8" s="53" t="s">
        <v>56</v>
      </c>
      <c r="B8" s="161"/>
      <c r="C8" s="161"/>
      <c r="D8" s="161"/>
      <c r="E8" s="161"/>
      <c r="F8" s="192"/>
      <c r="G8" s="118"/>
      <c r="H8" s="161"/>
      <c r="I8" s="118"/>
      <c r="J8" s="118"/>
      <c r="K8" s="118"/>
      <c r="L8" s="118"/>
      <c r="M8" s="118">
        <f>'[3]Misc Cargo'!$FU$8</f>
        <v>0</v>
      </c>
      <c r="N8" s="204">
        <f>SUM(B8:M8)</f>
        <v>0</v>
      </c>
    </row>
    <row r="9" spans="1:21" ht="15" x14ac:dyDescent="0.25">
      <c r="A9" s="53" t="s">
        <v>57</v>
      </c>
      <c r="B9" s="198"/>
      <c r="C9" s="198"/>
      <c r="D9" s="198"/>
      <c r="E9" s="198"/>
      <c r="F9" s="192"/>
      <c r="G9" s="120"/>
      <c r="H9" s="198"/>
      <c r="I9" s="120"/>
      <c r="J9" s="120"/>
      <c r="K9" s="120"/>
      <c r="L9" s="120"/>
      <c r="M9" s="120">
        <f>'[3]Misc Cargo'!$FU$9</f>
        <v>0</v>
      </c>
      <c r="N9" s="208">
        <f>SUM(B9:M9)</f>
        <v>0</v>
      </c>
      <c r="Q9" s="15"/>
      <c r="R9" s="327"/>
      <c r="S9" s="327"/>
      <c r="T9" s="327"/>
      <c r="U9" s="327"/>
    </row>
    <row r="10" spans="1:21" s="189" customFormat="1" x14ac:dyDescent="0.2">
      <c r="A10" s="205" t="s">
        <v>58</v>
      </c>
      <c r="B10" s="206">
        <f>SUM(B8:B9)</f>
        <v>0</v>
      </c>
      <c r="C10" s="206">
        <f>SUM(C8:C9)</f>
        <v>0</v>
      </c>
      <c r="D10" s="206">
        <f>SUM(D8:D9)</f>
        <v>0</v>
      </c>
      <c r="E10" s="206">
        <f>SUM(E8:E9)</f>
        <v>0</v>
      </c>
      <c r="F10" s="193"/>
      <c r="G10" s="188">
        <f t="shared" ref="G10:M10" si="1">SUM(G8:G9)</f>
        <v>0</v>
      </c>
      <c r="H10" s="206">
        <f>SUM(H8:H9)</f>
        <v>0</v>
      </c>
      <c r="I10" s="188">
        <f t="shared" si="1"/>
        <v>0</v>
      </c>
      <c r="J10" s="188">
        <f t="shared" si="1"/>
        <v>0</v>
      </c>
      <c r="K10" s="188">
        <f t="shared" si="1"/>
        <v>0</v>
      </c>
      <c r="L10" s="188">
        <f t="shared" si="1"/>
        <v>0</v>
      </c>
      <c r="M10" s="188">
        <f t="shared" si="1"/>
        <v>0</v>
      </c>
      <c r="N10" s="207">
        <f>SUM(B10:M10)</f>
        <v>0</v>
      </c>
    </row>
    <row r="11" spans="1:21" x14ac:dyDescent="0.2">
      <c r="A11" s="53"/>
      <c r="B11" s="161"/>
      <c r="C11" s="161"/>
      <c r="D11" s="161"/>
      <c r="E11" s="161"/>
      <c r="F11" s="192"/>
      <c r="G11" s="118"/>
      <c r="H11" s="161"/>
      <c r="I11" s="118"/>
      <c r="J11" s="118"/>
      <c r="K11" s="118"/>
      <c r="L11" s="118"/>
      <c r="M11" s="118"/>
      <c r="N11" s="170"/>
    </row>
    <row r="12" spans="1:21" ht="18" customHeight="1" thickBot="1" x14ac:dyDescent="0.25">
      <c r="A12" s="209" t="s">
        <v>28</v>
      </c>
      <c r="B12" s="210">
        <f>B6+B10</f>
        <v>46</v>
      </c>
      <c r="C12" s="210">
        <f>C6+C10</f>
        <v>66</v>
      </c>
      <c r="D12" s="210">
        <f>D6+D10</f>
        <v>272</v>
      </c>
      <c r="E12" s="210">
        <f>E6+E10</f>
        <v>278</v>
      </c>
      <c r="F12" s="211"/>
      <c r="G12" s="212">
        <f t="shared" ref="G12:M12" si="2">G6+G10</f>
        <v>0</v>
      </c>
      <c r="H12" s="210">
        <f>H6+H10</f>
        <v>48</v>
      </c>
      <c r="I12" s="212">
        <f t="shared" si="2"/>
        <v>0</v>
      </c>
      <c r="J12" s="212">
        <f t="shared" si="2"/>
        <v>590</v>
      </c>
      <c r="K12" s="212">
        <f t="shared" si="2"/>
        <v>0</v>
      </c>
      <c r="L12" s="212">
        <f t="shared" si="2"/>
        <v>46</v>
      </c>
      <c r="M12" s="212">
        <f t="shared" si="2"/>
        <v>99</v>
      </c>
      <c r="N12" s="213">
        <f>SUM(B12:M12)</f>
        <v>1445</v>
      </c>
    </row>
    <row r="13" spans="1:21" ht="18" customHeight="1" thickBot="1" x14ac:dyDescent="0.25">
      <c r="A13" s="177"/>
      <c r="B13" s="194"/>
      <c r="C13" s="194"/>
      <c r="D13" s="194"/>
      <c r="E13" s="194"/>
      <c r="F13" s="195"/>
      <c r="G13" s="196"/>
      <c r="H13" s="194"/>
      <c r="I13" s="196"/>
      <c r="J13" s="178"/>
      <c r="K13" s="178"/>
      <c r="L13" s="178"/>
      <c r="M13" s="178"/>
      <c r="N13" s="5"/>
    </row>
    <row r="14" spans="1:21" ht="15" x14ac:dyDescent="0.25">
      <c r="A14" s="214" t="s">
        <v>95</v>
      </c>
      <c r="B14" s="215"/>
      <c r="C14" s="215"/>
      <c r="D14" s="215"/>
      <c r="E14" s="215"/>
      <c r="F14" s="216"/>
      <c r="G14" s="175"/>
      <c r="H14" s="215"/>
      <c r="I14" s="175"/>
      <c r="J14" s="81"/>
      <c r="K14" s="81"/>
      <c r="L14" s="81"/>
      <c r="M14" s="81"/>
      <c r="N14" s="217"/>
    </row>
    <row r="15" spans="1:21" x14ac:dyDescent="0.2">
      <c r="A15" s="218" t="s">
        <v>96</v>
      </c>
      <c r="B15" s="161"/>
      <c r="C15" s="161"/>
      <c r="D15" s="161"/>
      <c r="E15" s="161"/>
      <c r="F15" s="192"/>
      <c r="G15" s="118"/>
      <c r="H15" s="161"/>
      <c r="I15" s="118"/>
      <c r="J15" s="5"/>
      <c r="K15" s="5"/>
      <c r="L15" s="5"/>
      <c r="M15" s="5"/>
      <c r="N15" s="179"/>
    </row>
    <row r="16" spans="1:21" x14ac:dyDescent="0.2">
      <c r="A16" s="53" t="s">
        <v>37</v>
      </c>
      <c r="B16" s="161">
        <f>[3]DHL!$FU$47</f>
        <v>797089</v>
      </c>
      <c r="C16" s="161">
        <f>'[3]Atlas Air'!$FU$47</f>
        <v>959391</v>
      </c>
      <c r="D16" s="161">
        <f>[3]FedEx!$FU$47</f>
        <v>9262805</v>
      </c>
      <c r="E16" s="161">
        <f>[3]UPS!$FU$47</f>
        <v>6808297</v>
      </c>
      <c r="F16" s="192"/>
      <c r="G16" s="118">
        <f>[3]ATI_BAX!$FU$47</f>
        <v>0</v>
      </c>
      <c r="H16" s="161">
        <f>[3]IFL!$FU$47</f>
        <v>25461</v>
      </c>
      <c r="I16" s="118">
        <f>'[3]Suburban Air Freight'!$FU$47</f>
        <v>0</v>
      </c>
      <c r="J16" s="534" t="s">
        <v>88</v>
      </c>
      <c r="K16" s="118">
        <f>'[3]CSA Air'!$FU$47</f>
        <v>0</v>
      </c>
      <c r="L16" s="118">
        <f>'[3]Mountain Cargo'!$FU$47</f>
        <v>175755</v>
      </c>
      <c r="M16" s="118">
        <f>'[3]Misc Cargo'!$FU$47</f>
        <v>78268</v>
      </c>
      <c r="N16" s="204">
        <f>SUM(B16:I16)+SUM(K16:M16)</f>
        <v>18107066</v>
      </c>
    </row>
    <row r="17" spans="1:15" x14ac:dyDescent="0.2">
      <c r="A17" s="53" t="s">
        <v>38</v>
      </c>
      <c r="B17" s="161">
        <f>[3]DHL!$FU$48</f>
        <v>0</v>
      </c>
      <c r="C17" s="161">
        <f>'[3]Atlas Air'!$FU$48</f>
        <v>0</v>
      </c>
      <c r="D17" s="161">
        <f>[3]FedEx!$FU$48</f>
        <v>0</v>
      </c>
      <c r="E17" s="161">
        <f>[3]UPS!$FU$48</f>
        <v>156</v>
      </c>
      <c r="F17" s="192"/>
      <c r="G17" s="118">
        <f>[3]ATI_BAX!$FU$48</f>
        <v>0</v>
      </c>
      <c r="H17" s="161">
        <f>[3]IFL!$FU$48</f>
        <v>0</v>
      </c>
      <c r="I17" s="118">
        <f>'[3]Suburban Air Freight'!$FU$48</f>
        <v>0</v>
      </c>
      <c r="J17" s="535"/>
      <c r="K17" s="118">
        <f>'[3]CSA Air'!$FU$48</f>
        <v>0</v>
      </c>
      <c r="L17" s="118">
        <f>'[3]Mountain Cargo'!$FU$48</f>
        <v>0</v>
      </c>
      <c r="M17" s="118">
        <f>'[3]Misc Cargo'!$FU$48</f>
        <v>0</v>
      </c>
      <c r="N17" s="204">
        <f>SUM(B17:I17)+SUM(K17:M17)</f>
        <v>156</v>
      </c>
    </row>
    <row r="18" spans="1:15" ht="18" customHeight="1" x14ac:dyDescent="0.2">
      <c r="A18" s="219" t="s">
        <v>39</v>
      </c>
      <c r="B18" s="302">
        <f>SUM(B16:B17)</f>
        <v>797089</v>
      </c>
      <c r="C18" s="302">
        <f>SUM(C16:C17)</f>
        <v>959391</v>
      </c>
      <c r="D18" s="302">
        <f>SUM(D16:D17)</f>
        <v>9262805</v>
      </c>
      <c r="E18" s="302">
        <f>SUM(E16:E17)</f>
        <v>6808453</v>
      </c>
      <c r="F18" s="197"/>
      <c r="G18" s="303">
        <f>SUM(G16:G17)</f>
        <v>0</v>
      </c>
      <c r="H18" s="302">
        <f>SUM(H16:H17)</f>
        <v>25461</v>
      </c>
      <c r="I18" s="303">
        <f>SUM(I16:I17)</f>
        <v>0</v>
      </c>
      <c r="J18" s="535"/>
      <c r="K18" s="303">
        <f>SUM(K16:K17)</f>
        <v>0</v>
      </c>
      <c r="L18" s="303">
        <f>SUM(L16:L17)</f>
        <v>175755</v>
      </c>
      <c r="M18" s="303">
        <f>SUM(M16:M17)</f>
        <v>78268</v>
      </c>
      <c r="N18" s="220">
        <f>SUM(B18:I18)+SUM(K18:M18)</f>
        <v>18107222</v>
      </c>
      <c r="O18" s="7"/>
    </row>
    <row r="19" spans="1:15" x14ac:dyDescent="0.2">
      <c r="A19" s="53"/>
      <c r="B19" s="161"/>
      <c r="C19" s="161"/>
      <c r="D19" s="161"/>
      <c r="E19" s="161"/>
      <c r="F19" s="192"/>
      <c r="G19" s="118"/>
      <c r="H19" s="161"/>
      <c r="I19" s="118"/>
      <c r="J19" s="535"/>
      <c r="K19" s="118"/>
      <c r="L19" s="118"/>
      <c r="M19" s="118"/>
      <c r="N19" s="204"/>
    </row>
    <row r="20" spans="1:15" x14ac:dyDescent="0.2">
      <c r="A20" s="221" t="s">
        <v>89</v>
      </c>
      <c r="B20" s="161"/>
      <c r="C20" s="161"/>
      <c r="D20" s="161"/>
      <c r="E20" s="161"/>
      <c r="F20" s="192"/>
      <c r="G20" s="118"/>
      <c r="H20" s="161"/>
      <c r="I20" s="118"/>
      <c r="J20" s="535"/>
      <c r="K20" s="118"/>
      <c r="L20" s="118"/>
      <c r="M20" s="118"/>
      <c r="N20" s="204"/>
    </row>
    <row r="21" spans="1:15" x14ac:dyDescent="0.2">
      <c r="A21" s="53" t="s">
        <v>59</v>
      </c>
      <c r="B21" s="161">
        <f>[3]DHL!$FU$52</f>
        <v>585995</v>
      </c>
      <c r="C21" s="161">
        <f>'[3]Atlas Air'!$FU$52</f>
        <v>1212283</v>
      </c>
      <c r="D21" s="161">
        <f>[3]FedEx!$FU$52</f>
        <v>8429186</v>
      </c>
      <c r="E21" s="161">
        <f>[3]UPS!$FU$52</f>
        <v>5598978</v>
      </c>
      <c r="F21" s="192"/>
      <c r="G21" s="118">
        <f>[3]ATI_BAX!$FU$52</f>
        <v>0</v>
      </c>
      <c r="H21" s="161">
        <f>[3]IFL!$FU$52</f>
        <v>0</v>
      </c>
      <c r="I21" s="118">
        <f>'[3]Suburban Air Freight'!$FU$52</f>
        <v>0</v>
      </c>
      <c r="J21" s="535"/>
      <c r="K21" s="118">
        <f>'[3]CSA Air'!$FU$52</f>
        <v>0</v>
      </c>
      <c r="L21" s="118">
        <f>'[3]Mountain Cargo'!$FU$52</f>
        <v>59535</v>
      </c>
      <c r="M21" s="118">
        <f>'[3]Misc Cargo'!$FU$52</f>
        <v>42425</v>
      </c>
      <c r="N21" s="204">
        <f>SUM(B21:I21)+SUM(K21:M21)</f>
        <v>15928402</v>
      </c>
    </row>
    <row r="22" spans="1:15" x14ac:dyDescent="0.2">
      <c r="A22" s="53" t="s">
        <v>60</v>
      </c>
      <c r="B22" s="161">
        <f>[3]DHL!$FU$53</f>
        <v>0</v>
      </c>
      <c r="C22" s="161">
        <f>'[3]Atlas Air'!$FU$53</f>
        <v>0</v>
      </c>
      <c r="D22" s="161">
        <f>[3]FedEx!$FU$53</f>
        <v>0</v>
      </c>
      <c r="E22" s="161">
        <f>[3]UPS!$FU$53</f>
        <v>566092</v>
      </c>
      <c r="F22" s="192"/>
      <c r="G22" s="118">
        <f>[3]ATI_BAX!$FU$53</f>
        <v>0</v>
      </c>
      <c r="H22" s="161">
        <f>[3]IFL!$FU$53</f>
        <v>0</v>
      </c>
      <c r="I22" s="118">
        <f>'[3]Suburban Air Freight'!$FU$53</f>
        <v>0</v>
      </c>
      <c r="J22" s="535"/>
      <c r="K22" s="118">
        <f>'[3]CSA Air'!$FU$53</f>
        <v>0</v>
      </c>
      <c r="L22" s="118">
        <f>'[3]Mountain Cargo'!$FU$53</f>
        <v>0</v>
      </c>
      <c r="M22" s="118">
        <f>'[3]Misc Cargo'!$FU$53</f>
        <v>0</v>
      </c>
      <c r="N22" s="204">
        <f>SUM(B22:I22)+SUM(K22:M22)</f>
        <v>566092</v>
      </c>
    </row>
    <row r="23" spans="1:15" ht="18" customHeight="1" x14ac:dyDescent="0.2">
      <c r="A23" s="219" t="s">
        <v>41</v>
      </c>
      <c r="B23" s="302">
        <f>SUM(B21:B22)</f>
        <v>585995</v>
      </c>
      <c r="C23" s="302">
        <f>SUM(C21:C22)</f>
        <v>1212283</v>
      </c>
      <c r="D23" s="302">
        <f>SUM(D21:D22)</f>
        <v>8429186</v>
      </c>
      <c r="E23" s="302">
        <f>SUM(E21:E22)</f>
        <v>6165070</v>
      </c>
      <c r="F23" s="197"/>
      <c r="G23" s="303">
        <f>SUM(G21:G22)</f>
        <v>0</v>
      </c>
      <c r="H23" s="302">
        <f>SUM(H21:H22)</f>
        <v>0</v>
      </c>
      <c r="I23" s="303">
        <f>SUM(I21:I22)</f>
        <v>0</v>
      </c>
      <c r="J23" s="535"/>
      <c r="K23" s="303">
        <f>SUM(K21:K22)</f>
        <v>0</v>
      </c>
      <c r="L23" s="303">
        <f>SUM(L21:L22)</f>
        <v>59535</v>
      </c>
      <c r="M23" s="303">
        <f>SUM(M21:M22)</f>
        <v>42425</v>
      </c>
      <c r="N23" s="220">
        <f>SUM(B23:I23)+SUM(K23:M23)</f>
        <v>16494494</v>
      </c>
    </row>
    <row r="24" spans="1:15" x14ac:dyDescent="0.2">
      <c r="A24" s="53"/>
      <c r="B24" s="161"/>
      <c r="C24" s="161"/>
      <c r="D24" s="161"/>
      <c r="E24" s="161"/>
      <c r="F24" s="192"/>
      <c r="G24" s="118"/>
      <c r="H24" s="161"/>
      <c r="I24" s="118"/>
      <c r="J24" s="535"/>
      <c r="K24" s="118"/>
      <c r="L24" s="118"/>
      <c r="M24" s="118"/>
      <c r="N24" s="204"/>
    </row>
    <row r="25" spans="1:15" x14ac:dyDescent="0.2">
      <c r="A25" s="221" t="s">
        <v>97</v>
      </c>
      <c r="B25" s="161"/>
      <c r="C25" s="161"/>
      <c r="D25" s="161"/>
      <c r="E25" s="161"/>
      <c r="F25" s="192"/>
      <c r="G25" s="118"/>
      <c r="H25" s="161"/>
      <c r="I25" s="118"/>
      <c r="J25" s="535"/>
      <c r="K25" s="118"/>
      <c r="L25" s="118"/>
      <c r="M25" s="118"/>
      <c r="N25" s="204"/>
    </row>
    <row r="26" spans="1:15" x14ac:dyDescent="0.2">
      <c r="A26" s="53" t="s">
        <v>59</v>
      </c>
      <c r="B26" s="161">
        <f>[3]DHL!$FU$57</f>
        <v>0</v>
      </c>
      <c r="C26" s="161">
        <f>'[3]Atlas Air'!$FU$57</f>
        <v>0</v>
      </c>
      <c r="D26" s="161">
        <f>[3]FedEx!$FU$57</f>
        <v>0</v>
      </c>
      <c r="E26" s="161">
        <f>[3]UPS!$FU$57</f>
        <v>0</v>
      </c>
      <c r="F26" s="192"/>
      <c r="G26" s="118">
        <f>[3]ATI_BAX!$FU$57</f>
        <v>0</v>
      </c>
      <c r="H26" s="161">
        <f>[3]IFL!$FU$57</f>
        <v>0</v>
      </c>
      <c r="I26" s="118">
        <f>'[3]Suburban Air Freight'!$FU$57</f>
        <v>0</v>
      </c>
      <c r="J26" s="535"/>
      <c r="K26" s="118">
        <f>'[3]CSA Air'!$FU$57</f>
        <v>0</v>
      </c>
      <c r="L26" s="118">
        <f>'[3]Mountain Cargo'!$FU$57</f>
        <v>0</v>
      </c>
      <c r="M26" s="118">
        <f>'[3]Misc Cargo'!$FU$57</f>
        <v>0</v>
      </c>
      <c r="N26" s="204">
        <f>SUM(B26:I26)+SUM(K26:M26)</f>
        <v>0</v>
      </c>
    </row>
    <row r="27" spans="1:15" x14ac:dyDescent="0.2">
      <c r="A27" s="53" t="s">
        <v>60</v>
      </c>
      <c r="B27" s="161">
        <f>[3]DHL!$FU$58</f>
        <v>0</v>
      </c>
      <c r="C27" s="161">
        <f>'[3]Atlas Air'!$FU$58</f>
        <v>0</v>
      </c>
      <c r="D27" s="161">
        <f>[3]FedEx!$FU$58</f>
        <v>0</v>
      </c>
      <c r="E27" s="161">
        <f>[3]UPS!$FU$58</f>
        <v>0</v>
      </c>
      <c r="F27" s="192"/>
      <c r="G27" s="118">
        <f>[3]ATI_BAX!$FU$58</f>
        <v>0</v>
      </c>
      <c r="H27" s="161">
        <f>[3]IFL!$FU$58</f>
        <v>0</v>
      </c>
      <c r="I27" s="118">
        <f>'[3]Suburban Air Freight'!$FU$58</f>
        <v>0</v>
      </c>
      <c r="J27" s="535"/>
      <c r="K27" s="118">
        <f>'[3]CSA Air'!$FU$58</f>
        <v>0</v>
      </c>
      <c r="L27" s="118">
        <f>'[3]Mountain Cargo'!$FU$58</f>
        <v>0</v>
      </c>
      <c r="M27" s="118">
        <f>'[3]Misc Cargo'!$FU$58</f>
        <v>0</v>
      </c>
      <c r="N27" s="204">
        <f>SUM(B27:I27)+SUM(K27:M27)</f>
        <v>0</v>
      </c>
    </row>
    <row r="28" spans="1:15" ht="18" customHeight="1" x14ac:dyDescent="0.2">
      <c r="A28" s="219" t="s">
        <v>43</v>
      </c>
      <c r="B28" s="302">
        <f>SUM(B26:B27)</f>
        <v>0</v>
      </c>
      <c r="C28" s="302">
        <f>SUM(C26:C27)</f>
        <v>0</v>
      </c>
      <c r="D28" s="302">
        <f>SUM(D26:D27)</f>
        <v>0</v>
      </c>
      <c r="E28" s="302">
        <f>SUM(E26:E27)</f>
        <v>0</v>
      </c>
      <c r="F28" s="197"/>
      <c r="G28" s="303">
        <f>SUM(G26:G27)</f>
        <v>0</v>
      </c>
      <c r="H28" s="302">
        <f>SUM(H26:H27)</f>
        <v>0</v>
      </c>
      <c r="I28" s="303">
        <f>SUM(I26:I27)</f>
        <v>0</v>
      </c>
      <c r="J28" s="535"/>
      <c r="K28" s="303">
        <f>SUM(K26:K27)</f>
        <v>0</v>
      </c>
      <c r="L28" s="303">
        <f>SUM(L26:L27)</f>
        <v>0</v>
      </c>
      <c r="M28" s="303">
        <f>SUM(M26:M27)</f>
        <v>0</v>
      </c>
      <c r="N28" s="220">
        <f>SUM(B28:I28)+SUM(K28:M28)</f>
        <v>0</v>
      </c>
    </row>
    <row r="29" spans="1:15" x14ac:dyDescent="0.2">
      <c r="A29" s="53"/>
      <c r="B29" s="161"/>
      <c r="C29" s="161"/>
      <c r="D29" s="161"/>
      <c r="E29" s="161"/>
      <c r="F29" s="192"/>
      <c r="G29" s="118"/>
      <c r="H29" s="161"/>
      <c r="I29" s="118"/>
      <c r="J29" s="535"/>
      <c r="K29" s="118"/>
      <c r="L29" s="118"/>
      <c r="M29" s="118"/>
      <c r="N29" s="204"/>
    </row>
    <row r="30" spans="1:15" x14ac:dyDescent="0.2">
      <c r="A30" s="222" t="s">
        <v>44</v>
      </c>
      <c r="B30" s="161"/>
      <c r="C30" s="161"/>
      <c r="D30" s="161"/>
      <c r="E30" s="161"/>
      <c r="F30" s="192"/>
      <c r="G30" s="118"/>
      <c r="H30" s="161"/>
      <c r="I30" s="118"/>
      <c r="J30" s="535"/>
      <c r="K30" s="118"/>
      <c r="L30" s="118"/>
      <c r="M30" s="118"/>
      <c r="N30" s="204"/>
    </row>
    <row r="31" spans="1:15" x14ac:dyDescent="0.2">
      <c r="A31" s="53" t="s">
        <v>90</v>
      </c>
      <c r="B31" s="161">
        <f t="shared" ref="B31:E33" si="3">B26+B21+B16</f>
        <v>1383084</v>
      </c>
      <c r="C31" s="161">
        <f t="shared" ref="C31" si="4">C26+C21+C16</f>
        <v>2171674</v>
      </c>
      <c r="D31" s="161">
        <f t="shared" si="3"/>
        <v>17691991</v>
      </c>
      <c r="E31" s="161">
        <f t="shared" si="3"/>
        <v>12407275</v>
      </c>
      <c r="F31" s="192"/>
      <c r="G31" s="118">
        <f t="shared" ref="G31:I33" si="5">G26+G21+G16</f>
        <v>0</v>
      </c>
      <c r="H31" s="161">
        <f t="shared" si="5"/>
        <v>25461</v>
      </c>
      <c r="I31" s="118">
        <f t="shared" si="5"/>
        <v>0</v>
      </c>
      <c r="J31" s="535"/>
      <c r="K31" s="118">
        <f t="shared" ref="K31:M33" si="6">K26+K21+K16</f>
        <v>0</v>
      </c>
      <c r="L31" s="118">
        <f t="shared" si="6"/>
        <v>235290</v>
      </c>
      <c r="M31" s="118">
        <f>M26+M21+M16</f>
        <v>120693</v>
      </c>
      <c r="N31" s="204">
        <f>SUM(B31:I31)+SUM(K31:M31)</f>
        <v>34035468</v>
      </c>
    </row>
    <row r="32" spans="1:15" x14ac:dyDescent="0.2">
      <c r="A32" s="53" t="s">
        <v>60</v>
      </c>
      <c r="B32" s="161">
        <f t="shared" si="3"/>
        <v>0</v>
      </c>
      <c r="C32" s="161">
        <f t="shared" ref="C32" si="7">C27+C22+C17</f>
        <v>0</v>
      </c>
      <c r="D32" s="161">
        <f t="shared" si="3"/>
        <v>0</v>
      </c>
      <c r="E32" s="161">
        <f t="shared" si="3"/>
        <v>566248</v>
      </c>
      <c r="F32" s="192"/>
      <c r="G32" s="118">
        <f t="shared" si="5"/>
        <v>0</v>
      </c>
      <c r="H32" s="161">
        <f t="shared" si="5"/>
        <v>0</v>
      </c>
      <c r="I32" s="118">
        <f t="shared" si="5"/>
        <v>0</v>
      </c>
      <c r="J32" s="536"/>
      <c r="K32" s="118">
        <f t="shared" si="6"/>
        <v>0</v>
      </c>
      <c r="L32" s="118">
        <f t="shared" si="6"/>
        <v>0</v>
      </c>
      <c r="M32" s="118">
        <f>M27+M22+M17</f>
        <v>0</v>
      </c>
      <c r="N32" s="208">
        <f>SUM(B32:I32)+SUM(K32:M32)</f>
        <v>566248</v>
      </c>
    </row>
    <row r="33" spans="1:14" ht="18" customHeight="1" thickBot="1" x14ac:dyDescent="0.25">
      <c r="A33" s="209" t="s">
        <v>46</v>
      </c>
      <c r="B33" s="210">
        <f t="shared" si="3"/>
        <v>1383084</v>
      </c>
      <c r="C33" s="210">
        <f t="shared" ref="C33" si="8">C28+C23+C18</f>
        <v>2171674</v>
      </c>
      <c r="D33" s="210">
        <f t="shared" si="3"/>
        <v>17691991</v>
      </c>
      <c r="E33" s="210">
        <f t="shared" si="3"/>
        <v>12973523</v>
      </c>
      <c r="F33" s="223"/>
      <c r="G33" s="212">
        <f t="shared" si="5"/>
        <v>0</v>
      </c>
      <c r="H33" s="210">
        <f t="shared" si="5"/>
        <v>25461</v>
      </c>
      <c r="I33" s="212">
        <f t="shared" si="5"/>
        <v>0</v>
      </c>
      <c r="J33" s="304">
        <f>J28+J23+J18</f>
        <v>0</v>
      </c>
      <c r="K33" s="212">
        <f t="shared" si="6"/>
        <v>0</v>
      </c>
      <c r="L33" s="212">
        <f t="shared" si="6"/>
        <v>235290</v>
      </c>
      <c r="M33" s="212">
        <f t="shared" si="6"/>
        <v>120693</v>
      </c>
      <c r="N33" s="213">
        <f>SUM(B33:I33)+SUM(K33:M33)</f>
        <v>34601716</v>
      </c>
    </row>
    <row r="34" spans="1:14" x14ac:dyDescent="0.2">
      <c r="B34" s="2"/>
      <c r="C34" s="2"/>
      <c r="D34" s="2"/>
      <c r="E34" s="2"/>
      <c r="F34" s="2"/>
      <c r="G34" s="2"/>
      <c r="H34" s="2"/>
      <c r="I34" s="2"/>
      <c r="J34" s="2"/>
      <c r="L34" s="2"/>
      <c r="M34" s="2"/>
      <c r="N34" s="2"/>
    </row>
    <row r="35" spans="1:14" x14ac:dyDescent="0.2">
      <c r="A35" t="s">
        <v>91</v>
      </c>
      <c r="B35" s="2"/>
      <c r="C35" s="2"/>
      <c r="D35" s="2"/>
      <c r="E35" s="2"/>
      <c r="F35" s="2"/>
    </row>
    <row r="36" spans="1:14" x14ac:dyDescent="0.2">
      <c r="A36" t="s">
        <v>92</v>
      </c>
    </row>
    <row r="37" spans="1:14" x14ac:dyDescent="0.2">
      <c r="A37" t="s">
        <v>93</v>
      </c>
    </row>
    <row r="43" spans="1:14" ht="15" x14ac:dyDescent="0.25">
      <c r="J43" s="190"/>
    </row>
  </sheetData>
  <mergeCells count="3">
    <mergeCell ref="J16:J32"/>
    <mergeCell ref="B1:E1"/>
    <mergeCell ref="G1:M1"/>
  </mergeCells>
  <phoneticPr fontId="6" type="noConversion"/>
  <pageMargins left="0.75" right="0.75" top="1" bottom="1" header="0.5" footer="0.5"/>
  <pageSetup scale="78" orientation="landscape" r:id="rId1"/>
  <headerFooter alignWithMargins="0">
    <oddHeader>&amp;L
Schedule 7
&amp;CMinneapolis-St. Paul International Airport
&amp;"Arial,Bold"Cargo
August 2018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Q16" sqref="Q16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78">
        <v>43313</v>
      </c>
      <c r="B2" s="77" t="s">
        <v>63</v>
      </c>
      <c r="C2" s="77" t="s">
        <v>64</v>
      </c>
      <c r="D2" s="77" t="s">
        <v>65</v>
      </c>
      <c r="E2" s="316" t="s">
        <v>75</v>
      </c>
      <c r="F2" s="78" t="s">
        <v>225</v>
      </c>
      <c r="G2" s="78" t="s">
        <v>191</v>
      </c>
      <c r="H2" s="79" t="s">
        <v>66</v>
      </c>
      <c r="I2" s="80" t="s">
        <v>212</v>
      </c>
      <c r="J2" s="80" t="s">
        <v>189</v>
      </c>
      <c r="K2" s="90" t="s">
        <v>2</v>
      </c>
    </row>
    <row r="3" spans="1:18" ht="20.25" customHeight="1" x14ac:dyDescent="0.2">
      <c r="A3" s="87" t="s">
        <v>67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68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69</v>
      </c>
      <c r="B5" s="169">
        <f>'Major Airline Stats'!K28</f>
        <v>6224379</v>
      </c>
      <c r="C5" s="118">
        <f>'Regional Major'!M25</f>
        <v>11282</v>
      </c>
      <c r="D5" s="118">
        <f>Cargo!N16</f>
        <v>18107066</v>
      </c>
      <c r="E5" s="118">
        <f>SUM(B5:D5)</f>
        <v>24342727</v>
      </c>
      <c r="F5" s="118">
        <f>E5*0.00045359237</f>
        <v>11041.675232192989</v>
      </c>
      <c r="G5" s="146">
        <f>'[1]Cargo Summary'!F5</f>
        <v>10559.328734673949</v>
      </c>
      <c r="H5" s="98">
        <f>(F5-G5)/G5</f>
        <v>4.5679655368162368E-2</v>
      </c>
      <c r="I5" s="146">
        <f>+F5+'[2]Cargo Summary'!I5</f>
        <v>78090.910114869184</v>
      </c>
      <c r="J5" s="146">
        <f>'[1]Cargo Summary'!I5</f>
        <v>74326.740266588808</v>
      </c>
      <c r="K5" s="85">
        <f>(I5-J5)/J5</f>
        <v>5.064354813327443E-2</v>
      </c>
      <c r="M5" s="35"/>
    </row>
    <row r="6" spans="1:18" x14ac:dyDescent="0.2">
      <c r="A6" s="62" t="s">
        <v>16</v>
      </c>
      <c r="B6" s="169">
        <f>'Major Airline Stats'!K29</f>
        <v>1968866</v>
      </c>
      <c r="C6" s="118">
        <f>'Regional Major'!M26</f>
        <v>0</v>
      </c>
      <c r="D6" s="118">
        <f>Cargo!N17</f>
        <v>156</v>
      </c>
      <c r="E6" s="118">
        <f>SUM(B6:D6)</f>
        <v>1969022</v>
      </c>
      <c r="F6" s="118">
        <f>E6*0.00045359237</f>
        <v>893.13335556213997</v>
      </c>
      <c r="G6" s="146">
        <f>'[1]Cargo Summary'!F6</f>
        <v>1135.56305518656</v>
      </c>
      <c r="H6" s="37">
        <f>(F6-G6)/G6</f>
        <v>-0.21348854078789273</v>
      </c>
      <c r="I6" s="146">
        <f>+F6+'[2]Cargo Summary'!I6</f>
        <v>6864.636990483581</v>
      </c>
      <c r="J6" s="146">
        <f>'[1]Cargo Summary'!I6</f>
        <v>7425.2794277654293</v>
      </c>
      <c r="K6" s="85">
        <f>(I6-J6)/J6</f>
        <v>-7.5504557469639702E-2</v>
      </c>
      <c r="M6" s="35"/>
    </row>
    <row r="7" spans="1:18" ht="18" customHeight="1" thickBot="1" x14ac:dyDescent="0.25">
      <c r="A7" s="73" t="s">
        <v>72</v>
      </c>
      <c r="B7" s="171">
        <f>SUM(B5:B6)</f>
        <v>8193245</v>
      </c>
      <c r="C7" s="133">
        <f t="shared" ref="C7:J7" si="0">SUM(C5:C6)</f>
        <v>11282</v>
      </c>
      <c r="D7" s="133">
        <f t="shared" si="0"/>
        <v>18107222</v>
      </c>
      <c r="E7" s="133">
        <f t="shared" si="0"/>
        <v>26311749</v>
      </c>
      <c r="F7" s="133">
        <f t="shared" si="0"/>
        <v>11934.808587755129</v>
      </c>
      <c r="G7" s="133">
        <f t="shared" si="0"/>
        <v>11694.891789860509</v>
      </c>
      <c r="H7" s="44">
        <f>(F7-G7)/G7</f>
        <v>2.0514665907608393E-2</v>
      </c>
      <c r="I7" s="133">
        <f t="shared" si="0"/>
        <v>84955.547105352773</v>
      </c>
      <c r="J7" s="133">
        <f t="shared" si="0"/>
        <v>81752.01969435424</v>
      </c>
      <c r="K7" s="318">
        <f>(I7-J7)/J7</f>
        <v>3.9185911528247748E-2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70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69</v>
      </c>
      <c r="B10" s="169">
        <f>'Major Airline Stats'!K33</f>
        <v>3337082</v>
      </c>
      <c r="C10" s="118">
        <f>'Regional Major'!M30</f>
        <v>3140</v>
      </c>
      <c r="D10" s="118">
        <f>Cargo!N21</f>
        <v>15928402</v>
      </c>
      <c r="E10" s="118">
        <f>SUM(B10:D10)</f>
        <v>19268624</v>
      </c>
      <c r="F10" s="118">
        <f>E10*0.00045359237</f>
        <v>8740.10082679888</v>
      </c>
      <c r="G10" s="146">
        <f>'[1]Cargo Summary'!F10</f>
        <v>8466.9175644884599</v>
      </c>
      <c r="H10" s="37">
        <f>(F10-G10)/G10</f>
        <v>3.2264783521241812E-2</v>
      </c>
      <c r="I10" s="146">
        <f>+F10+'[2]Cargo Summary'!I10</f>
        <v>61397.21177608634</v>
      </c>
      <c r="J10" s="146">
        <f>'[1]Cargo Summary'!I10</f>
        <v>60979.033176781719</v>
      </c>
      <c r="K10" s="85">
        <f>(I10-J10)/J10</f>
        <v>6.8577440067358513E-3</v>
      </c>
      <c r="M10" s="35"/>
    </row>
    <row r="11" spans="1:18" x14ac:dyDescent="0.2">
      <c r="A11" s="62" t="s">
        <v>16</v>
      </c>
      <c r="B11" s="169">
        <f>'Major Airline Stats'!K34</f>
        <v>2199066</v>
      </c>
      <c r="C11" s="118">
        <f>'Regional Major'!M31</f>
        <v>0</v>
      </c>
      <c r="D11" s="118">
        <f>Cargo!N22</f>
        <v>566092</v>
      </c>
      <c r="E11" s="118">
        <f>SUM(B11:D11)</f>
        <v>2765158</v>
      </c>
      <c r="F11" s="118">
        <f>E11*0.00045359237</f>
        <v>1254.25457064446</v>
      </c>
      <c r="G11" s="146">
        <f>'[1]Cargo Summary'!F11</f>
        <v>1405.5457697342599</v>
      </c>
      <c r="H11" s="35">
        <f>(F11-G11)/G11</f>
        <v>-0.10763875666489595</v>
      </c>
      <c r="I11" s="146">
        <f>+F11+'[2]Cargo Summary'!I11</f>
        <v>10119.69703063781</v>
      </c>
      <c r="J11" s="146">
        <f>'[1]Cargo Summary'!I11</f>
        <v>9752.0957949576696</v>
      </c>
      <c r="K11" s="85">
        <f>(I11-J11)/J11</f>
        <v>3.7694588261756902E-2</v>
      </c>
      <c r="M11" s="35"/>
    </row>
    <row r="12" spans="1:18" ht="18" customHeight="1" thickBot="1" x14ac:dyDescent="0.25">
      <c r="A12" s="73" t="s">
        <v>73</v>
      </c>
      <c r="B12" s="171">
        <f>SUM(B10:B11)</f>
        <v>5536148</v>
      </c>
      <c r="C12" s="133">
        <f t="shared" ref="C12:J12" si="1">SUM(C10:C11)</f>
        <v>3140</v>
      </c>
      <c r="D12" s="133">
        <f t="shared" si="1"/>
        <v>16494494</v>
      </c>
      <c r="E12" s="133">
        <f t="shared" si="1"/>
        <v>22033782</v>
      </c>
      <c r="F12" s="133">
        <f t="shared" si="1"/>
        <v>9994.3553974433398</v>
      </c>
      <c r="G12" s="133">
        <f t="shared" si="1"/>
        <v>9872.4633342227207</v>
      </c>
      <c r="H12" s="44">
        <f>(F12-G12)/G12</f>
        <v>1.2346671655703434E-2</v>
      </c>
      <c r="I12" s="133">
        <f t="shared" si="1"/>
        <v>71516.908806724154</v>
      </c>
      <c r="J12" s="133">
        <f t="shared" si="1"/>
        <v>70731.128971739381</v>
      </c>
      <c r="K12" s="318">
        <f>(I12-J12)/J12</f>
        <v>1.1109391952427777E-2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71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69</v>
      </c>
      <c r="B15" s="169">
        <f>'Major Airline Stats'!K38</f>
        <v>0</v>
      </c>
      <c r="C15" s="118">
        <f>'Regional Major'!M35</f>
        <v>0</v>
      </c>
      <c r="D15" s="118">
        <f>Cargo!N26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22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16</v>
      </c>
      <c r="B16" s="169">
        <f>'Major Airline Stats'!K39</f>
        <v>0</v>
      </c>
      <c r="C16" s="118">
        <f>'Regional Major'!M36</f>
        <v>0</v>
      </c>
      <c r="D16" s="118">
        <f>Cargo!N27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74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18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14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69</v>
      </c>
      <c r="B20" s="169">
        <f t="shared" ref="B20:D21" si="3">B15+B10+B5</f>
        <v>9561461</v>
      </c>
      <c r="C20" s="118">
        <f t="shared" si="3"/>
        <v>14422</v>
      </c>
      <c r="D20" s="118">
        <f t="shared" si="3"/>
        <v>34035468</v>
      </c>
      <c r="E20" s="118">
        <f>SUM(B20:D20)</f>
        <v>43611351</v>
      </c>
      <c r="F20" s="118">
        <f>E20*0.00045359237</f>
        <v>19781.776058991869</v>
      </c>
      <c r="G20" s="146">
        <f>'[1]Cargo Summary'!F20</f>
        <v>19026.246299162409</v>
      </c>
      <c r="H20" s="37">
        <f>(F20-G20)/G20</f>
        <v>3.9709869616410924E-2</v>
      </c>
      <c r="I20" s="146">
        <f>+F20+'[2]Cargo Summary'!I20</f>
        <v>139488.12189095555</v>
      </c>
      <c r="J20" s="146">
        <f>+J5+J10+J15</f>
        <v>135305.77344337053</v>
      </c>
      <c r="K20" s="85">
        <f>(I20-J20)/J20</f>
        <v>3.091034729080093E-2</v>
      </c>
      <c r="M20" s="35"/>
    </row>
    <row r="21" spans="1:13" x14ac:dyDescent="0.2">
      <c r="A21" s="62" t="s">
        <v>16</v>
      </c>
      <c r="B21" s="169">
        <f t="shared" si="3"/>
        <v>4167932</v>
      </c>
      <c r="C21" s="120">
        <f t="shared" si="3"/>
        <v>0</v>
      </c>
      <c r="D21" s="120">
        <f t="shared" si="3"/>
        <v>566248</v>
      </c>
      <c r="E21" s="118">
        <f>SUM(B21:D21)</f>
        <v>4734180</v>
      </c>
      <c r="F21" s="118">
        <f>E21*0.00045359237</f>
        <v>2147.3879262065998</v>
      </c>
      <c r="G21" s="146">
        <f>'[1]Cargo Summary'!F21</f>
        <v>2541.1088249208201</v>
      </c>
      <c r="H21" s="37">
        <f>(F21-G21)/G21</f>
        <v>-0.1549405892628343</v>
      </c>
      <c r="I21" s="146">
        <f>+F21+'[2]Cargo Summary'!I21</f>
        <v>16984.334021121387</v>
      </c>
      <c r="J21" s="146">
        <f>+J6+J11+J16</f>
        <v>17177.375222723098</v>
      </c>
      <c r="K21" s="85">
        <f>(I21-J21)/J21</f>
        <v>-1.1238108214946958E-2</v>
      </c>
      <c r="M21" s="35"/>
    </row>
    <row r="22" spans="1:13" ht="18" customHeight="1" thickBot="1" x14ac:dyDescent="0.25">
      <c r="A22" s="88" t="s">
        <v>62</v>
      </c>
      <c r="B22" s="172">
        <f>SUM(B20:B21)</f>
        <v>13729393</v>
      </c>
      <c r="C22" s="173">
        <f t="shared" ref="C22:J22" si="4">SUM(C20:C21)</f>
        <v>14422</v>
      </c>
      <c r="D22" s="173">
        <f t="shared" si="4"/>
        <v>34601716</v>
      </c>
      <c r="E22" s="173">
        <f t="shared" si="4"/>
        <v>48345531</v>
      </c>
      <c r="F22" s="173">
        <f t="shared" si="4"/>
        <v>21929.163985198469</v>
      </c>
      <c r="G22" s="173">
        <f t="shared" si="4"/>
        <v>21567.355124083228</v>
      </c>
      <c r="H22" s="324">
        <f>(F22-G22)/G22</f>
        <v>1.6775764067204841E-2</v>
      </c>
      <c r="I22" s="173">
        <f t="shared" si="4"/>
        <v>156472.45591207693</v>
      </c>
      <c r="J22" s="173">
        <f t="shared" si="4"/>
        <v>152483.14866609362</v>
      </c>
      <c r="K22" s="325">
        <f>(I22-J22)/J22</f>
        <v>2.6162282723575302E-2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August 2018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1"/>
  <sheetViews>
    <sheetView zoomScaleNormal="100" workbookViewId="0">
      <selection activeCell="L29" sqref="L29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5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2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1"/>
      <c r="K1" s="11"/>
    </row>
    <row r="2" spans="1:19" s="224" customFormat="1" ht="26.25" thickBot="1" x14ac:dyDescent="0.25">
      <c r="A2" s="547" t="s">
        <v>206</v>
      </c>
      <c r="B2" s="548"/>
      <c r="C2" s="459" t="s">
        <v>217</v>
      </c>
      <c r="D2" s="461" t="s">
        <v>192</v>
      </c>
      <c r="E2" s="462" t="s">
        <v>98</v>
      </c>
      <c r="F2" s="463" t="s">
        <v>218</v>
      </c>
      <c r="G2" s="461" t="s">
        <v>193</v>
      </c>
      <c r="H2" s="460" t="s">
        <v>99</v>
      </c>
      <c r="I2" s="462" t="s">
        <v>140</v>
      </c>
      <c r="J2" s="547" t="s">
        <v>201</v>
      </c>
      <c r="K2" s="548"/>
      <c r="L2" s="459" t="s">
        <v>219</v>
      </c>
      <c r="M2" s="461" t="s">
        <v>194</v>
      </c>
      <c r="N2" s="464" t="s">
        <v>99</v>
      </c>
      <c r="O2" s="465" t="s">
        <v>220</v>
      </c>
      <c r="P2" s="465" t="s">
        <v>195</v>
      </c>
      <c r="Q2" s="498" t="s">
        <v>99</v>
      </c>
      <c r="R2" s="462" t="s">
        <v>224</v>
      </c>
    </row>
    <row r="3" spans="1:19" s="224" customFormat="1" ht="13.5" customHeight="1" thickBot="1" x14ac:dyDescent="0.25">
      <c r="A3" s="549">
        <v>43313</v>
      </c>
      <c r="B3" s="550"/>
      <c r="C3" s="551" t="s">
        <v>9</v>
      </c>
      <c r="D3" s="552"/>
      <c r="E3" s="552"/>
      <c r="F3" s="552"/>
      <c r="G3" s="552"/>
      <c r="H3" s="553"/>
      <c r="I3" s="466"/>
      <c r="J3" s="549">
        <f>+A3</f>
        <v>43313</v>
      </c>
      <c r="K3" s="550"/>
      <c r="L3" s="541" t="s">
        <v>202</v>
      </c>
      <c r="M3" s="542"/>
      <c r="N3" s="542"/>
      <c r="O3" s="542"/>
      <c r="P3" s="542"/>
      <c r="Q3" s="542"/>
      <c r="R3" s="543"/>
    </row>
    <row r="4" spans="1:19" x14ac:dyDescent="0.2">
      <c r="A4" s="342"/>
      <c r="B4" s="343"/>
      <c r="C4" s="344"/>
      <c r="D4" s="345"/>
      <c r="E4" s="346"/>
      <c r="F4" s="467"/>
      <c r="G4" s="412"/>
      <c r="H4" s="484"/>
      <c r="I4" s="346"/>
      <c r="J4" s="347"/>
      <c r="K4" s="343"/>
      <c r="L4" s="493"/>
      <c r="M4" s="5"/>
      <c r="N4" s="85"/>
      <c r="O4" s="53"/>
      <c r="P4" s="11"/>
      <c r="Q4" s="11"/>
      <c r="R4" s="55"/>
    </row>
    <row r="5" spans="1:19" ht="14.1" customHeight="1" x14ac:dyDescent="0.2">
      <c r="A5" s="349" t="s">
        <v>203</v>
      </c>
      <c r="B5" s="55"/>
      <c r="C5" s="350">
        <f>+[3]DHL!$FU$12</f>
        <v>46</v>
      </c>
      <c r="D5" s="352">
        <f>+[3]DHL!$FG$12</f>
        <v>44</v>
      </c>
      <c r="E5" s="353">
        <f>(C5-D5)/D5</f>
        <v>4.5454545454545456E-2</v>
      </c>
      <c r="F5" s="350">
        <f>+SUM([3]DHL!$FN$12:$FU$12)</f>
        <v>326</v>
      </c>
      <c r="G5" s="352">
        <f>+SUM([3]DHL!$EZ$12:$FG$12)</f>
        <v>346</v>
      </c>
      <c r="H5" s="351">
        <f>(F5-G5)/G5</f>
        <v>-5.7803468208092484E-2</v>
      </c>
      <c r="I5" s="353">
        <f>+F5/$F$24</f>
        <v>3.3912410277748883E-2</v>
      </c>
      <c r="J5" s="349" t="s">
        <v>203</v>
      </c>
      <c r="K5" s="55"/>
      <c r="L5" s="350">
        <f>+[3]DHL!$FU$64</f>
        <v>1383084</v>
      </c>
      <c r="M5" s="352">
        <f>+[3]DHL!$FG$64</f>
        <v>1392256</v>
      </c>
      <c r="N5" s="353">
        <f>(L5-M5)/M5</f>
        <v>-6.5878688976739909E-3</v>
      </c>
      <c r="O5" s="350">
        <f>+SUM([3]DHL!$FN$64:$FU$64)</f>
        <v>9969586</v>
      </c>
      <c r="P5" s="352">
        <f>+SUM([3]DHL!$EZ$64:$FG$64)</f>
        <v>10202466</v>
      </c>
      <c r="Q5" s="351">
        <f>(O5-P5)/P5</f>
        <v>-2.2825854063125522E-2</v>
      </c>
      <c r="R5" s="353">
        <f>O5/$O$24</f>
        <v>4.208087003519715E-2</v>
      </c>
      <c r="S5" s="20"/>
    </row>
    <row r="6" spans="1:19" ht="14.1" customHeight="1" x14ac:dyDescent="0.2">
      <c r="A6" s="349"/>
      <c r="B6" s="362"/>
      <c r="C6" s="350"/>
      <c r="D6" s="352"/>
      <c r="E6" s="353"/>
      <c r="F6" s="350"/>
      <c r="G6" s="352"/>
      <c r="H6" s="351"/>
      <c r="I6" s="353"/>
      <c r="J6" s="349"/>
      <c r="K6" s="55"/>
      <c r="L6" s="354"/>
      <c r="M6" s="9"/>
      <c r="N6" s="86"/>
      <c r="O6" s="354"/>
      <c r="P6" s="352"/>
      <c r="Q6" s="39"/>
      <c r="R6" s="86"/>
      <c r="S6" s="20"/>
    </row>
    <row r="7" spans="1:19" ht="14.1" customHeight="1" x14ac:dyDescent="0.2">
      <c r="A7" s="349" t="s">
        <v>204</v>
      </c>
      <c r="B7" s="362"/>
      <c r="C7" s="350">
        <f>+[3]FedEx!$FU$12</f>
        <v>272</v>
      </c>
      <c r="D7" s="352">
        <f>+[3]FedEx!$FG$12</f>
        <v>280</v>
      </c>
      <c r="E7" s="353">
        <f>(C7-D7)/D7</f>
        <v>-2.8571428571428571E-2</v>
      </c>
      <c r="F7" s="350">
        <f>+SUM([3]FedEx!$FN$12:$FU$12)</f>
        <v>1902</v>
      </c>
      <c r="G7" s="352">
        <f>+SUM([3]FedEx!$EZ$12:$FG$12)</f>
        <v>1467</v>
      </c>
      <c r="H7" s="351">
        <f t="shared" ref="H7" si="0">(F7-G7)/G7</f>
        <v>0.29652351738241312</v>
      </c>
      <c r="I7" s="353">
        <f>+F7/$F$24</f>
        <v>0.19785706855300114</v>
      </c>
      <c r="J7" s="349" t="s">
        <v>204</v>
      </c>
      <c r="K7" s="55"/>
      <c r="L7" s="350">
        <f>+[3]FedEx!$FU$64</f>
        <v>17691991</v>
      </c>
      <c r="M7" s="352">
        <f>+[3]FedEx!$FG$64</f>
        <v>18032563</v>
      </c>
      <c r="N7" s="353">
        <f>(L7-M7)/M7</f>
        <v>-1.8886499939026972E-2</v>
      </c>
      <c r="O7" s="350">
        <f>+SUM([3]FedEx!$FN$64:$FU$64)</f>
        <v>134882277</v>
      </c>
      <c r="P7" s="352">
        <f>+SUM([3]FedEx!$EZ$64:$FG$64)</f>
        <v>133579421</v>
      </c>
      <c r="Q7" s="351">
        <f t="shared" ref="Q7" si="1">(O7-P7)/P7</f>
        <v>9.7534185299395781E-3</v>
      </c>
      <c r="R7" s="353">
        <f>O7/$O$24</f>
        <v>0.56932791075662137</v>
      </c>
      <c r="S7" s="20"/>
    </row>
    <row r="8" spans="1:19" ht="14.1" customHeight="1" x14ac:dyDescent="0.2">
      <c r="A8" s="349"/>
      <c r="B8" s="362"/>
      <c r="C8" s="350"/>
      <c r="D8" s="352"/>
      <c r="E8" s="353"/>
      <c r="F8" s="350"/>
      <c r="G8" s="352"/>
      <c r="H8" s="351"/>
      <c r="I8" s="353"/>
      <c r="J8" s="349"/>
      <c r="K8" s="55"/>
      <c r="L8" s="354"/>
      <c r="M8" s="9"/>
      <c r="N8" s="86"/>
      <c r="O8" s="354"/>
      <c r="P8" s="9"/>
      <c r="Q8" s="39"/>
      <c r="R8" s="86"/>
      <c r="S8" s="20"/>
    </row>
    <row r="9" spans="1:19" ht="14.1" customHeight="1" x14ac:dyDescent="0.2">
      <c r="A9" s="349" t="s">
        <v>83</v>
      </c>
      <c r="B9" s="362"/>
      <c r="C9" s="350">
        <f>+[3]UPS!$FU$12</f>
        <v>232</v>
      </c>
      <c r="D9" s="352">
        <f>+[3]UPS!$FG$12</f>
        <v>212</v>
      </c>
      <c r="E9" s="353">
        <f>(C9-D9)/D9</f>
        <v>9.4339622641509441E-2</v>
      </c>
      <c r="F9" s="350">
        <f>+SUM([3]UPS!$FN$12:$FU$12)</f>
        <v>1652</v>
      </c>
      <c r="G9" s="352">
        <f>+SUM([3]UPS!$EZ$12:$FG$12)</f>
        <v>1524</v>
      </c>
      <c r="H9" s="351">
        <f>(F9-G9)/G9</f>
        <v>8.3989501312335957E-2</v>
      </c>
      <c r="I9" s="353">
        <f>+F9/$F$24</f>
        <v>0.17185061895350046</v>
      </c>
      <c r="J9" s="349" t="s">
        <v>83</v>
      </c>
      <c r="K9" s="55"/>
      <c r="L9" s="350">
        <f>+[3]UPS!$FU$64</f>
        <v>12973523</v>
      </c>
      <c r="M9" s="352">
        <f>+[3]UPS!$FG$64</f>
        <v>13122272</v>
      </c>
      <c r="N9" s="353">
        <f>(L9-M9)/M9</f>
        <v>-1.1335613223076003E-2</v>
      </c>
      <c r="O9" s="350">
        <f>+SUM([3]UPS!$FN$64:$FU$64)</f>
        <v>89968342</v>
      </c>
      <c r="P9" s="352">
        <f>+SUM([3]UPS!$EZ$64:$FG$64)</f>
        <v>86140653</v>
      </c>
      <c r="Q9" s="351">
        <f>(O9-P9)/P9</f>
        <v>4.4435337633207866E-2</v>
      </c>
      <c r="R9" s="353">
        <f>O9/$O$24</f>
        <v>0.37974958107429629</v>
      </c>
      <c r="S9" s="20"/>
    </row>
    <row r="10" spans="1:19" ht="14.1" customHeight="1" x14ac:dyDescent="0.2">
      <c r="A10" s="349"/>
      <c r="B10" s="362"/>
      <c r="C10" s="350"/>
      <c r="D10" s="352"/>
      <c r="E10" s="353"/>
      <c r="F10" s="350"/>
      <c r="G10" s="352"/>
      <c r="H10" s="351"/>
      <c r="I10" s="353"/>
      <c r="J10" s="349"/>
      <c r="K10" s="55"/>
      <c r="L10" s="354"/>
      <c r="M10" s="9"/>
      <c r="N10" s="86"/>
      <c r="O10" s="354"/>
      <c r="P10" s="9"/>
      <c r="Q10" s="39"/>
      <c r="R10" s="86"/>
      <c r="S10" s="20"/>
    </row>
    <row r="11" spans="1:19" ht="14.1" customHeight="1" x14ac:dyDescent="0.2">
      <c r="A11" s="349" t="s">
        <v>187</v>
      </c>
      <c r="B11" s="362"/>
      <c r="C11" s="350">
        <f>+[3]IFL!$FU$12</f>
        <v>48</v>
      </c>
      <c r="D11" s="352">
        <f>+[3]IFL!$FG$12</f>
        <v>38</v>
      </c>
      <c r="E11" s="353">
        <f>(C11-D11)/D11</f>
        <v>0.26315789473684209</v>
      </c>
      <c r="F11" s="350">
        <f>+SUM([3]IFL!$FN$12:$FU$12)</f>
        <v>350</v>
      </c>
      <c r="G11" s="352">
        <f>+SUM([3]IFL!$EZ$12:$FG$12)</f>
        <v>440</v>
      </c>
      <c r="H11" s="351">
        <f>(F11-G11)/G11</f>
        <v>-0.20454545454545456</v>
      </c>
      <c r="I11" s="353">
        <f>+F11/$F$24</f>
        <v>3.6409029439300945E-2</v>
      </c>
      <c r="J11" s="349" t="s">
        <v>187</v>
      </c>
      <c r="K11" s="55"/>
      <c r="L11" s="350">
        <f>+[3]IFL!$FU$64</f>
        <v>25461</v>
      </c>
      <c r="M11" s="352">
        <f>+[3]IFL!$FG$64</f>
        <v>21020</v>
      </c>
      <c r="N11" s="353">
        <f>(L11-M11)/M11</f>
        <v>0.21127497621313035</v>
      </c>
      <c r="O11" s="350">
        <f>+SUM([3]IFL!$FN$64:$FU$64)</f>
        <v>173457</v>
      </c>
      <c r="P11" s="352">
        <f>+SUM([3]IFL!$EZ$64:$FG$64)</f>
        <v>503946</v>
      </c>
      <c r="Q11" s="351">
        <f>(O11-P11)/P11</f>
        <v>-0.65580240740079299</v>
      </c>
      <c r="R11" s="353">
        <f>O11/$O$24</f>
        <v>7.3214890504933621E-4</v>
      </c>
      <c r="S11" s="20"/>
    </row>
    <row r="12" spans="1:19" ht="14.1" customHeight="1" x14ac:dyDescent="0.2">
      <c r="A12" s="349"/>
      <c r="B12" s="362"/>
      <c r="C12" s="350"/>
      <c r="D12" s="355"/>
      <c r="E12" s="353"/>
      <c r="F12" s="468"/>
      <c r="G12" s="355"/>
      <c r="H12" s="351"/>
      <c r="I12" s="353"/>
      <c r="J12" s="349"/>
      <c r="K12" s="55"/>
      <c r="L12" s="356"/>
      <c r="M12" s="146"/>
      <c r="N12" s="86"/>
      <c r="O12" s="356"/>
      <c r="P12" s="146"/>
      <c r="Q12" s="39"/>
      <c r="R12" s="86"/>
      <c r="S12" s="20"/>
    </row>
    <row r="13" spans="1:19" ht="14.1" customHeight="1" x14ac:dyDescent="0.2">
      <c r="A13" s="349" t="s">
        <v>167</v>
      </c>
      <c r="B13" s="361"/>
      <c r="C13" s="350">
        <f>+'[3]Suburban Air Freight'!$FU$12</f>
        <v>0</v>
      </c>
      <c r="D13" s="352">
        <f>+'[3]Suburban Air Freight'!$FG$12</f>
        <v>0</v>
      </c>
      <c r="E13" s="353" t="e">
        <f>(C13-D13)/D13</f>
        <v>#DIV/0!</v>
      </c>
      <c r="F13" s="350">
        <f>+SUM('[3]Suburban Air Freight'!$FN$12:$FU$12)</f>
        <v>0</v>
      </c>
      <c r="G13" s="352">
        <f>+SUM('[3]Suburban Air Freight'!$EZ$12:$FG$12)</f>
        <v>0</v>
      </c>
      <c r="H13" s="351" t="e">
        <f t="shared" ref="H13" si="2">(F13-G13)/G13</f>
        <v>#DIV/0!</v>
      </c>
      <c r="I13" s="353">
        <f>+F13/$F$24</f>
        <v>0</v>
      </c>
      <c r="J13" s="349" t="s">
        <v>167</v>
      </c>
      <c r="K13" s="357"/>
      <c r="L13" s="350">
        <f>+'[3]Suburban Air Freight'!$FU$64</f>
        <v>0</v>
      </c>
      <c r="M13" s="352">
        <f>+'[3]Suburban Air Freight'!$FG$64</f>
        <v>99751</v>
      </c>
      <c r="N13" s="353">
        <f>(L13-M13)/M13</f>
        <v>-1</v>
      </c>
      <c r="O13" s="350">
        <f>+SUM('[3]Suburban Air Freight'!$FN$64:$FU$64)</f>
        <v>0</v>
      </c>
      <c r="P13" s="352">
        <f>+SUM('[3]Suburban Air Freight'!$EZ$64:$FG$64)</f>
        <v>777992</v>
      </c>
      <c r="Q13" s="351">
        <f t="shared" ref="Q13" si="3">(O13-P13)/P13</f>
        <v>-1</v>
      </c>
      <c r="R13" s="353">
        <f>O13/$O$24</f>
        <v>0</v>
      </c>
      <c r="S13" s="20"/>
    </row>
    <row r="14" spans="1:19" ht="14.1" customHeight="1" x14ac:dyDescent="0.2">
      <c r="A14" s="53"/>
      <c r="B14" s="359"/>
      <c r="C14" s="350"/>
      <c r="D14" s="9"/>
      <c r="E14" s="86"/>
      <c r="F14" s="354"/>
      <c r="G14" s="9"/>
      <c r="H14" s="39"/>
      <c r="I14" s="86"/>
      <c r="J14" s="53"/>
      <c r="K14" s="359"/>
      <c r="L14" s="354"/>
      <c r="M14" s="9"/>
      <c r="N14" s="86"/>
      <c r="O14" s="354"/>
      <c r="P14" s="9"/>
      <c r="Q14" s="39"/>
      <c r="R14" s="86"/>
      <c r="S14" s="20"/>
    </row>
    <row r="15" spans="1:19" ht="14.1" customHeight="1" x14ac:dyDescent="0.2">
      <c r="A15" s="349" t="s">
        <v>85</v>
      </c>
      <c r="B15" s="359"/>
      <c r="C15" s="350">
        <f>+[3]Bemidji!$FU$12</f>
        <v>590</v>
      </c>
      <c r="D15" s="352">
        <f>+[3]Bemidji!$FG$12</f>
        <v>598</v>
      </c>
      <c r="E15" s="353">
        <f>(C15-D15)/D15</f>
        <v>-1.3377926421404682E-2</v>
      </c>
      <c r="F15" s="350">
        <f>+SUM([3]Bemidji!$FN$12:$FU$12)</f>
        <v>4464</v>
      </c>
      <c r="G15" s="352">
        <f>+SUM([3]Bemidji!$EZ$12:$FG$12)</f>
        <v>4340</v>
      </c>
      <c r="H15" s="351">
        <f t="shared" ref="H15" si="4">(F15-G15)/G15</f>
        <v>2.8571428571428571E-2</v>
      </c>
      <c r="I15" s="353">
        <f>+F15/$F$24</f>
        <v>0.46437116404868406</v>
      </c>
      <c r="J15" s="349" t="s">
        <v>85</v>
      </c>
      <c r="K15" s="359"/>
      <c r="L15" s="544" t="s">
        <v>207</v>
      </c>
      <c r="M15" s="545"/>
      <c r="N15" s="545"/>
      <c r="O15" s="545"/>
      <c r="P15" s="545"/>
      <c r="Q15" s="545"/>
      <c r="R15" s="546"/>
      <c r="S15" s="20"/>
    </row>
    <row r="16" spans="1:19" ht="14.1" customHeight="1" x14ac:dyDescent="0.2">
      <c r="A16" s="53"/>
      <c r="B16" s="359"/>
      <c r="C16" s="350"/>
      <c r="D16" s="9"/>
      <c r="E16" s="86"/>
      <c r="F16" s="354"/>
      <c r="G16" s="9"/>
      <c r="H16" s="39"/>
      <c r="I16" s="86"/>
      <c r="J16" s="53"/>
      <c r="K16" s="359"/>
      <c r="L16" s="354"/>
      <c r="M16" s="9"/>
      <c r="N16" s="86"/>
      <c r="O16" s="354"/>
      <c r="P16" s="9"/>
      <c r="Q16" s="39"/>
      <c r="R16" s="86"/>
      <c r="S16" s="20"/>
    </row>
    <row r="17" spans="1:19" ht="14.1" customHeight="1" x14ac:dyDescent="0.2">
      <c r="A17" s="349" t="s">
        <v>86</v>
      </c>
      <c r="B17" s="359"/>
      <c r="C17" s="350">
        <f>+'[3]CSA Air'!$FU$12</f>
        <v>0</v>
      </c>
      <c r="D17" s="352">
        <f>+'[3]CSA Air'!$FG$12</f>
        <v>0</v>
      </c>
      <c r="E17" s="353" t="e">
        <f>(C17-D17)/D17</f>
        <v>#DIV/0!</v>
      </c>
      <c r="F17" s="350">
        <f>+SUM('[3]CSA Air'!$FN$12:$FU$12)</f>
        <v>7</v>
      </c>
      <c r="G17" s="352">
        <f>+SUM('[3]CSA Air'!$EZ$12:$FG$12)</f>
        <v>222</v>
      </c>
      <c r="H17" s="351">
        <f t="shared" ref="H17" si="5">(F17-G17)/G17</f>
        <v>-0.96846846846846846</v>
      </c>
      <c r="I17" s="353">
        <f>+F17/$F$24</f>
        <v>7.2818058878601889E-4</v>
      </c>
      <c r="J17" s="349" t="s">
        <v>86</v>
      </c>
      <c r="K17" s="359"/>
      <c r="L17" s="350">
        <f>+'[3]CSA Air'!$FU$64</f>
        <v>0</v>
      </c>
      <c r="M17" s="352">
        <f>+'[3]CSA Air'!$FG$64</f>
        <v>0</v>
      </c>
      <c r="N17" s="353" t="e">
        <f>(L17-M17)/M17</f>
        <v>#DIV/0!</v>
      </c>
      <c r="O17" s="350">
        <f>+SUM('[3]CSA Air'!$FN$64:$FU$64)</f>
        <v>4785</v>
      </c>
      <c r="P17" s="352">
        <f>+SUM('[3]CSA Air'!$EZ$64:$FG$64)</f>
        <v>316444</v>
      </c>
      <c r="Q17" s="351">
        <f t="shared" ref="Q17" si="6">(O17-P17)/P17</f>
        <v>-0.98487884112196789</v>
      </c>
      <c r="R17" s="353">
        <f>O17/$O$24</f>
        <v>2.0197123844301896E-5</v>
      </c>
      <c r="S17" s="20"/>
    </row>
    <row r="18" spans="1:19" ht="14.1" customHeight="1" x14ac:dyDescent="0.2">
      <c r="A18" s="53"/>
      <c r="B18" s="359"/>
      <c r="C18" s="350"/>
      <c r="D18" s="9"/>
      <c r="E18" s="86"/>
      <c r="F18" s="354"/>
      <c r="G18" s="9"/>
      <c r="H18" s="39"/>
      <c r="I18" s="86"/>
      <c r="J18" s="53"/>
      <c r="K18" s="359"/>
      <c r="L18" s="354"/>
      <c r="M18" s="9"/>
      <c r="N18" s="86"/>
      <c r="O18" s="354"/>
      <c r="P18" s="9"/>
      <c r="Q18" s="39"/>
      <c r="R18" s="86"/>
      <c r="S18" s="20"/>
    </row>
    <row r="19" spans="1:19" ht="14.1" customHeight="1" x14ac:dyDescent="0.2">
      <c r="A19" s="349" t="s">
        <v>87</v>
      </c>
      <c r="B19" s="361"/>
      <c r="C19" s="350">
        <f>+'[3]Mountain Cargo'!$FU$12</f>
        <v>46</v>
      </c>
      <c r="D19" s="352">
        <f>+'[3]Mountain Cargo'!$FG$12</f>
        <v>46</v>
      </c>
      <c r="E19" s="353">
        <f>(C19-D19)/D19</f>
        <v>0</v>
      </c>
      <c r="F19" s="350">
        <f>+SUM('[3]Mountain Cargo'!$FN$12:$FU$12)</f>
        <v>324</v>
      </c>
      <c r="G19" s="352">
        <f>+SUM('[3]Mountain Cargo'!$EZ$12:$FG$12)</f>
        <v>328</v>
      </c>
      <c r="H19" s="351">
        <f>(F19-G19)/G19</f>
        <v>-1.2195121951219513E-2</v>
      </c>
      <c r="I19" s="353">
        <f>+F19/$F$24</f>
        <v>3.3704358680952874E-2</v>
      </c>
      <c r="J19" s="349" t="s">
        <v>87</v>
      </c>
      <c r="K19" s="361"/>
      <c r="L19" s="350">
        <f>+'[3]Mountain Cargo'!$FU$64</f>
        <v>235290</v>
      </c>
      <c r="M19" s="352">
        <f>+'[3]Mountain Cargo'!$FG$64</f>
        <v>205046</v>
      </c>
      <c r="N19" s="353">
        <f>(L19-M19)/M19</f>
        <v>0.14749861006798473</v>
      </c>
      <c r="O19" s="350">
        <f>+SUM('[3]Mountain Cargo'!$FN$64:$FU$64)</f>
        <v>1081407</v>
      </c>
      <c r="P19" s="352">
        <f>+SUM('[3]Mountain Cargo'!$EZ$64:$FG$64)</f>
        <v>1459077</v>
      </c>
      <c r="Q19" s="351">
        <f t="shared" ref="Q19" si="7">(O19-P19)/P19</f>
        <v>-0.25884171979957193</v>
      </c>
      <c r="R19" s="353">
        <f>O19/$O$24</f>
        <v>4.5645373260386583E-3</v>
      </c>
      <c r="S19" s="414"/>
    </row>
    <row r="20" spans="1:19" ht="14.1" customHeight="1" x14ac:dyDescent="0.2">
      <c r="A20" s="53"/>
      <c r="B20" s="426"/>
      <c r="C20" s="350"/>
      <c r="D20" s="9"/>
      <c r="E20" s="86"/>
      <c r="F20" s="354"/>
      <c r="G20" s="9"/>
      <c r="H20" s="39"/>
      <c r="I20" s="86"/>
      <c r="J20" s="53"/>
      <c r="K20" s="426"/>
      <c r="L20" s="354"/>
      <c r="M20" s="9"/>
      <c r="N20" s="86"/>
      <c r="O20" s="354"/>
      <c r="P20" s="9"/>
      <c r="Q20" s="39"/>
      <c r="R20" s="86"/>
      <c r="S20" s="328"/>
    </row>
    <row r="21" spans="1:19" s="7" customFormat="1" ht="14.1" customHeight="1" x14ac:dyDescent="0.2">
      <c r="A21" s="349" t="s">
        <v>130</v>
      </c>
      <c r="B21" s="362"/>
      <c r="C21" s="350">
        <f>+'[3]Misc Cargo'!$FU$12</f>
        <v>99</v>
      </c>
      <c r="D21" s="352">
        <f>+'[3]Misc Cargo'!$FG$12</f>
        <v>50</v>
      </c>
      <c r="E21" s="353">
        <f>(C21-D21)/D21</f>
        <v>0.98</v>
      </c>
      <c r="F21" s="350">
        <f>+SUM('[3]Misc Cargo'!$FN$12:$FU$12)</f>
        <v>588</v>
      </c>
      <c r="G21" s="352">
        <f>+SUM('[3]Misc Cargo'!$EZ$12:$FG$12)</f>
        <v>351</v>
      </c>
      <c r="H21" s="351">
        <f>(F21-G21)/G21</f>
        <v>0.67521367521367526</v>
      </c>
      <c r="I21" s="353">
        <f>+F21/$F$24</f>
        <v>6.116716945802559E-2</v>
      </c>
      <c r="J21" s="349" t="s">
        <v>130</v>
      </c>
      <c r="K21" s="362"/>
      <c r="L21" s="350">
        <f>+'[3]Misc Cargo'!$FU$64</f>
        <v>120693</v>
      </c>
      <c r="M21" s="352">
        <f>+'[3]Misc Cargo'!$FG$64</f>
        <v>102744</v>
      </c>
      <c r="N21" s="353">
        <f>(L21-M21)/M21</f>
        <v>0.17469633263256248</v>
      </c>
      <c r="O21" s="350">
        <f>+SUM('[3]Misc Cargo'!$FN$64:$FU$64)</f>
        <v>835067</v>
      </c>
      <c r="P21" s="352">
        <f>+SUM('[3]Misc Cargo'!$EZ$64:$FG$64)</f>
        <v>713040</v>
      </c>
      <c r="Q21" s="351">
        <f>(O21-P21)/P21</f>
        <v>0.17113626164030069</v>
      </c>
      <c r="R21" s="353">
        <f>O21/$O$24</f>
        <v>3.5247547789529054E-3</v>
      </c>
      <c r="S21" s="469"/>
    </row>
    <row r="22" spans="1:19" s="7" customFormat="1" ht="14.1" customHeight="1" thickBot="1" x14ac:dyDescent="0.25">
      <c r="A22" s="470"/>
      <c r="B22" s="471"/>
      <c r="C22" s="472"/>
      <c r="D22" s="474"/>
      <c r="E22" s="475"/>
      <c r="F22" s="472"/>
      <c r="G22" s="474"/>
      <c r="H22" s="473"/>
      <c r="I22" s="475"/>
      <c r="J22" s="349"/>
      <c r="K22" s="362"/>
      <c r="L22" s="364"/>
      <c r="M22" s="368"/>
      <c r="N22" s="367"/>
      <c r="O22" s="364"/>
      <c r="P22" s="368"/>
      <c r="Q22" s="365"/>
      <c r="R22" s="471"/>
      <c r="S22" s="469"/>
    </row>
    <row r="23" spans="1:19" ht="13.5" thickBot="1" x14ac:dyDescent="0.25">
      <c r="B23" s="7"/>
      <c r="D23" s="227"/>
      <c r="E23" s="227"/>
      <c r="F23" s="4"/>
      <c r="G23" s="7"/>
      <c r="H23"/>
      <c r="I23"/>
      <c r="J23"/>
      <c r="K23"/>
      <c r="M23"/>
      <c r="N23"/>
    </row>
    <row r="24" spans="1:19" s="476" customFormat="1" ht="15.75" thickBot="1" x14ac:dyDescent="0.3">
      <c r="B24" s="477" t="s">
        <v>205</v>
      </c>
      <c r="C24" s="478">
        <f>+SUM(C5:C21)</f>
        <v>1333</v>
      </c>
      <c r="D24" s="479">
        <f>SUM(D5:D22)</f>
        <v>1268</v>
      </c>
      <c r="E24" s="480">
        <f>(C24-D24)/D24</f>
        <v>5.1261829652996846E-2</v>
      </c>
      <c r="F24" s="478">
        <f>+SUM(F5:F21)</f>
        <v>9613</v>
      </c>
      <c r="G24" s="478">
        <f>+SUM(G5:G21)</f>
        <v>9018</v>
      </c>
      <c r="H24" s="481">
        <f>(F24-G24)/G24</f>
        <v>6.597915280550011E-2</v>
      </c>
      <c r="I24" s="497"/>
      <c r="K24" s="477" t="s">
        <v>205</v>
      </c>
      <c r="L24" s="478">
        <f>+SUM(L5:L21)</f>
        <v>32430042</v>
      </c>
      <c r="M24" s="482">
        <f>SUM(M5:M22)</f>
        <v>32975652</v>
      </c>
      <c r="N24" s="483">
        <f>(L24-M24)/M24</f>
        <v>-1.654584418831203E-2</v>
      </c>
      <c r="O24" s="478">
        <f>+SUM(O5:O21)</f>
        <v>236914921</v>
      </c>
      <c r="P24" s="478">
        <f>+SUM(P5:P21)</f>
        <v>233693039</v>
      </c>
      <c r="Q24" s="481">
        <f t="shared" ref="Q24" si="8">(O24-P24)/P24</f>
        <v>1.3786812023955921E-2</v>
      </c>
      <c r="R24" s="497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7"/>
      <c r="F94" s="231"/>
      <c r="G94" s="5"/>
      <c r="H94" s="37"/>
      <c r="I94" s="37"/>
      <c r="K94" s="11"/>
    </row>
    <row r="95" spans="4:14" x14ac:dyDescent="0.2">
      <c r="E95" s="37"/>
      <c r="F95" s="231"/>
      <c r="G95" s="5"/>
      <c r="H95" s="37"/>
      <c r="I95" s="37"/>
      <c r="K95" s="11"/>
    </row>
    <row r="96" spans="4:14" x14ac:dyDescent="0.2">
      <c r="E96" s="37"/>
      <c r="F96" s="231"/>
      <c r="G96" s="5"/>
      <c r="H96" s="37"/>
      <c r="I96" s="37"/>
      <c r="K96" s="11"/>
    </row>
    <row r="97" spans="5:11" x14ac:dyDescent="0.2">
      <c r="E97" s="37"/>
      <c r="F97" s="231"/>
      <c r="G97" s="5"/>
      <c r="H97" s="37"/>
      <c r="I97" s="37"/>
      <c r="K97" s="11"/>
    </row>
    <row r="98" spans="5:11" x14ac:dyDescent="0.2">
      <c r="E98" s="37"/>
      <c r="F98" s="231"/>
      <c r="G98" s="5"/>
      <c r="H98" s="37"/>
      <c r="I98" s="37"/>
      <c r="K98" s="11"/>
    </row>
    <row r="99" spans="5:11" x14ac:dyDescent="0.2">
      <c r="E99" s="37"/>
      <c r="F99" s="231"/>
      <c r="G99" s="5"/>
      <c r="H99" s="37"/>
      <c r="I99" s="37"/>
      <c r="K99" s="11"/>
    </row>
    <row r="100" spans="5:11" x14ac:dyDescent="0.2">
      <c r="E100" s="37"/>
      <c r="F100" s="231"/>
      <c r="G100" s="5"/>
      <c r="H100" s="37"/>
      <c r="I100" s="37"/>
      <c r="K100" s="11"/>
    </row>
    <row r="101" spans="5:11" x14ac:dyDescent="0.2">
      <c r="E101" s="37"/>
      <c r="F101" s="231"/>
      <c r="G101" s="5"/>
      <c r="H101" s="37"/>
      <c r="I101" s="37"/>
      <c r="K101" s="11"/>
    </row>
    <row r="102" spans="5:11" x14ac:dyDescent="0.2">
      <c r="E102" s="37"/>
      <c r="F102" s="231"/>
      <c r="G102" s="5"/>
      <c r="H102" s="37"/>
      <c r="I102" s="37"/>
      <c r="K102" s="11"/>
    </row>
    <row r="103" spans="5:11" x14ac:dyDescent="0.2">
      <c r="E103" s="37"/>
      <c r="F103" s="231"/>
      <c r="G103" s="5"/>
      <c r="H103" s="37"/>
      <c r="I103" s="37"/>
      <c r="K103" s="11"/>
    </row>
    <row r="104" spans="5:11" x14ac:dyDescent="0.2">
      <c r="E104" s="37"/>
      <c r="F104" s="231"/>
      <c r="G104" s="5"/>
      <c r="H104" s="37"/>
      <c r="I104" s="37"/>
      <c r="K104" s="11"/>
    </row>
    <row r="105" spans="5:11" x14ac:dyDescent="0.2">
      <c r="E105" s="37"/>
      <c r="F105" s="231"/>
      <c r="G105" s="5"/>
      <c r="H105" s="37"/>
      <c r="I105" s="37"/>
      <c r="K105" s="11"/>
    </row>
    <row r="106" spans="5:11" x14ac:dyDescent="0.2">
      <c r="E106" s="37"/>
      <c r="F106" s="231"/>
      <c r="G106" s="5"/>
      <c r="H106" s="37"/>
      <c r="I106" s="37"/>
      <c r="K106" s="11"/>
    </row>
    <row r="107" spans="5:11" x14ac:dyDescent="0.2">
      <c r="E107" s="37"/>
      <c r="F107" s="231"/>
      <c r="G107" s="5"/>
      <c r="H107" s="37"/>
      <c r="I107" s="37"/>
      <c r="K107" s="11"/>
    </row>
    <row r="108" spans="5:11" x14ac:dyDescent="0.2">
      <c r="E108" s="37"/>
      <c r="F108" s="231"/>
      <c r="G108" s="5"/>
      <c r="H108" s="37"/>
      <c r="I108" s="37"/>
      <c r="K108" s="11"/>
    </row>
    <row r="109" spans="5:11" x14ac:dyDescent="0.2">
      <c r="E109" s="37"/>
      <c r="F109" s="231"/>
      <c r="G109" s="5"/>
      <c r="H109" s="37"/>
      <c r="I109" s="37"/>
      <c r="K109" s="11"/>
    </row>
    <row r="110" spans="5:11" x14ac:dyDescent="0.2">
      <c r="E110" s="37"/>
      <c r="F110" s="231"/>
      <c r="G110" s="5"/>
      <c r="H110" s="37"/>
      <c r="I110" s="37"/>
      <c r="K110" s="11"/>
    </row>
    <row r="111" spans="5:11" x14ac:dyDescent="0.2">
      <c r="E111" s="37"/>
      <c r="F111" s="231"/>
      <c r="G111" s="5"/>
      <c r="H111" s="37"/>
      <c r="I111" s="37"/>
      <c r="K111" s="11"/>
    </row>
    <row r="112" spans="5:11" x14ac:dyDescent="0.2">
      <c r="E112" s="37"/>
      <c r="F112" s="231"/>
      <c r="G112" s="5"/>
      <c r="H112" s="37"/>
      <c r="I112" s="37"/>
      <c r="K112" s="11"/>
    </row>
    <row r="113" spans="5:11" x14ac:dyDescent="0.2">
      <c r="E113" s="37"/>
      <c r="F113" s="231"/>
      <c r="G113" s="5"/>
      <c r="H113" s="37"/>
      <c r="I113" s="37"/>
      <c r="K113" s="11"/>
    </row>
    <row r="114" spans="5:11" x14ac:dyDescent="0.2">
      <c r="E114" s="37"/>
      <c r="F114" s="231"/>
      <c r="G114" s="5"/>
      <c r="H114" s="37"/>
      <c r="I114" s="37"/>
      <c r="K114" s="11"/>
    </row>
    <row r="115" spans="5:11" x14ac:dyDescent="0.2">
      <c r="E115" s="37"/>
      <c r="F115" s="231"/>
      <c r="G115" s="5"/>
      <c r="H115" s="37"/>
      <c r="I115" s="37"/>
      <c r="K115" s="11"/>
    </row>
    <row r="116" spans="5:11" x14ac:dyDescent="0.2">
      <c r="E116" s="37"/>
      <c r="F116" s="231"/>
      <c r="G116" s="5"/>
      <c r="H116" s="37"/>
      <c r="I116" s="37"/>
      <c r="K116" s="11"/>
    </row>
    <row r="117" spans="5:11" x14ac:dyDescent="0.2">
      <c r="E117" s="37"/>
      <c r="F117" s="231"/>
      <c r="G117" s="5"/>
      <c r="H117" s="37"/>
      <c r="I117" s="37"/>
      <c r="K117" s="11"/>
    </row>
    <row r="118" spans="5:11" x14ac:dyDescent="0.2">
      <c r="E118" s="37"/>
      <c r="F118" s="231"/>
      <c r="G118" s="5"/>
      <c r="H118" s="37"/>
      <c r="I118" s="37"/>
      <c r="K118" s="11"/>
    </row>
    <row r="119" spans="5:11" x14ac:dyDescent="0.2">
      <c r="E119" s="37"/>
      <c r="F119" s="231"/>
      <c r="G119" s="5"/>
      <c r="H119" s="37"/>
      <c r="I119" s="37"/>
      <c r="K119" s="11"/>
    </row>
    <row r="120" spans="5:11" x14ac:dyDescent="0.2">
      <c r="E120" s="37"/>
      <c r="F120" s="231"/>
      <c r="G120" s="5"/>
      <c r="H120" s="37"/>
      <c r="I120" s="37"/>
      <c r="K120" s="11"/>
    </row>
    <row r="121" spans="5:11" x14ac:dyDescent="0.2">
      <c r="E121" s="37"/>
      <c r="F121" s="231"/>
      <c r="G121" s="5"/>
      <c r="H121" s="37"/>
      <c r="I121" s="37"/>
      <c r="K121" s="11"/>
    </row>
    <row r="122" spans="5:11" x14ac:dyDescent="0.2">
      <c r="E122" s="37"/>
      <c r="F122" s="231"/>
      <c r="G122" s="5"/>
      <c r="H122" s="37"/>
      <c r="I122" s="37"/>
      <c r="K122" s="11"/>
    </row>
    <row r="123" spans="5:11" x14ac:dyDescent="0.2">
      <c r="E123" s="37"/>
      <c r="F123" s="231"/>
      <c r="G123" s="5"/>
      <c r="H123" s="37"/>
      <c r="I123" s="37"/>
      <c r="K123" s="11"/>
    </row>
    <row r="124" spans="5:11" x14ac:dyDescent="0.2">
      <c r="E124" s="37"/>
      <c r="F124" s="231"/>
      <c r="G124" s="5"/>
      <c r="H124" s="37"/>
      <c r="I124" s="37"/>
      <c r="K124" s="11"/>
    </row>
    <row r="125" spans="5:11" x14ac:dyDescent="0.2">
      <c r="E125" s="37"/>
      <c r="F125" s="231"/>
      <c r="G125" s="5"/>
      <c r="H125" s="37"/>
      <c r="I125" s="37"/>
      <c r="K125" s="11"/>
    </row>
    <row r="126" spans="5:11" x14ac:dyDescent="0.2">
      <c r="E126" s="37"/>
      <c r="F126" s="231"/>
      <c r="G126" s="5"/>
      <c r="H126" s="37"/>
      <c r="I126" s="37"/>
      <c r="K126" s="11"/>
    </row>
    <row r="127" spans="5:11" x14ac:dyDescent="0.2">
      <c r="E127" s="37"/>
      <c r="F127" s="231"/>
      <c r="G127" s="5"/>
      <c r="H127" s="37"/>
      <c r="I127" s="37"/>
      <c r="K127" s="11"/>
    </row>
    <row r="128" spans="5:11" x14ac:dyDescent="0.2">
      <c r="E128" s="37"/>
      <c r="F128" s="231"/>
      <c r="G128" s="5"/>
      <c r="H128" s="37"/>
      <c r="I128" s="37"/>
      <c r="K128" s="11"/>
    </row>
    <row r="129" spans="5:11" x14ac:dyDescent="0.2">
      <c r="E129" s="37"/>
      <c r="F129" s="231"/>
      <c r="G129" s="5"/>
      <c r="H129" s="37"/>
      <c r="I129" s="37"/>
      <c r="K129" s="11"/>
    </row>
    <row r="130" spans="5:11" x14ac:dyDescent="0.2">
      <c r="E130" s="37"/>
      <c r="F130" s="231"/>
      <c r="G130" s="5"/>
      <c r="H130" s="37"/>
      <c r="I130" s="37"/>
      <c r="K130" s="11"/>
    </row>
    <row r="131" spans="5:11" x14ac:dyDescent="0.2">
      <c r="E131" s="37"/>
      <c r="F131" s="231"/>
      <c r="G131" s="5"/>
      <c r="H131" s="37"/>
      <c r="I131" s="37"/>
      <c r="K131" s="11"/>
    </row>
    <row r="132" spans="5:11" x14ac:dyDescent="0.2">
      <c r="E132" s="37"/>
      <c r="F132" s="231"/>
      <c r="G132" s="5"/>
      <c r="H132" s="37"/>
      <c r="I132" s="37"/>
      <c r="K132" s="11"/>
    </row>
    <row r="133" spans="5:11" x14ac:dyDescent="0.2">
      <c r="E133" s="37"/>
      <c r="F133" s="231"/>
      <c r="G133" s="5"/>
      <c r="H133" s="37"/>
      <c r="I133" s="37"/>
      <c r="K133" s="11"/>
    </row>
    <row r="134" spans="5:11" x14ac:dyDescent="0.2">
      <c r="E134" s="37"/>
      <c r="F134" s="231"/>
      <c r="G134" s="5"/>
      <c r="H134" s="37"/>
      <c r="I134" s="37"/>
      <c r="K134" s="11"/>
    </row>
    <row r="135" spans="5:11" x14ac:dyDescent="0.2">
      <c r="E135" s="37"/>
      <c r="F135" s="231"/>
      <c r="G135" s="5"/>
      <c r="H135" s="37"/>
      <c r="I135" s="37"/>
      <c r="K135" s="11"/>
    </row>
    <row r="136" spans="5:11" x14ac:dyDescent="0.2">
      <c r="E136" s="37"/>
      <c r="F136" s="231"/>
      <c r="G136" s="5"/>
      <c r="H136" s="37"/>
      <c r="I136" s="37"/>
      <c r="K136" s="11"/>
    </row>
    <row r="137" spans="5:11" x14ac:dyDescent="0.2">
      <c r="E137" s="37"/>
      <c r="F137" s="231"/>
      <c r="G137" s="5"/>
      <c r="H137" s="37"/>
      <c r="I137" s="37"/>
      <c r="K137" s="11"/>
    </row>
    <row r="138" spans="5:11" x14ac:dyDescent="0.2">
      <c r="E138" s="37"/>
      <c r="F138" s="231"/>
      <c r="G138" s="5"/>
      <c r="H138" s="37"/>
      <c r="I138" s="37"/>
      <c r="K138" s="11"/>
    </row>
    <row r="139" spans="5:11" x14ac:dyDescent="0.2">
      <c r="E139" s="37"/>
      <c r="F139" s="231"/>
      <c r="G139" s="5"/>
      <c r="H139" s="37"/>
      <c r="I139" s="37"/>
      <c r="K139" s="11"/>
    </row>
    <row r="140" spans="5:11" x14ac:dyDescent="0.2">
      <c r="E140" s="37"/>
      <c r="F140" s="231"/>
      <c r="G140" s="5"/>
      <c r="H140" s="37"/>
      <c r="I140" s="37"/>
      <c r="K140" s="11"/>
    </row>
    <row r="141" spans="5:11" x14ac:dyDescent="0.2">
      <c r="E141" s="37"/>
      <c r="F141" s="231"/>
      <c r="G141" s="5"/>
      <c r="H141" s="37"/>
      <c r="I141" s="37"/>
      <c r="K141" s="11"/>
    </row>
    <row r="142" spans="5:11" x14ac:dyDescent="0.2">
      <c r="E142" s="37"/>
      <c r="F142" s="231"/>
      <c r="G142" s="5"/>
      <c r="H142" s="37"/>
      <c r="I142" s="37"/>
      <c r="K142" s="11"/>
    </row>
    <row r="143" spans="5:11" x14ac:dyDescent="0.2">
      <c r="E143" s="37"/>
      <c r="F143" s="231"/>
      <c r="G143" s="5"/>
      <c r="H143" s="37"/>
      <c r="I143" s="37"/>
      <c r="K143" s="11"/>
    </row>
    <row r="144" spans="5:11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F1147" s="231"/>
      <c r="G1147" s="5"/>
      <c r="H1147" s="37"/>
      <c r="I1147" s="37"/>
      <c r="K1147" s="11"/>
    </row>
    <row r="1148" spans="5:11" x14ac:dyDescent="0.2">
      <c r="F1148" s="231"/>
      <c r="G1148" s="5"/>
      <c r="H1148" s="37"/>
      <c r="I1148" s="37"/>
      <c r="K1148" s="11"/>
    </row>
    <row r="1149" spans="5:11" x14ac:dyDescent="0.2">
      <c r="F1149" s="231"/>
      <c r="G1149" s="5"/>
      <c r="H1149" s="37"/>
      <c r="I1149" s="37"/>
      <c r="K1149" s="11"/>
    </row>
    <row r="1150" spans="5:11" x14ac:dyDescent="0.2">
      <c r="F1150" s="231"/>
      <c r="G1150" s="5"/>
      <c r="H1150" s="37"/>
      <c r="I1150" s="37"/>
      <c r="K1150" s="11"/>
    </row>
    <row r="1151" spans="5:11" x14ac:dyDescent="0.2">
      <c r="F1151" s="231"/>
      <c r="G1151" s="5"/>
      <c r="H1151" s="37"/>
      <c r="I1151" s="37"/>
      <c r="K1151" s="11"/>
    </row>
    <row r="1152" spans="5:11" x14ac:dyDescent="0.2">
      <c r="F1152" s="231"/>
      <c r="G1152" s="5"/>
      <c r="H1152" s="37"/>
      <c r="I1152" s="37"/>
      <c r="K1152" s="11"/>
    </row>
    <row r="1153" spans="6:11" x14ac:dyDescent="0.2">
      <c r="F1153" s="231"/>
      <c r="G1153" s="5"/>
      <c r="H1153" s="37"/>
      <c r="I1153" s="37"/>
      <c r="K1153" s="11"/>
    </row>
    <row r="1154" spans="6:11" x14ac:dyDescent="0.2">
      <c r="F1154" s="231"/>
      <c r="G1154" s="5"/>
      <c r="H1154" s="37"/>
      <c r="I1154" s="37"/>
      <c r="K1154" s="11"/>
    </row>
    <row r="1155" spans="6:11" x14ac:dyDescent="0.2">
      <c r="F1155" s="231"/>
      <c r="G1155" s="5"/>
      <c r="H1155" s="37"/>
      <c r="I1155" s="37"/>
      <c r="K1155" s="11"/>
    </row>
    <row r="1156" spans="6:11" x14ac:dyDescent="0.2">
      <c r="F1156" s="231"/>
      <c r="G1156" s="5"/>
      <c r="H1156" s="37"/>
      <c r="I1156" s="37"/>
      <c r="K1156" s="11"/>
    </row>
    <row r="1157" spans="6:11" x14ac:dyDescent="0.2">
      <c r="F1157" s="231"/>
      <c r="G1157" s="5"/>
      <c r="H1157" s="37"/>
      <c r="I1157" s="37"/>
      <c r="K1157" s="11"/>
    </row>
    <row r="1158" spans="6:11" x14ac:dyDescent="0.2">
      <c r="F1158" s="231"/>
      <c r="G1158" s="5"/>
      <c r="H1158" s="37"/>
      <c r="I1158" s="37"/>
      <c r="K1158" s="11"/>
    </row>
    <row r="1159" spans="6:11" x14ac:dyDescent="0.2">
      <c r="F1159" s="231"/>
      <c r="G1159" s="5"/>
      <c r="H1159" s="37"/>
      <c r="I1159" s="37"/>
      <c r="K1159" s="11"/>
    </row>
    <row r="1160" spans="6:11" x14ac:dyDescent="0.2">
      <c r="F1160" s="231"/>
      <c r="G1160" s="5"/>
      <c r="H1160" s="37"/>
      <c r="I1160" s="37"/>
      <c r="K1160" s="11"/>
    </row>
    <row r="1161" spans="6:11" x14ac:dyDescent="0.2">
      <c r="F1161" s="231"/>
      <c r="G1161" s="5"/>
      <c r="H1161" s="37"/>
      <c r="I1161" s="37"/>
      <c r="K1161" s="11"/>
    </row>
    <row r="1162" spans="6:11" x14ac:dyDescent="0.2">
      <c r="F1162" s="231"/>
      <c r="G1162" s="5"/>
      <c r="H1162" s="37"/>
      <c r="I1162" s="37"/>
      <c r="K1162" s="11"/>
    </row>
    <row r="1163" spans="6:11" x14ac:dyDescent="0.2">
      <c r="F1163" s="231"/>
      <c r="G1163" s="5"/>
      <c r="H1163" s="37"/>
      <c r="I1163" s="37"/>
      <c r="K1163" s="11"/>
    </row>
    <row r="1164" spans="6:11" x14ac:dyDescent="0.2">
      <c r="F1164" s="231"/>
      <c r="G1164" s="5"/>
      <c r="H1164" s="37"/>
      <c r="I1164" s="37"/>
      <c r="K1164" s="11"/>
    </row>
    <row r="1165" spans="6:11" x14ac:dyDescent="0.2">
      <c r="F1165" s="231"/>
      <c r="G1165" s="5"/>
      <c r="H1165" s="37"/>
      <c r="I1165" s="37"/>
      <c r="K1165" s="11"/>
    </row>
    <row r="1166" spans="6:11" x14ac:dyDescent="0.2">
      <c r="F1166" s="231"/>
      <c r="G1166" s="5"/>
      <c r="H1166" s="37"/>
      <c r="I1166" s="37"/>
      <c r="K1166" s="11"/>
    </row>
    <row r="1167" spans="6:11" x14ac:dyDescent="0.2">
      <c r="F1167" s="231"/>
      <c r="G1167" s="5"/>
      <c r="H1167" s="37"/>
      <c r="I1167" s="37"/>
      <c r="K1167" s="11"/>
    </row>
    <row r="1168" spans="6:11" x14ac:dyDescent="0.2">
      <c r="F1168" s="231"/>
      <c r="G1168" s="5"/>
      <c r="H1168" s="37"/>
      <c r="I1168" s="37"/>
      <c r="K1168" s="11"/>
    </row>
    <row r="1169" spans="6:11" x14ac:dyDescent="0.2">
      <c r="F1169" s="231"/>
      <c r="G1169" s="5"/>
      <c r="H1169" s="37"/>
      <c r="I1169" s="37"/>
      <c r="K1169" s="11"/>
    </row>
    <row r="1170" spans="6:11" x14ac:dyDescent="0.2">
      <c r="F1170" s="231"/>
      <c r="G1170" s="5"/>
      <c r="H1170" s="37"/>
      <c r="I1170" s="37"/>
      <c r="K1170" s="11"/>
    </row>
    <row r="1171" spans="6:11" x14ac:dyDescent="0.2">
      <c r="F1171" s="231"/>
      <c r="G1171" s="5"/>
      <c r="H1171" s="37"/>
      <c r="I1171" s="37"/>
      <c r="K1171" s="11"/>
    </row>
    <row r="1172" spans="6:11" x14ac:dyDescent="0.2">
      <c r="F1172" s="231"/>
      <c r="G1172" s="5"/>
      <c r="H1172" s="37"/>
      <c r="I1172" s="37"/>
      <c r="K1172" s="11"/>
    </row>
    <row r="1173" spans="6:11" x14ac:dyDescent="0.2">
      <c r="F1173" s="231"/>
      <c r="G1173" s="5"/>
      <c r="H1173" s="37"/>
      <c r="I1173" s="37"/>
      <c r="K1173" s="11"/>
    </row>
    <row r="1174" spans="6:11" x14ac:dyDescent="0.2">
      <c r="F1174" s="231"/>
      <c r="G1174" s="5"/>
      <c r="H1174" s="37"/>
      <c r="I1174" s="37"/>
      <c r="K1174" s="11"/>
    </row>
    <row r="1175" spans="6:11" x14ac:dyDescent="0.2">
      <c r="F1175" s="231"/>
      <c r="G1175" s="5"/>
      <c r="H1175" s="37"/>
      <c r="I1175" s="37"/>
      <c r="K1175" s="11"/>
    </row>
    <row r="1176" spans="6:11" x14ac:dyDescent="0.2">
      <c r="F1176" s="231"/>
      <c r="G1176" s="5"/>
      <c r="H1176" s="37"/>
      <c r="I1176" s="37"/>
      <c r="K1176" s="11"/>
    </row>
    <row r="1177" spans="6:11" x14ac:dyDescent="0.2">
      <c r="F1177" s="231"/>
      <c r="G1177" s="5"/>
      <c r="H1177" s="37"/>
      <c r="I1177" s="37"/>
      <c r="K1177" s="11"/>
    </row>
    <row r="1178" spans="6:11" x14ac:dyDescent="0.2">
      <c r="F1178" s="231"/>
      <c r="G1178" s="5"/>
      <c r="H1178" s="37"/>
      <c r="I1178" s="37"/>
      <c r="K1178" s="11"/>
    </row>
    <row r="1179" spans="6:11" x14ac:dyDescent="0.2">
      <c r="F1179" s="231"/>
      <c r="G1179" s="5"/>
      <c r="H1179" s="37"/>
      <c r="I1179" s="37"/>
      <c r="K1179" s="11"/>
    </row>
    <row r="1180" spans="6:11" x14ac:dyDescent="0.2">
      <c r="F1180" s="231"/>
      <c r="G1180" s="5"/>
      <c r="H1180" s="37"/>
      <c r="I1180" s="37"/>
      <c r="K1180" s="11"/>
    </row>
    <row r="1181" spans="6:11" x14ac:dyDescent="0.2">
      <c r="F1181" s="231"/>
      <c r="G1181" s="5"/>
      <c r="H1181" s="37"/>
      <c r="I1181" s="37"/>
      <c r="K1181" s="11"/>
    </row>
    <row r="1182" spans="6:11" x14ac:dyDescent="0.2">
      <c r="F1182" s="231"/>
      <c r="G1182" s="5"/>
      <c r="H1182" s="37"/>
      <c r="I1182" s="37"/>
      <c r="K1182" s="11"/>
    </row>
    <row r="1183" spans="6:11" x14ac:dyDescent="0.2">
      <c r="F1183" s="231"/>
      <c r="G1183" s="5"/>
      <c r="H1183" s="37"/>
      <c r="I1183" s="37"/>
      <c r="K1183" s="11"/>
    </row>
    <row r="1184" spans="6:11" x14ac:dyDescent="0.2">
      <c r="F1184" s="231"/>
      <c r="G1184" s="5"/>
      <c r="H1184" s="37"/>
      <c r="I1184" s="37"/>
      <c r="K1184" s="11"/>
    </row>
    <row r="1185" spans="6:11" x14ac:dyDescent="0.2">
      <c r="F1185" s="231"/>
      <c r="G1185" s="5"/>
      <c r="H1185" s="37"/>
      <c r="I1185" s="37"/>
      <c r="K1185" s="11"/>
    </row>
    <row r="1186" spans="6:11" x14ac:dyDescent="0.2">
      <c r="F1186" s="231"/>
      <c r="G1186" s="5"/>
      <c r="H1186" s="37"/>
      <c r="I1186" s="37"/>
      <c r="K1186" s="11"/>
    </row>
    <row r="1187" spans="6:11" x14ac:dyDescent="0.2">
      <c r="F1187" s="231"/>
      <c r="G1187" s="5"/>
      <c r="H1187" s="37"/>
      <c r="I1187" s="37"/>
      <c r="K1187" s="11"/>
    </row>
    <row r="1188" spans="6:11" x14ac:dyDescent="0.2">
      <c r="F1188" s="231"/>
      <c r="G1188" s="5"/>
      <c r="H1188" s="37"/>
      <c r="I1188" s="37"/>
      <c r="K1188" s="11"/>
    </row>
    <row r="1189" spans="6:11" x14ac:dyDescent="0.2">
      <c r="F1189" s="231"/>
      <c r="G1189" s="5"/>
      <c r="H1189" s="37"/>
      <c r="I1189" s="37"/>
      <c r="K1189" s="11"/>
    </row>
    <row r="1190" spans="6:11" x14ac:dyDescent="0.2">
      <c r="F1190" s="231"/>
      <c r="G1190" s="5"/>
      <c r="H1190" s="37"/>
      <c r="I1190" s="37"/>
      <c r="K1190" s="11"/>
    </row>
    <row r="1191" spans="6:11" x14ac:dyDescent="0.2">
      <c r="F1191" s="231"/>
      <c r="G1191" s="5"/>
      <c r="H1191" s="37"/>
      <c r="I1191" s="37"/>
      <c r="K1191" s="11"/>
    </row>
    <row r="1192" spans="6:11" x14ac:dyDescent="0.2">
      <c r="F1192" s="231"/>
      <c r="G1192" s="5"/>
      <c r="H1192" s="37"/>
      <c r="I1192" s="37"/>
      <c r="K1192" s="11"/>
    </row>
    <row r="1193" spans="6:11" x14ac:dyDescent="0.2">
      <c r="F1193" s="231"/>
      <c r="G1193" s="5"/>
      <c r="H1193" s="37"/>
      <c r="I1193" s="37"/>
      <c r="K1193" s="11"/>
    </row>
    <row r="1194" spans="6:11" x14ac:dyDescent="0.2">
      <c r="F1194" s="231"/>
      <c r="G1194" s="5"/>
      <c r="H1194" s="37"/>
      <c r="I1194" s="37"/>
      <c r="K1194" s="11"/>
    </row>
    <row r="1195" spans="6:11" x14ac:dyDescent="0.2">
      <c r="F1195" s="231"/>
      <c r="G1195" s="5"/>
      <c r="H1195" s="37"/>
      <c r="I1195" s="37"/>
      <c r="K1195" s="11"/>
    </row>
    <row r="1196" spans="6:11" x14ac:dyDescent="0.2">
      <c r="F1196" s="231"/>
      <c r="G1196" s="5"/>
      <c r="H1196" s="37"/>
      <c r="I1196" s="37"/>
      <c r="K1196" s="11"/>
    </row>
    <row r="1197" spans="6:11" x14ac:dyDescent="0.2">
      <c r="F1197" s="231"/>
      <c r="G1197" s="5"/>
      <c r="H1197" s="37"/>
      <c r="I1197" s="37"/>
      <c r="K1197" s="11"/>
    </row>
    <row r="1198" spans="6:11" x14ac:dyDescent="0.2">
      <c r="F1198" s="231"/>
      <c r="G1198" s="5"/>
      <c r="H1198" s="37"/>
      <c r="I1198" s="37"/>
      <c r="K1198" s="11"/>
    </row>
    <row r="1199" spans="6:11" x14ac:dyDescent="0.2">
      <c r="F1199" s="231"/>
      <c r="G1199" s="5"/>
      <c r="H1199" s="37"/>
      <c r="I1199" s="37"/>
      <c r="K1199" s="11"/>
    </row>
    <row r="1200" spans="6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August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topLeftCell="A13" zoomScaleNormal="100" zoomScaleSheetLayoutView="100" workbookViewId="0">
      <selection activeCell="Q23" sqref="Q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78">
        <v>43313</v>
      </c>
      <c r="B1" s="12" t="s">
        <v>18</v>
      </c>
      <c r="C1" s="499" t="s">
        <v>222</v>
      </c>
      <c r="D1" s="423" t="s">
        <v>163</v>
      </c>
      <c r="E1" s="272" t="s">
        <v>170</v>
      </c>
      <c r="F1" s="272" t="s">
        <v>171</v>
      </c>
      <c r="G1" s="272" t="s">
        <v>169</v>
      </c>
      <c r="H1" s="272" t="s">
        <v>49</v>
      </c>
      <c r="I1" s="272" t="s">
        <v>116</v>
      </c>
      <c r="J1" s="272" t="s">
        <v>216</v>
      </c>
      <c r="K1" s="272" t="s">
        <v>210</v>
      </c>
      <c r="L1" s="272" t="s">
        <v>223</v>
      </c>
      <c r="M1" s="272" t="s">
        <v>168</v>
      </c>
      <c r="N1" s="272" t="s">
        <v>162</v>
      </c>
      <c r="O1" s="272" t="s">
        <v>143</v>
      </c>
      <c r="P1" s="272" t="s">
        <v>21</v>
      </c>
    </row>
    <row r="2" spans="1:16" ht="15" x14ac:dyDescent="0.25">
      <c r="A2" s="554" t="s">
        <v>144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6"/>
    </row>
    <row r="3" spans="1:16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5"/>
    </row>
    <row r="4" spans="1:16" x14ac:dyDescent="0.2">
      <c r="A4" s="62" t="s">
        <v>30</v>
      </c>
      <c r="B4" s="21">
        <f>[3]Delta!$FU$32</f>
        <v>89576</v>
      </c>
      <c r="C4" s="21">
        <f>'[3]Atlantic Southeast'!$FU$32</f>
        <v>0</v>
      </c>
      <c r="D4" s="21">
        <f>[3]Pinnacle!$FU$32</f>
        <v>4790</v>
      </c>
      <c r="E4" s="21">
        <f>[3]Compass!$FU$32</f>
        <v>0</v>
      </c>
      <c r="F4" s="21">
        <f>'[3]Sky West'!$FU$32</f>
        <v>10441</v>
      </c>
      <c r="G4" s="21">
        <f>'[3]Go Jet'!$FU$32</f>
        <v>1821</v>
      </c>
      <c r="H4" s="21">
        <f>'[3]Sun Country'!$FU$32</f>
        <v>591</v>
      </c>
      <c r="I4" s="21">
        <f>[3]Icelandair!$FU$32</f>
        <v>7211</v>
      </c>
      <c r="J4" s="21">
        <f>[3]KLM!$FU$32</f>
        <v>4403</v>
      </c>
      <c r="K4" s="21">
        <f>'[3]Air Georgian'!$FU$32</f>
        <v>0</v>
      </c>
      <c r="L4" s="21">
        <f>'[3]Sky Regional'!$FU$32</f>
        <v>5892</v>
      </c>
      <c r="M4" s="21">
        <f>[3]Condor!$FU$32</f>
        <v>4458</v>
      </c>
      <c r="N4" s="21">
        <f>'[3]Air France'!$FU$32</f>
        <v>7850</v>
      </c>
      <c r="O4" s="21">
        <f>'[3]Charter Misc'!$FU$32+[3]Ryan!$FU$32+[3]Omni!$FU$32</f>
        <v>0</v>
      </c>
      <c r="P4" s="281">
        <f>SUM(B4:O4)</f>
        <v>137033</v>
      </c>
    </row>
    <row r="5" spans="1:16" x14ac:dyDescent="0.2">
      <c r="A5" s="62" t="s">
        <v>31</v>
      </c>
      <c r="B5" s="14">
        <f>[3]Delta!$FU$33</f>
        <v>86560</v>
      </c>
      <c r="C5" s="14">
        <f>'[3]Atlantic Southeast'!$FU$33</f>
        <v>0</v>
      </c>
      <c r="D5" s="14">
        <f>[3]Pinnacle!$FU$33</f>
        <v>4848</v>
      </c>
      <c r="E5" s="14">
        <f>[3]Compass!$FU$33</f>
        <v>0</v>
      </c>
      <c r="F5" s="14">
        <f>'[3]Sky West'!$FU$33</f>
        <v>10216</v>
      </c>
      <c r="G5" s="14">
        <f>'[3]Go Jet'!$FU$33</f>
        <v>1794</v>
      </c>
      <c r="H5" s="14">
        <f>'[3]Sun Country'!$FU$33</f>
        <v>660</v>
      </c>
      <c r="I5" s="14">
        <f>[3]Icelandair!$FU$33</f>
        <v>7240</v>
      </c>
      <c r="J5" s="14">
        <f>[3]KLM!$FU$33</f>
        <v>4249</v>
      </c>
      <c r="K5" s="14">
        <f>'[3]Air Georgian'!$FU$33</f>
        <v>0</v>
      </c>
      <c r="L5" s="14">
        <f>'[3]Sky Regional'!$FU$33</f>
        <v>6057</v>
      </c>
      <c r="M5" s="14">
        <f>[3]Condor!$FU$33</f>
        <v>4529</v>
      </c>
      <c r="N5" s="14">
        <f>'[3]Air France'!$FU$33</f>
        <v>7190</v>
      </c>
      <c r="O5" s="14">
        <f>'[3]Charter Misc'!$FU$33++[3]Ryan!$FU$33+[3]Omni!$FU$33</f>
        <v>0</v>
      </c>
      <c r="P5" s="282">
        <f>SUM(B5:O5)</f>
        <v>133343</v>
      </c>
    </row>
    <row r="6" spans="1:16" ht="15" x14ac:dyDescent="0.25">
      <c r="A6" s="60" t="s">
        <v>7</v>
      </c>
      <c r="B6" s="34">
        <f t="shared" ref="B6:O6" si="0">SUM(B4:B5)</f>
        <v>176136</v>
      </c>
      <c r="C6" s="34">
        <f t="shared" si="0"/>
        <v>0</v>
      </c>
      <c r="D6" s="34">
        <f t="shared" si="0"/>
        <v>9638</v>
      </c>
      <c r="E6" s="34">
        <f t="shared" si="0"/>
        <v>0</v>
      </c>
      <c r="F6" s="34">
        <f t="shared" si="0"/>
        <v>20657</v>
      </c>
      <c r="G6" s="34">
        <f t="shared" ref="G6" si="1">SUM(G4:G5)</f>
        <v>3615</v>
      </c>
      <c r="H6" s="34">
        <f t="shared" si="0"/>
        <v>1251</v>
      </c>
      <c r="I6" s="34">
        <f t="shared" si="0"/>
        <v>14451</v>
      </c>
      <c r="J6" s="34">
        <f t="shared" ref="J6" si="2">SUM(J4:J5)</f>
        <v>8652</v>
      </c>
      <c r="K6" s="34">
        <f t="shared" si="0"/>
        <v>0</v>
      </c>
      <c r="L6" s="34">
        <f t="shared" ref="L6" si="3">SUM(L4:L5)</f>
        <v>11949</v>
      </c>
      <c r="M6" s="34">
        <f t="shared" ref="M6" si="4">SUM(M4:M5)</f>
        <v>8987</v>
      </c>
      <c r="N6" s="34">
        <f t="shared" si="0"/>
        <v>15040</v>
      </c>
      <c r="O6" s="34">
        <f t="shared" si="0"/>
        <v>0</v>
      </c>
      <c r="P6" s="283">
        <f>SUM(B6:O6)</f>
        <v>270376</v>
      </c>
    </row>
    <row r="7" spans="1:16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81"/>
    </row>
    <row r="8" spans="1:16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81">
        <f>SUM(B8:O8)</f>
        <v>0</v>
      </c>
    </row>
    <row r="9" spans="1:16" x14ac:dyDescent="0.2">
      <c r="A9" s="62" t="s">
        <v>30</v>
      </c>
      <c r="B9" s="21">
        <f>[3]Delta!$FU$37</f>
        <v>2213</v>
      </c>
      <c r="C9" s="21">
        <f>'[3]Atlantic Southeast'!$FU$37</f>
        <v>0</v>
      </c>
      <c r="D9" s="21">
        <f>[3]Pinnacle!$FU$37</f>
        <v>95</v>
      </c>
      <c r="E9" s="21">
        <f>[3]Compass!$FU$37</f>
        <v>0</v>
      </c>
      <c r="F9" s="21">
        <f>'[3]Sky West'!$FU$37</f>
        <v>81</v>
      </c>
      <c r="G9" s="21">
        <f>'[3]Go Jet'!$FU$37</f>
        <v>22</v>
      </c>
      <c r="H9" s="21">
        <f>'[3]Sun Country'!$FU$37</f>
        <v>6</v>
      </c>
      <c r="I9" s="21">
        <f>[3]Icelandair!$FU$37</f>
        <v>91</v>
      </c>
      <c r="J9" s="21">
        <f>[3]KLM!$FU$37</f>
        <v>23</v>
      </c>
      <c r="K9" s="21">
        <f>'[3]Air Georgian'!$FU$37</f>
        <v>0</v>
      </c>
      <c r="L9" s="21">
        <f>'[3]Sky Regional'!$FU$37</f>
        <v>93</v>
      </c>
      <c r="M9" s="21">
        <f>[3]Condor!$FU$37</f>
        <v>6</v>
      </c>
      <c r="N9" s="21">
        <f>'[3]Air France'!$FU$37</f>
        <v>24</v>
      </c>
      <c r="O9" s="21">
        <f>'[3]Charter Misc'!$FU$37+[3]Ryan!$FU$37+[3]Omni!$FU$37</f>
        <v>0</v>
      </c>
      <c r="P9" s="281">
        <f>SUM(B9:O9)</f>
        <v>2654</v>
      </c>
    </row>
    <row r="10" spans="1:16" x14ac:dyDescent="0.2">
      <c r="A10" s="62" t="s">
        <v>33</v>
      </c>
      <c r="B10" s="14">
        <f>[3]Delta!$FU$38</f>
        <v>2316</v>
      </c>
      <c r="C10" s="14">
        <f>'[3]Atlantic Southeast'!$FU$38</f>
        <v>0</v>
      </c>
      <c r="D10" s="14">
        <f>[3]Pinnacle!$FU$38</f>
        <v>115</v>
      </c>
      <c r="E10" s="14">
        <f>[3]Compass!$FU$38</f>
        <v>0</v>
      </c>
      <c r="F10" s="14">
        <f>'[3]Sky West'!$FU$38</f>
        <v>100</v>
      </c>
      <c r="G10" s="14">
        <f>'[3]Go Jet'!$FU$38</f>
        <v>23</v>
      </c>
      <c r="H10" s="14">
        <f>'[3]Sun Country'!$FU$38</f>
        <v>5</v>
      </c>
      <c r="I10" s="14">
        <f>[3]Icelandair!$FU$38</f>
        <v>141</v>
      </c>
      <c r="J10" s="14">
        <f>[3]KLM!$FU$38</f>
        <v>29</v>
      </c>
      <c r="K10" s="14">
        <f>'[3]Air Georgian'!$FU$38</f>
        <v>0</v>
      </c>
      <c r="L10" s="14">
        <f>'[3]Sky Regional'!$FU$38</f>
        <v>89</v>
      </c>
      <c r="M10" s="14">
        <f>[3]Condor!$FU$38</f>
        <v>6</v>
      </c>
      <c r="N10" s="14">
        <f>'[3]Air France'!$FU$38</f>
        <v>13</v>
      </c>
      <c r="O10" s="14">
        <f>'[3]Charter Misc'!$FU$38+[3]Ryan!$FU$38+[3]Omni!$FU$38</f>
        <v>0</v>
      </c>
      <c r="P10" s="282">
        <f>SUM(B10:O10)</f>
        <v>2837</v>
      </c>
    </row>
    <row r="11" spans="1:16" ht="15.75" thickBot="1" x14ac:dyDescent="0.3">
      <c r="A11" s="63" t="s">
        <v>34</v>
      </c>
      <c r="B11" s="284">
        <f t="shared" ref="B11:H11" si="5">SUM(B9:B10)</f>
        <v>4529</v>
      </c>
      <c r="C11" s="284">
        <f t="shared" si="5"/>
        <v>0</v>
      </c>
      <c r="D11" s="284">
        <f t="shared" si="5"/>
        <v>210</v>
      </c>
      <c r="E11" s="284">
        <f t="shared" si="5"/>
        <v>0</v>
      </c>
      <c r="F11" s="284">
        <f t="shared" si="5"/>
        <v>181</v>
      </c>
      <c r="G11" s="284">
        <f t="shared" ref="G11" si="6">SUM(G9:G10)</f>
        <v>45</v>
      </c>
      <c r="H11" s="284">
        <f t="shared" si="5"/>
        <v>11</v>
      </c>
      <c r="I11" s="284">
        <f t="shared" ref="I11:O11" si="7">SUM(I9:I10)</f>
        <v>232</v>
      </c>
      <c r="J11" s="284">
        <f t="shared" ref="J11" si="8">SUM(J9:J10)</f>
        <v>52</v>
      </c>
      <c r="K11" s="284">
        <f t="shared" si="7"/>
        <v>0</v>
      </c>
      <c r="L11" s="284">
        <f t="shared" ref="L11" si="9">SUM(L9:L10)</f>
        <v>182</v>
      </c>
      <c r="M11" s="284">
        <f t="shared" si="7"/>
        <v>12</v>
      </c>
      <c r="N11" s="284">
        <f t="shared" si="7"/>
        <v>37</v>
      </c>
      <c r="O11" s="284">
        <f t="shared" si="7"/>
        <v>0</v>
      </c>
      <c r="P11" s="285">
        <f>SUM(B11:O11)</f>
        <v>5491</v>
      </c>
    </row>
    <row r="12" spans="1:16" ht="15" x14ac:dyDescent="0.25">
      <c r="A12" s="383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80"/>
    </row>
    <row r="13" spans="1:16" ht="39" thickBot="1" x14ac:dyDescent="0.25">
      <c r="B13" s="12" t="s">
        <v>18</v>
      </c>
      <c r="C13" s="499" t="s">
        <v>222</v>
      </c>
      <c r="D13" s="423" t="s">
        <v>163</v>
      </c>
      <c r="E13" s="12" t="s">
        <v>120</v>
      </c>
      <c r="F13" s="12" t="s">
        <v>100</v>
      </c>
      <c r="G13" s="272" t="s">
        <v>169</v>
      </c>
      <c r="H13" s="12" t="s">
        <v>142</v>
      </c>
      <c r="I13" s="12" t="s">
        <v>116</v>
      </c>
      <c r="J13" s="272" t="s">
        <v>216</v>
      </c>
      <c r="K13" s="272" t="s">
        <v>210</v>
      </c>
      <c r="L13" s="272" t="s">
        <v>223</v>
      </c>
      <c r="M13" s="272" t="s">
        <v>168</v>
      </c>
      <c r="N13" s="12" t="s">
        <v>162</v>
      </c>
      <c r="O13" s="12" t="s">
        <v>143</v>
      </c>
      <c r="P13" s="272" t="s">
        <v>145</v>
      </c>
    </row>
    <row r="14" spans="1:16" ht="15" x14ac:dyDescent="0.25">
      <c r="A14" s="557" t="s">
        <v>146</v>
      </c>
      <c r="B14" s="558"/>
      <c r="C14" s="558"/>
      <c r="D14" s="558"/>
      <c r="E14" s="558"/>
      <c r="F14" s="558"/>
      <c r="G14" s="558"/>
      <c r="H14" s="558"/>
      <c r="I14" s="558"/>
      <c r="J14" s="558"/>
      <c r="K14" s="558"/>
      <c r="L14" s="558"/>
      <c r="M14" s="558"/>
      <c r="N14" s="558"/>
      <c r="O14" s="558"/>
      <c r="P14" s="559"/>
    </row>
    <row r="15" spans="1:16" x14ac:dyDescent="0.2">
      <c r="A15" s="62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5"/>
    </row>
    <row r="16" spans="1:16" x14ac:dyDescent="0.2">
      <c r="A16" s="62" t="s">
        <v>30</v>
      </c>
      <c r="B16" s="21">
        <f>SUM([3]Delta!$FN$32:$FU$32)</f>
        <v>672888</v>
      </c>
      <c r="C16" s="21">
        <f>SUM('[3]Atlantic Southeast'!$FN$32:$FU$32)</f>
        <v>2369</v>
      </c>
      <c r="D16" s="21">
        <f>SUM([3]Pinnacle!$FN$32:$FU$32)</f>
        <v>46095</v>
      </c>
      <c r="E16" s="21">
        <f>SUM([3]Compass!$FN$32:$FU$32)</f>
        <v>0</v>
      </c>
      <c r="F16" s="21">
        <f>SUM('[3]Sky West'!$FN$32:$FU$32)</f>
        <v>86960</v>
      </c>
      <c r="G16" s="21">
        <f>SUM('[3]Go Jet'!$FN$32:$FU$32)</f>
        <v>16965</v>
      </c>
      <c r="H16" s="21">
        <f>SUM('[3]Sun Country'!$FN$32:$FU$32)</f>
        <v>125849</v>
      </c>
      <c r="I16" s="21">
        <f>SUM([3]Icelandair!$FN$32:$FU$32)</f>
        <v>31338</v>
      </c>
      <c r="J16" s="21">
        <f>SUM([3]KLM!$FN$32:$FU$32)</f>
        <v>29247</v>
      </c>
      <c r="K16" s="21">
        <f>SUM('[3]Air Georgian'!$FN$32:$FU$32)</f>
        <v>0</v>
      </c>
      <c r="L16" s="21">
        <f>SUM('[3]Sky Regional'!$FN$32:$FU$32)</f>
        <v>39563</v>
      </c>
      <c r="M16" s="21">
        <f>SUM([3]Condor!$FN$32:$FU$32)</f>
        <v>12239</v>
      </c>
      <c r="N16" s="21">
        <f>SUM('[3]Air France'!$FN$32:$FU$32)</f>
        <v>24640</v>
      </c>
      <c r="O16" s="21">
        <f>SUM('[3]Charter Misc'!$FN$32:$FU$32)+SUM([3]Ryan!$FN$32:$FU$32)+SUM([3]Omni!$FN$32:$FU$32)</f>
        <v>37</v>
      </c>
      <c r="P16" s="281">
        <f>SUM(B16:O16)</f>
        <v>1088190</v>
      </c>
    </row>
    <row r="17" spans="1:19" x14ac:dyDescent="0.2">
      <c r="A17" s="62" t="s">
        <v>31</v>
      </c>
      <c r="B17" s="14">
        <f>SUM([3]Delta!$FN$33:$FU$33)</f>
        <v>655354</v>
      </c>
      <c r="C17" s="14">
        <f>SUM('[3]Atlantic Southeast'!$FN$33:$FU$33)</f>
        <v>3166</v>
      </c>
      <c r="D17" s="14">
        <f>SUM([3]Pinnacle!$FN$33:$FU$33)</f>
        <v>46645</v>
      </c>
      <c r="E17" s="14">
        <f>SUM([3]Compass!$FN$33:$FU$33)</f>
        <v>0</v>
      </c>
      <c r="F17" s="14">
        <f>SUM('[3]Sky West'!$FN$33:$FU$33)</f>
        <v>89591</v>
      </c>
      <c r="G17" s="14">
        <f>SUM('[3]Go Jet'!$FN$33:$FU$33)</f>
        <v>15814</v>
      </c>
      <c r="H17" s="14">
        <f>SUM('[3]Sun Country'!$FN$33:$FU$33)</f>
        <v>119523</v>
      </c>
      <c r="I17" s="14">
        <f>SUM([3]Icelandair!$FN$33:$FU$33)</f>
        <v>32436</v>
      </c>
      <c r="J17" s="14">
        <f>SUM([3]KLM!$FN$33:$FU$33)</f>
        <v>26539</v>
      </c>
      <c r="K17" s="14">
        <f>SUM('[3]Air Georgian'!$FN$33:$FU$33)</f>
        <v>0</v>
      </c>
      <c r="L17" s="14">
        <f>SUM('[3]Sky Regional'!$FN$33:$FU$33)</f>
        <v>38665</v>
      </c>
      <c r="M17" s="14">
        <f>SUM([3]Condor!$FN$33:$FU$33)</f>
        <v>12671</v>
      </c>
      <c r="N17" s="14">
        <f>SUM('[3]Air France'!$FN$33:$FU$33)</f>
        <v>22080</v>
      </c>
      <c r="O17" s="14">
        <f>SUM('[3]Charter Misc'!$FN$33:$FU$33)++SUM([3]Ryan!$FN$33:$FU$33)+SUM([3]Omni!$FN$33:$FU$33)</f>
        <v>0</v>
      </c>
      <c r="P17" s="282">
        <f>SUM(B17:O17)</f>
        <v>1062484</v>
      </c>
    </row>
    <row r="18" spans="1:19" ht="15" x14ac:dyDescent="0.25">
      <c r="A18" s="60" t="s">
        <v>7</v>
      </c>
      <c r="B18" s="34">
        <f t="shared" ref="B18:O18" si="10">SUM(B16:B17)</f>
        <v>1328242</v>
      </c>
      <c r="C18" s="34">
        <f t="shared" si="10"/>
        <v>5535</v>
      </c>
      <c r="D18" s="34">
        <f t="shared" si="10"/>
        <v>92740</v>
      </c>
      <c r="E18" s="34">
        <f t="shared" si="10"/>
        <v>0</v>
      </c>
      <c r="F18" s="34">
        <f t="shared" si="10"/>
        <v>176551</v>
      </c>
      <c r="G18" s="34">
        <f t="shared" ref="G18" si="11">SUM(G16:G17)</f>
        <v>32779</v>
      </c>
      <c r="H18" s="34">
        <f t="shared" si="10"/>
        <v>245372</v>
      </c>
      <c r="I18" s="34">
        <f t="shared" si="10"/>
        <v>63774</v>
      </c>
      <c r="J18" s="34">
        <f t="shared" ref="J18" si="12">SUM(J16:J17)</f>
        <v>55786</v>
      </c>
      <c r="K18" s="34">
        <f t="shared" si="10"/>
        <v>0</v>
      </c>
      <c r="L18" s="34">
        <f t="shared" ref="L18" si="13">SUM(L16:L17)</f>
        <v>78228</v>
      </c>
      <c r="M18" s="34">
        <f t="shared" ref="M18" si="14">SUM(M16:M17)</f>
        <v>24910</v>
      </c>
      <c r="N18" s="34">
        <f t="shared" si="10"/>
        <v>46720</v>
      </c>
      <c r="O18" s="34">
        <f t="shared" si="10"/>
        <v>37</v>
      </c>
      <c r="P18" s="283">
        <f>SUM(B18:O18)</f>
        <v>2150674</v>
      </c>
      <c r="S18" s="309"/>
    </row>
    <row r="19" spans="1:19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81"/>
      <c r="S19" s="130"/>
    </row>
    <row r="20" spans="1:19" x14ac:dyDescent="0.2">
      <c r="A20" s="62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81">
        <f>SUM(B20:O20)</f>
        <v>0</v>
      </c>
    </row>
    <row r="21" spans="1:19" x14ac:dyDescent="0.2">
      <c r="A21" s="62" t="s">
        <v>30</v>
      </c>
      <c r="B21" s="21">
        <f>SUM([3]Delta!$FN$37:$FU$37)</f>
        <v>35846</v>
      </c>
      <c r="C21" s="21">
        <f>SUM('[3]Atlantic Southeast'!$FN$37:$FU$37)</f>
        <v>48</v>
      </c>
      <c r="D21" s="21">
        <f>SUM([3]Pinnacle!$FN$37:$FU$37)</f>
        <v>763</v>
      </c>
      <c r="E21" s="21">
        <f>SUM([3]Compass!$FN$37:$FU$37)</f>
        <v>0</v>
      </c>
      <c r="F21" s="21">
        <f>SUM('[3]Sky West'!$FN$37:$FU$37)</f>
        <v>827</v>
      </c>
      <c r="G21" s="21">
        <f>SUM('[3]Go Jet'!$FN$37:$FU$37)</f>
        <v>272</v>
      </c>
      <c r="H21" s="21">
        <f>SUM('[3]Sun Country'!$FN$37:$FU$37)</f>
        <v>781</v>
      </c>
      <c r="I21" s="21">
        <f>SUM([3]Icelandair!$FN$37:$FU$37)</f>
        <v>459</v>
      </c>
      <c r="J21" s="21">
        <f>SUM([3]KLM!$FN$37:$FU$37)</f>
        <v>222</v>
      </c>
      <c r="K21" s="21">
        <f>SUM('[3]Air Georgian'!$FN$37:$FU$37)</f>
        <v>0</v>
      </c>
      <c r="L21" s="21">
        <f>SUM('[3]Sky Regional'!$FN$37:$FU$37)</f>
        <v>454</v>
      </c>
      <c r="M21" s="21">
        <f>SUM([3]Condor!$FN$37:$FU$37)</f>
        <v>15</v>
      </c>
      <c r="N21" s="21">
        <f>SUM('[3]Air France'!$FN$37:$FU$37)</f>
        <v>53</v>
      </c>
      <c r="O21" s="21">
        <f>SUM('[3]Charter Misc'!$FN$37:$FU$37)++SUM([3]Ryan!$FN$37:$FU$37)+SUM([3]Omni!$FN$37:$FU$37)</f>
        <v>0</v>
      </c>
      <c r="P21" s="281">
        <f>SUM(B21:O21)</f>
        <v>39740</v>
      </c>
    </row>
    <row r="22" spans="1:19" x14ac:dyDescent="0.2">
      <c r="A22" s="62" t="s">
        <v>33</v>
      </c>
      <c r="B22" s="14">
        <f>SUM([3]Delta!$FN$38:$FU$38)</f>
        <v>18078</v>
      </c>
      <c r="C22" s="14">
        <f>SUM('[3]Atlantic Southeast'!$FN$38:$FU$38)</f>
        <v>35</v>
      </c>
      <c r="D22" s="14">
        <f>SUM([3]Pinnacle!$FN$38:$FU$38)</f>
        <v>818</v>
      </c>
      <c r="E22" s="14">
        <f>SUM([3]Compass!$FN$38:$FU$38)</f>
        <v>0</v>
      </c>
      <c r="F22" s="14">
        <f>SUM('[3]Sky West'!$FN$38:$FU$38)</f>
        <v>843</v>
      </c>
      <c r="G22" s="14">
        <f>SUM('[3]Go Jet'!$FN$38:$FU$38)</f>
        <v>310</v>
      </c>
      <c r="H22" s="14">
        <f>SUM('[3]Sun Country'!$FN$38:$FU$38)</f>
        <v>949</v>
      </c>
      <c r="I22" s="14">
        <f>SUM([3]Icelandair!$FN$38:$FU$38)</f>
        <v>508</v>
      </c>
      <c r="J22" s="14">
        <f>SUM([3]KLM!$FN$38:$FU$38)</f>
        <v>180</v>
      </c>
      <c r="K22" s="14">
        <f>SUM('[3]Air Georgian'!$FN$38:$FU$38)</f>
        <v>0</v>
      </c>
      <c r="L22" s="14">
        <f>SUM('[3]Sky Regional'!$FN$38:$FU$38)</f>
        <v>472</v>
      </c>
      <c r="M22" s="14">
        <f>SUM([3]Condor!$FN$38:$FU$38)</f>
        <v>15</v>
      </c>
      <c r="N22" s="14">
        <f>SUM('[3]Air France'!$FN$38:$FU$38)</f>
        <v>40</v>
      </c>
      <c r="O22" s="14">
        <f>SUM('[3]Charter Misc'!$FN$38:$FU$38)++SUM([3]Ryan!$FN$38:$FU$38)+SUM([3]Omni!$FN$38:$FU$38)</f>
        <v>0</v>
      </c>
      <c r="P22" s="282">
        <f>SUM(B22:O22)</f>
        <v>22248</v>
      </c>
    </row>
    <row r="23" spans="1:19" ht="15.75" thickBot="1" x14ac:dyDescent="0.3">
      <c r="A23" s="63" t="s">
        <v>34</v>
      </c>
      <c r="B23" s="284">
        <f t="shared" ref="B23:O23" si="15">SUM(B21:B22)</f>
        <v>53924</v>
      </c>
      <c r="C23" s="284">
        <f t="shared" si="15"/>
        <v>83</v>
      </c>
      <c r="D23" s="284">
        <f t="shared" si="15"/>
        <v>1581</v>
      </c>
      <c r="E23" s="284">
        <f t="shared" si="15"/>
        <v>0</v>
      </c>
      <c r="F23" s="284">
        <f t="shared" si="15"/>
        <v>1670</v>
      </c>
      <c r="G23" s="284">
        <f t="shared" ref="G23" si="16">SUM(G21:G22)</f>
        <v>582</v>
      </c>
      <c r="H23" s="284">
        <f t="shared" si="15"/>
        <v>1730</v>
      </c>
      <c r="I23" s="284">
        <f t="shared" si="15"/>
        <v>967</v>
      </c>
      <c r="J23" s="284">
        <f t="shared" ref="J23" si="17">SUM(J21:J22)</f>
        <v>402</v>
      </c>
      <c r="K23" s="284">
        <f t="shared" si="15"/>
        <v>0</v>
      </c>
      <c r="L23" s="284">
        <f t="shared" ref="L23" si="18">SUM(L21:L22)</f>
        <v>926</v>
      </c>
      <c r="M23" s="284">
        <f t="shared" ref="M23" si="19">SUM(M21:M22)</f>
        <v>30</v>
      </c>
      <c r="N23" s="284">
        <f t="shared" si="15"/>
        <v>93</v>
      </c>
      <c r="O23" s="284">
        <f t="shared" si="15"/>
        <v>0</v>
      </c>
      <c r="P23" s="285">
        <f>SUM(B23:O23)</f>
        <v>61988</v>
      </c>
    </row>
    <row r="25" spans="1:19" ht="39" thickBot="1" x14ac:dyDescent="0.25">
      <c r="B25" s="12" t="s">
        <v>18</v>
      </c>
      <c r="C25" s="499" t="s">
        <v>222</v>
      </c>
      <c r="D25" s="423" t="s">
        <v>163</v>
      </c>
      <c r="E25" s="12" t="s">
        <v>120</v>
      </c>
      <c r="F25" s="12" t="s">
        <v>100</v>
      </c>
      <c r="G25" s="272" t="s">
        <v>169</v>
      </c>
      <c r="H25" s="12" t="s">
        <v>142</v>
      </c>
      <c r="I25" s="12" t="s">
        <v>116</v>
      </c>
      <c r="J25" s="272" t="s">
        <v>216</v>
      </c>
      <c r="K25" s="272" t="s">
        <v>210</v>
      </c>
      <c r="L25" s="272" t="s">
        <v>223</v>
      </c>
      <c r="M25" s="272" t="s">
        <v>168</v>
      </c>
      <c r="N25" s="12" t="s">
        <v>162</v>
      </c>
      <c r="O25" s="12" t="s">
        <v>143</v>
      </c>
      <c r="P25" s="272" t="s">
        <v>21</v>
      </c>
    </row>
    <row r="26" spans="1:19" ht="15" x14ac:dyDescent="0.25">
      <c r="A26" s="560" t="s">
        <v>147</v>
      </c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2"/>
    </row>
    <row r="27" spans="1:19" x14ac:dyDescent="0.2">
      <c r="A27" s="62" t="s">
        <v>22</v>
      </c>
      <c r="B27" s="21">
        <f>[3]Delta!$FU$15</f>
        <v>502</v>
      </c>
      <c r="C27" s="21">
        <f>'[3]Atlantic Southeast'!$FU$15</f>
        <v>0</v>
      </c>
      <c r="D27" s="21">
        <f>[3]Pinnacle!$FU$15</f>
        <v>69</v>
      </c>
      <c r="E27" s="21">
        <f>[3]Compass!$FU$15</f>
        <v>0</v>
      </c>
      <c r="F27" s="21">
        <f>'[3]Sky West'!$FU$15</f>
        <v>153</v>
      </c>
      <c r="G27" s="21">
        <f>'[3]Go Jet'!$FU$15</f>
        <v>28</v>
      </c>
      <c r="H27" s="21">
        <f>'[3]Sun Country'!$FU$15</f>
        <v>5</v>
      </c>
      <c r="I27" s="21">
        <f>[3]Icelandair!$FU$15</f>
        <v>49</v>
      </c>
      <c r="J27" s="21">
        <f>[3]KLM!$FU$15</f>
        <v>17</v>
      </c>
      <c r="K27" s="21">
        <f>'[3]Air Georgian'!$FU$15</f>
        <v>0</v>
      </c>
      <c r="L27" s="21">
        <f>'[3]Sky Regional'!$FU$15</f>
        <v>91</v>
      </c>
      <c r="M27" s="21">
        <f>[3]Condor!$FU$15</f>
        <v>18</v>
      </c>
      <c r="N27" s="21">
        <f>'[3]Air France'!$FU$15</f>
        <v>31</v>
      </c>
      <c r="O27" s="21">
        <f>'[3]Charter Misc'!$FU$15+[3]Ryan!$FU$15+[3]Omni!$FU$15</f>
        <v>0</v>
      </c>
      <c r="P27" s="281">
        <f>SUM(B27:O27)</f>
        <v>963</v>
      </c>
    </row>
    <row r="28" spans="1:19" x14ac:dyDescent="0.2">
      <c r="A28" s="62" t="s">
        <v>23</v>
      </c>
      <c r="B28" s="21">
        <f>[3]Delta!$FU$16</f>
        <v>505</v>
      </c>
      <c r="C28" s="21">
        <f>'[3]Atlantic Southeast'!$FU$16</f>
        <v>0</v>
      </c>
      <c r="D28" s="21">
        <f>[3]Pinnacle!$FU$16</f>
        <v>70</v>
      </c>
      <c r="E28" s="21">
        <f>[3]Compass!$FU$16</f>
        <v>0</v>
      </c>
      <c r="F28" s="21">
        <f>'[3]Sky West'!$FU$16</f>
        <v>154</v>
      </c>
      <c r="G28" s="21">
        <f>'[3]Go Jet'!$FU$16</f>
        <v>26</v>
      </c>
      <c r="H28" s="21">
        <f>'[3]Sun Country'!$FU$16</f>
        <v>5</v>
      </c>
      <c r="I28" s="21">
        <f>[3]Icelandair!$FU$16</f>
        <v>49</v>
      </c>
      <c r="J28" s="21">
        <f>[3]KLM!$FU$16</f>
        <v>17</v>
      </c>
      <c r="K28" s="21">
        <f>'[3]Air Georgian'!$FU$16</f>
        <v>0</v>
      </c>
      <c r="L28" s="21">
        <f>'[3]Sky Regional'!$FU$16</f>
        <v>91</v>
      </c>
      <c r="M28" s="21">
        <f>[3]Condor!$FU$16</f>
        <v>18</v>
      </c>
      <c r="N28" s="21">
        <f>'[3]Air France'!$FU$16</f>
        <v>31</v>
      </c>
      <c r="O28" s="21">
        <f>'[3]Charter Misc'!$FU$16+[3]Ryan!$FU$16+[3]Omni!$FU$16</f>
        <v>0</v>
      </c>
      <c r="P28" s="281">
        <f>SUM(B28:O28)</f>
        <v>966</v>
      </c>
    </row>
    <row r="29" spans="1:19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81"/>
    </row>
    <row r="30" spans="1:19" ht="15.75" thickBot="1" x14ac:dyDescent="0.3">
      <c r="A30" s="63" t="s">
        <v>28</v>
      </c>
      <c r="B30" s="381">
        <f t="shared" ref="B30:K30" si="20">SUM(B27:B28)</f>
        <v>1007</v>
      </c>
      <c r="C30" s="381">
        <f t="shared" si="20"/>
        <v>0</v>
      </c>
      <c r="D30" s="381">
        <f t="shared" si="20"/>
        <v>139</v>
      </c>
      <c r="E30" s="381">
        <f t="shared" si="20"/>
        <v>0</v>
      </c>
      <c r="F30" s="381">
        <f>SUM(F27:F28)</f>
        <v>307</v>
      </c>
      <c r="G30" s="381">
        <f>SUM(G27:G28)</f>
        <v>54</v>
      </c>
      <c r="H30" s="381">
        <f t="shared" si="20"/>
        <v>10</v>
      </c>
      <c r="I30" s="381">
        <f t="shared" si="20"/>
        <v>98</v>
      </c>
      <c r="J30" s="381">
        <f t="shared" ref="J30" si="21">SUM(J27:J28)</f>
        <v>34</v>
      </c>
      <c r="K30" s="381">
        <f t="shared" si="20"/>
        <v>0</v>
      </c>
      <c r="L30" s="381">
        <f t="shared" ref="L30" si="22">SUM(L27:L28)</f>
        <v>182</v>
      </c>
      <c r="M30" s="381">
        <f>SUM(M27:M28)</f>
        <v>36</v>
      </c>
      <c r="N30" s="381">
        <f>SUM(N27:N28)</f>
        <v>62</v>
      </c>
      <c r="O30" s="381">
        <f>SUM(O27:O28)</f>
        <v>0</v>
      </c>
      <c r="P30" s="382">
        <f>SUM(B30:O30)</f>
        <v>1929</v>
      </c>
    </row>
    <row r="31" spans="1:19" ht="15" x14ac:dyDescent="0.25">
      <c r="A31" s="383"/>
    </row>
    <row r="32" spans="1:19" ht="39" thickBot="1" x14ac:dyDescent="0.25">
      <c r="B32" s="12" t="s">
        <v>18</v>
      </c>
      <c r="C32" s="499" t="s">
        <v>222</v>
      </c>
      <c r="D32" s="423" t="s">
        <v>163</v>
      </c>
      <c r="E32" s="12" t="s">
        <v>120</v>
      </c>
      <c r="F32" s="12" t="s">
        <v>100</v>
      </c>
      <c r="G32" s="272" t="s">
        <v>169</v>
      </c>
      <c r="H32" s="12" t="s">
        <v>142</v>
      </c>
      <c r="I32" s="12" t="s">
        <v>116</v>
      </c>
      <c r="J32" s="272" t="s">
        <v>216</v>
      </c>
      <c r="K32" s="272" t="s">
        <v>210</v>
      </c>
      <c r="L32" s="272" t="s">
        <v>223</v>
      </c>
      <c r="M32" s="272" t="s">
        <v>168</v>
      </c>
      <c r="N32" s="12" t="s">
        <v>162</v>
      </c>
      <c r="O32" s="12" t="s">
        <v>143</v>
      </c>
      <c r="P32" s="272" t="s">
        <v>145</v>
      </c>
    </row>
    <row r="33" spans="1:16" ht="15" x14ac:dyDescent="0.25">
      <c r="A33" s="563" t="s">
        <v>148</v>
      </c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5"/>
    </row>
    <row r="34" spans="1:16" x14ac:dyDescent="0.2">
      <c r="A34" s="62" t="s">
        <v>22</v>
      </c>
      <c r="B34" s="21">
        <f>SUM([3]Delta!$FN$15:$FU$15)</f>
        <v>4006</v>
      </c>
      <c r="C34" s="21">
        <f>SUM('[3]Atlantic Southeast'!$FN$15:$FU$15)</f>
        <v>45</v>
      </c>
      <c r="D34" s="21">
        <f>SUM([3]Pinnacle!$FN$15:$FU$15)</f>
        <v>714</v>
      </c>
      <c r="E34" s="21">
        <f>SUM([3]Compass!$FN$15:$FU$15)</f>
        <v>1</v>
      </c>
      <c r="F34" s="21">
        <f>SUM('[3]Sky West'!$FN$15:$FU$15)</f>
        <v>1401</v>
      </c>
      <c r="G34" s="21">
        <f>SUM('[3]Go Jet'!$FN$15:$FU$15)</f>
        <v>266</v>
      </c>
      <c r="H34" s="21">
        <f>SUM('[3]Sun Country'!$FN$15:$FU$15)</f>
        <v>1027</v>
      </c>
      <c r="I34" s="21">
        <f>SUM([3]Icelandair!$FN$15:$FU$15)</f>
        <v>221</v>
      </c>
      <c r="J34" s="21">
        <f>SUM([3]KLM!$FN$15:$FU$15)</f>
        <v>119</v>
      </c>
      <c r="K34" s="21">
        <f>SUM('[3]Air Georgian'!$FN$15:$FU$15)</f>
        <v>0</v>
      </c>
      <c r="L34" s="21">
        <f>SUM('[3]Sky Regional'!$FN$15:$FU$15)</f>
        <v>685</v>
      </c>
      <c r="M34" s="21">
        <f>SUM([3]Condor!$FN$15:$FU$15)</f>
        <v>51</v>
      </c>
      <c r="N34" s="21">
        <f>SUM('[3]Air France'!$FN$15:$FU$15)</f>
        <v>105</v>
      </c>
      <c r="O34" s="21">
        <f>SUM('[3]Charter Misc'!$FN$15:$FU$15)+SUM([3]Ryan!$FN$15:$FU$15)+SUM([3]Omni!$FN$15:$FU$15)</f>
        <v>0</v>
      </c>
      <c r="P34" s="281">
        <f>SUM(B34:O34)</f>
        <v>8641</v>
      </c>
    </row>
    <row r="35" spans="1:16" x14ac:dyDescent="0.2">
      <c r="A35" s="62" t="s">
        <v>23</v>
      </c>
      <c r="B35" s="21">
        <f>SUM([3]Delta!$FN$16:$FU$16)</f>
        <v>4032</v>
      </c>
      <c r="C35" s="21">
        <f>SUM('[3]Atlantic Southeast'!$FN$16:$FU$16)</f>
        <v>54</v>
      </c>
      <c r="D35" s="21">
        <f>SUM([3]Pinnacle!$FN$16:$FU$16)</f>
        <v>714</v>
      </c>
      <c r="E35" s="21">
        <f>SUM([3]Compass!$FN$16:$FU$16)</f>
        <v>0</v>
      </c>
      <c r="F35" s="21">
        <f>SUM('[3]Sky West'!$FN$16:$FU$16)</f>
        <v>1410</v>
      </c>
      <c r="G35" s="21">
        <f>SUM('[3]Go Jet'!$FN$16:$FU$16)</f>
        <v>257</v>
      </c>
      <c r="H35" s="21">
        <f>SUM('[3]Sun Country'!$FN$16:$FU$16)</f>
        <v>1020</v>
      </c>
      <c r="I35" s="21">
        <f>SUM([3]Icelandair!$FN$16:$FU$16)</f>
        <v>221</v>
      </c>
      <c r="J35" s="21">
        <f>SUM([3]KLM!$FN$16:$FU$16)</f>
        <v>119</v>
      </c>
      <c r="K35" s="21">
        <f>SUM('[3]Air Georgian'!$FN$16:$FU$16)</f>
        <v>0</v>
      </c>
      <c r="L35" s="21">
        <f>SUM('[3]Sky Regional'!$FN$16:$FU$16)</f>
        <v>685</v>
      </c>
      <c r="M35" s="21">
        <f>SUM([3]Condor!$FN$16:$FU$16)</f>
        <v>51</v>
      </c>
      <c r="N35" s="21">
        <f>SUM('[3]Air France'!$FN$16:$FU$16)</f>
        <v>105</v>
      </c>
      <c r="O35" s="21">
        <f>SUM('[3]Charter Misc'!$FN$16:$FU$16)+SUM([3]Ryan!$FN$16:$FU$16)+SUM([3]Omni!$FN$16:$FU$16)</f>
        <v>0</v>
      </c>
      <c r="P35" s="281">
        <f>SUM(B35:O35)</f>
        <v>8668</v>
      </c>
    </row>
    <row r="36" spans="1:16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81"/>
    </row>
    <row r="37" spans="1:16" ht="15.75" thickBot="1" x14ac:dyDescent="0.3">
      <c r="A37" s="63" t="s">
        <v>28</v>
      </c>
      <c r="B37" s="381">
        <f t="shared" ref="B37:K37" si="23">+SUM(B34:B35)</f>
        <v>8038</v>
      </c>
      <c r="C37" s="381">
        <f t="shared" si="23"/>
        <v>99</v>
      </c>
      <c r="D37" s="381">
        <f t="shared" si="23"/>
        <v>1428</v>
      </c>
      <c r="E37" s="381">
        <f t="shared" si="23"/>
        <v>1</v>
      </c>
      <c r="F37" s="381">
        <f>+SUM(F34:F35)</f>
        <v>2811</v>
      </c>
      <c r="G37" s="381">
        <f>+SUM(G34:G35)</f>
        <v>523</v>
      </c>
      <c r="H37" s="381">
        <f t="shared" si="23"/>
        <v>2047</v>
      </c>
      <c r="I37" s="381">
        <f t="shared" si="23"/>
        <v>442</v>
      </c>
      <c r="J37" s="381">
        <f t="shared" ref="J37" si="24">+SUM(J34:J35)</f>
        <v>238</v>
      </c>
      <c r="K37" s="381">
        <f t="shared" si="23"/>
        <v>0</v>
      </c>
      <c r="L37" s="381">
        <f t="shared" ref="L37" si="25">+SUM(L34:L35)</f>
        <v>1370</v>
      </c>
      <c r="M37" s="381">
        <f>+SUM(M34:M35)</f>
        <v>102</v>
      </c>
      <c r="N37" s="381">
        <f>+SUM(N34:N35)</f>
        <v>210</v>
      </c>
      <c r="O37" s="381">
        <f>+SUM(O34:O35)</f>
        <v>0</v>
      </c>
      <c r="P37" s="382">
        <f>SUM(B37:O37)</f>
        <v>17309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&amp;"Arial,Bold"August 2018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703"/>
  <sheetViews>
    <sheetView topLeftCell="A10" zoomScaleNormal="100" zoomScaleSheetLayoutView="85" workbookViewId="0">
      <selection activeCell="D34" sqref="D34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225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7" customWidth="1"/>
    <col min="11" max="11" width="19.85546875" style="232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9" s="224" customFormat="1" ht="26.25" thickBot="1" x14ac:dyDescent="0.25">
      <c r="A1" s="569" t="s">
        <v>135</v>
      </c>
      <c r="B1" s="570"/>
      <c r="C1" s="452" t="s">
        <v>217</v>
      </c>
      <c r="D1" s="453" t="s">
        <v>192</v>
      </c>
      <c r="E1" s="267" t="s">
        <v>98</v>
      </c>
      <c r="F1" s="266" t="s">
        <v>218</v>
      </c>
      <c r="G1" s="453" t="s">
        <v>193</v>
      </c>
      <c r="H1" s="265" t="s">
        <v>99</v>
      </c>
      <c r="I1" s="267" t="s">
        <v>140</v>
      </c>
      <c r="J1" s="575" t="s">
        <v>139</v>
      </c>
      <c r="K1" s="576"/>
      <c r="L1" s="450" t="s">
        <v>219</v>
      </c>
      <c r="M1" s="451" t="s">
        <v>194</v>
      </c>
      <c r="N1" s="341" t="s">
        <v>99</v>
      </c>
      <c r="O1" s="491" t="s">
        <v>220</v>
      </c>
      <c r="P1" s="268" t="s">
        <v>195</v>
      </c>
      <c r="Q1" s="487" t="s">
        <v>99</v>
      </c>
      <c r="R1" s="492" t="s">
        <v>221</v>
      </c>
    </row>
    <row r="2" spans="1:19" s="224" customFormat="1" ht="13.5" customHeight="1" thickBot="1" x14ac:dyDescent="0.25">
      <c r="A2" s="571">
        <v>43313</v>
      </c>
      <c r="B2" s="572"/>
      <c r="C2" s="573" t="s">
        <v>9</v>
      </c>
      <c r="D2" s="574"/>
      <c r="E2" s="574"/>
      <c r="F2" s="574"/>
      <c r="G2" s="574"/>
      <c r="H2" s="574"/>
      <c r="I2" s="454"/>
      <c r="J2" s="571">
        <f>+A2</f>
        <v>43313</v>
      </c>
      <c r="K2" s="572"/>
      <c r="L2" s="566" t="s">
        <v>141</v>
      </c>
      <c r="M2" s="567"/>
      <c r="N2" s="567"/>
      <c r="O2" s="567"/>
      <c r="P2" s="567"/>
      <c r="Q2" s="567"/>
      <c r="R2" s="568"/>
    </row>
    <row r="3" spans="1:19" x14ac:dyDescent="0.2">
      <c r="A3" s="342"/>
      <c r="B3" s="343"/>
      <c r="C3" s="344"/>
      <c r="D3" s="345"/>
      <c r="E3" s="346"/>
      <c r="F3" s="411"/>
      <c r="G3" s="412"/>
      <c r="H3" s="484"/>
      <c r="I3" s="346"/>
      <c r="J3" s="347"/>
      <c r="K3" s="343"/>
      <c r="L3" s="493"/>
      <c r="M3" s="5"/>
      <c r="N3" s="85"/>
      <c r="O3" s="342"/>
      <c r="P3" s="348"/>
      <c r="Q3" s="348"/>
      <c r="R3" s="343"/>
    </row>
    <row r="4" spans="1:19" ht="14.1" customHeight="1" x14ac:dyDescent="0.2">
      <c r="A4" s="349" t="s">
        <v>101</v>
      </c>
      <c r="B4" s="55"/>
      <c r="C4" s="350">
        <f>SUM(C5:C7)</f>
        <v>182</v>
      </c>
      <c r="D4" s="352">
        <f>SUM(D5:D7)</f>
        <v>178</v>
      </c>
      <c r="E4" s="353">
        <f>(C4-D4)/D4</f>
        <v>2.247191011235955E-2</v>
      </c>
      <c r="F4" s="350">
        <f>SUM(F5:F7)</f>
        <v>1370</v>
      </c>
      <c r="G4" s="352">
        <f>SUM(G5:G7)</f>
        <v>1399</v>
      </c>
      <c r="H4" s="351">
        <f>(F4-G4)/G4</f>
        <v>-2.0729092208720514E-2</v>
      </c>
      <c r="I4" s="353">
        <f>F4/$F$66</f>
        <v>5.4508271729702632E-3</v>
      </c>
      <c r="J4" s="349" t="s">
        <v>101</v>
      </c>
      <c r="K4" s="55"/>
      <c r="L4" s="350">
        <f>SUM(L5:L7)</f>
        <v>11949</v>
      </c>
      <c r="M4" s="352">
        <f>SUM(M5:M7)</f>
        <v>11114</v>
      </c>
      <c r="N4" s="353">
        <f>(L4-M4)/M4</f>
        <v>7.5130466078819513E-2</v>
      </c>
      <c r="O4" s="350">
        <f>SUM(O5:O7)</f>
        <v>78228</v>
      </c>
      <c r="P4" s="352">
        <f>SUM(P5:P7)</f>
        <v>66262</v>
      </c>
      <c r="Q4" s="351">
        <f>(O4-P4)/P4</f>
        <v>0.18058615797893213</v>
      </c>
      <c r="R4" s="353">
        <f>O4/$O$66</f>
        <v>3.1181671261526762E-3</v>
      </c>
      <c r="S4" s="20"/>
    </row>
    <row r="5" spans="1:19" ht="14.1" customHeight="1" x14ac:dyDescent="0.2">
      <c r="A5" s="349"/>
      <c r="B5" s="425" t="s">
        <v>101</v>
      </c>
      <c r="C5" s="354">
        <f>+[3]AirCanada!$FU$19</f>
        <v>0</v>
      </c>
      <c r="D5" s="9">
        <f>+[3]AirCanada!$FG$19</f>
        <v>0</v>
      </c>
      <c r="E5" s="86" t="e">
        <f>(C5-D5)/D5</f>
        <v>#DIV/0!</v>
      </c>
      <c r="F5" s="295">
        <f>SUM([3]AirCanada!$FN$19:$FU$19)</f>
        <v>0</v>
      </c>
      <c r="G5" s="295">
        <f>SUM([3]AirCanada!$EZ$19:$FG$19)</f>
        <v>0</v>
      </c>
      <c r="H5" s="432" t="e">
        <f>(F5-G5)/G5</f>
        <v>#DIV/0!</v>
      </c>
      <c r="I5" s="86">
        <f>F5/$F$66</f>
        <v>0</v>
      </c>
      <c r="J5" s="349"/>
      <c r="K5" s="425" t="s">
        <v>101</v>
      </c>
      <c r="L5" s="431">
        <f>+[3]AirCanada!$FU$41</f>
        <v>0</v>
      </c>
      <c r="M5" s="295">
        <f>+[3]AirCanada!$FG$41</f>
        <v>0</v>
      </c>
      <c r="N5" s="433" t="e">
        <f>(L5-M5)/M5</f>
        <v>#DIV/0!</v>
      </c>
      <c r="O5" s="431">
        <f>SUM([3]AirCanada!$FN$41:$FU$41)</f>
        <v>0</v>
      </c>
      <c r="P5" s="295">
        <f>SUM([3]AirCanada!$EZ$41:$FG$41)</f>
        <v>0</v>
      </c>
      <c r="Q5" s="432" t="e">
        <f>(O5-P5)/P5</f>
        <v>#DIV/0!</v>
      </c>
      <c r="R5" s="433">
        <f>O5/$O$66</f>
        <v>0</v>
      </c>
      <c r="S5" s="20"/>
    </row>
    <row r="6" spans="1:19" ht="14.1" customHeight="1" x14ac:dyDescent="0.2">
      <c r="A6" s="349"/>
      <c r="B6" s="425" t="s">
        <v>172</v>
      </c>
      <c r="C6" s="354">
        <f>'[3]Air Georgian'!$FU$19</f>
        <v>0</v>
      </c>
      <c r="D6" s="9">
        <f>'[3]Air Georgian'!$FG$19</f>
        <v>0</v>
      </c>
      <c r="E6" s="86" t="e">
        <f>(C6-D6)/D6</f>
        <v>#DIV/0!</v>
      </c>
      <c r="F6" s="295">
        <f>SUM('[3]Air Georgian'!$FN$19:$FU$19)</f>
        <v>0</v>
      </c>
      <c r="G6" s="295">
        <f>SUM('[3]Air Georgian'!$EZ$19:$FG$19)</f>
        <v>935</v>
      </c>
      <c r="H6" s="432">
        <f>(F6-G6)/G6</f>
        <v>-1</v>
      </c>
      <c r="I6" s="86">
        <f>F6/$F$66</f>
        <v>0</v>
      </c>
      <c r="J6" s="349"/>
      <c r="K6" s="425" t="s">
        <v>172</v>
      </c>
      <c r="L6" s="354">
        <f>'[3]Air Georgian'!$FU$41</f>
        <v>0</v>
      </c>
      <c r="M6" s="9">
        <f>'[3]Air Georgian'!$FG$41</f>
        <v>0</v>
      </c>
      <c r="N6" s="86" t="e">
        <f>(L6-M6)/M6</f>
        <v>#DIV/0!</v>
      </c>
      <c r="O6" s="354">
        <f>SUM('[3]Air Georgian'!$FN$41:$FU$41)</f>
        <v>0</v>
      </c>
      <c r="P6" s="9">
        <f>SUM('[3]Air Georgian'!$EZ$41:$FG$41)</f>
        <v>37149</v>
      </c>
      <c r="Q6" s="39">
        <f>(O6-P6)/P6</f>
        <v>-1</v>
      </c>
      <c r="R6" s="86">
        <f>O6/$O$66</f>
        <v>0</v>
      </c>
      <c r="S6" s="20"/>
    </row>
    <row r="7" spans="1:19" ht="14.1" customHeight="1" x14ac:dyDescent="0.2">
      <c r="A7" s="349"/>
      <c r="B7" s="425" t="s">
        <v>214</v>
      </c>
      <c r="C7" s="354">
        <f>'[3]Sky Regional'!$FU$19</f>
        <v>182</v>
      </c>
      <c r="D7" s="9">
        <f>'[3]Sky Regional'!$FG$19</f>
        <v>178</v>
      </c>
      <c r="E7" s="86">
        <f>(C7-D7)/D7</f>
        <v>2.247191011235955E-2</v>
      </c>
      <c r="F7" s="295">
        <f>SUM('[3]Sky Regional'!$FN$19:$FU$19)</f>
        <v>1370</v>
      </c>
      <c r="G7" s="295">
        <f>SUM('[3]Sky Regional'!$EZ$19:$FG$19)</f>
        <v>464</v>
      </c>
      <c r="H7" s="432">
        <f>(F7-G7)/G7</f>
        <v>1.9525862068965518</v>
      </c>
      <c r="I7" s="86">
        <f>F7/$F$66</f>
        <v>5.4508271729702632E-3</v>
      </c>
      <c r="J7" s="349"/>
      <c r="K7" s="425" t="s">
        <v>214</v>
      </c>
      <c r="L7" s="354">
        <f>'[3]Sky Regional'!$FU$41</f>
        <v>11949</v>
      </c>
      <c r="M7" s="9">
        <f>'[3]Sky Regional'!$FG$41</f>
        <v>11114</v>
      </c>
      <c r="N7" s="86">
        <f>(L7-M7)/M7</f>
        <v>7.5130466078819513E-2</v>
      </c>
      <c r="O7" s="354">
        <f>SUM('[3]Sky Regional'!$FN$41:$FU$41)</f>
        <v>78228</v>
      </c>
      <c r="P7" s="9">
        <f>SUM('[3]Sky Regional'!$EZ$41:$FG$41)</f>
        <v>29113</v>
      </c>
      <c r="Q7" s="39">
        <f>(O7-P7)/P7</f>
        <v>1.6870470236664032</v>
      </c>
      <c r="R7" s="86">
        <f>O7/$O$66</f>
        <v>3.1181671261526762E-3</v>
      </c>
      <c r="S7" s="20"/>
    </row>
    <row r="8" spans="1:19" ht="14.1" customHeight="1" x14ac:dyDescent="0.2">
      <c r="A8" s="349"/>
      <c r="B8" s="55"/>
      <c r="C8" s="350"/>
      <c r="D8" s="352"/>
      <c r="E8" s="353"/>
      <c r="F8" s="352"/>
      <c r="G8" s="352"/>
      <c r="H8" s="351"/>
      <c r="I8" s="353"/>
      <c r="J8" s="349"/>
      <c r="K8" s="55"/>
      <c r="L8" s="354"/>
      <c r="M8" s="9"/>
      <c r="N8" s="86"/>
      <c r="O8" s="354"/>
      <c r="P8" s="9"/>
      <c r="Q8" s="39"/>
      <c r="R8" s="86"/>
      <c r="S8" s="20"/>
    </row>
    <row r="9" spans="1:19" ht="14.1" customHeight="1" x14ac:dyDescent="0.2">
      <c r="A9" s="349" t="s">
        <v>196</v>
      </c>
      <c r="B9" s="55"/>
      <c r="C9" s="350">
        <f>'[3]Air Choice One'!$FU$19</f>
        <v>200</v>
      </c>
      <c r="D9" s="352">
        <f>'[3]Air Choice One'!$FG$19</f>
        <v>254</v>
      </c>
      <c r="E9" s="353">
        <f>(C9-D9)/D9</f>
        <v>-0.2125984251968504</v>
      </c>
      <c r="F9" s="352">
        <f>SUM('[3]Air Choice One'!$FN$19:$FU$19)</f>
        <v>1592</v>
      </c>
      <c r="G9" s="352">
        <f>SUM('[3]Air Choice One'!$EZ$19:$FG$19)</f>
        <v>1972</v>
      </c>
      <c r="H9" s="351">
        <f>(F9-G9)/G9</f>
        <v>-0.1926977687626775</v>
      </c>
      <c r="I9" s="353">
        <f>F9/$F$66</f>
        <v>6.3340998973493859E-3</v>
      </c>
      <c r="J9" s="349" t="s">
        <v>196</v>
      </c>
      <c r="K9" s="55"/>
      <c r="L9" s="350">
        <f>'[3]Air Choice One'!$FU$41</f>
        <v>922</v>
      </c>
      <c r="M9" s="352">
        <f>'[3]Air Choice One'!$FG$41</f>
        <v>941</v>
      </c>
      <c r="N9" s="353">
        <f>(L9-M9)/M9</f>
        <v>-2.0191285866099893E-2</v>
      </c>
      <c r="O9" s="350">
        <f>SUM('[3]Air Choice One'!$FN$41:$FU$41)</f>
        <v>6670</v>
      </c>
      <c r="P9" s="352">
        <f>SUM('[3]Air Choice One'!$EZ$41:$FG$41)</f>
        <v>6736</v>
      </c>
      <c r="Q9" s="351">
        <f>(O9-P9)/P9</f>
        <v>-9.7980997624703085E-3</v>
      </c>
      <c r="R9" s="353">
        <f>O9/$O$66</f>
        <v>2.6586611867155432E-4</v>
      </c>
      <c r="S9" s="20"/>
    </row>
    <row r="10" spans="1:19" ht="14.1" customHeight="1" x14ac:dyDescent="0.2">
      <c r="A10" s="349"/>
      <c r="B10" s="55"/>
      <c r="C10" s="350"/>
      <c r="D10" s="352"/>
      <c r="E10" s="353"/>
      <c r="F10" s="352"/>
      <c r="G10" s="352"/>
      <c r="H10" s="351"/>
      <c r="I10" s="353"/>
      <c r="J10" s="349"/>
      <c r="K10" s="55"/>
      <c r="L10" s="354"/>
      <c r="M10" s="9"/>
      <c r="N10" s="86"/>
      <c r="O10" s="354"/>
      <c r="P10" s="9"/>
      <c r="Q10" s="39"/>
      <c r="R10" s="86"/>
      <c r="S10" s="20"/>
    </row>
    <row r="11" spans="1:19" ht="14.1" customHeight="1" x14ac:dyDescent="0.2">
      <c r="A11" s="349" t="s">
        <v>162</v>
      </c>
      <c r="B11" s="55"/>
      <c r="C11" s="350">
        <f>'[3]Air France'!$FU$19</f>
        <v>62</v>
      </c>
      <c r="D11" s="352">
        <f>'[3]Air France'!$FG$19</f>
        <v>60</v>
      </c>
      <c r="E11" s="353">
        <f>(C11-D11)/D11</f>
        <v>3.3333333333333333E-2</v>
      </c>
      <c r="F11" s="352">
        <f>SUM('[3]Air France'!$FN$19:$FU$19)</f>
        <v>210</v>
      </c>
      <c r="G11" s="352">
        <f>SUM('[3]Air France'!$EZ$19:$FG$19)</f>
        <v>214</v>
      </c>
      <c r="H11" s="351">
        <f>(F11-G11)/G11</f>
        <v>-1.8691588785046728E-2</v>
      </c>
      <c r="I11" s="353">
        <f>F11/$F$66</f>
        <v>8.3552825279106227E-4</v>
      </c>
      <c r="J11" s="349" t="s">
        <v>162</v>
      </c>
      <c r="K11" s="55"/>
      <c r="L11" s="350">
        <f>'[3]Air France'!$FU$41</f>
        <v>15040</v>
      </c>
      <c r="M11" s="352">
        <f>'[3]Air France'!$FG$41</f>
        <v>14501</v>
      </c>
      <c r="N11" s="353">
        <f>(L11-M11)/M11</f>
        <v>3.7169850355147922E-2</v>
      </c>
      <c r="O11" s="350">
        <f>SUM('[3]Air France'!$FN$41:$FU$41)</f>
        <v>46720</v>
      </c>
      <c r="P11" s="352">
        <f>SUM('[3]Air France'!$EZ$41:$FG$41)</f>
        <v>53039</v>
      </c>
      <c r="Q11" s="351">
        <f>(O11-P11)/P11</f>
        <v>-0.11913874695978431</v>
      </c>
      <c r="R11" s="353">
        <f>O11/$O$66</f>
        <v>1.862258630335085E-3</v>
      </c>
      <c r="S11" s="20"/>
    </row>
    <row r="12" spans="1:19" ht="14.1" customHeight="1" x14ac:dyDescent="0.2">
      <c r="A12" s="349"/>
      <c r="B12" s="55"/>
      <c r="C12" s="350"/>
      <c r="D12" s="352"/>
      <c r="E12" s="353"/>
      <c r="F12" s="352"/>
      <c r="G12" s="352"/>
      <c r="H12" s="351"/>
      <c r="I12" s="353"/>
      <c r="J12" s="349"/>
      <c r="K12" s="55"/>
      <c r="L12" s="354"/>
      <c r="M12" s="9"/>
      <c r="N12" s="86"/>
      <c r="O12" s="354"/>
      <c r="P12" s="9"/>
      <c r="Q12" s="39"/>
      <c r="R12" s="86"/>
      <c r="S12" s="20"/>
    </row>
    <row r="13" spans="1:19" ht="14.1" customHeight="1" x14ac:dyDescent="0.2">
      <c r="A13" s="349" t="s">
        <v>131</v>
      </c>
      <c r="B13" s="55"/>
      <c r="C13" s="350">
        <f>SUM(C14:C16)</f>
        <v>298</v>
      </c>
      <c r="D13" s="352">
        <f>SUM(D14:D16)</f>
        <v>362</v>
      </c>
      <c r="E13" s="353">
        <f>(C13-D13)/D13</f>
        <v>-0.17679558011049723</v>
      </c>
      <c r="F13" s="352">
        <f>SUM(F14:F16)</f>
        <v>2514</v>
      </c>
      <c r="G13" s="352">
        <f>SUM(G14:G16)</f>
        <v>1748</v>
      </c>
      <c r="H13" s="351">
        <f>(F13-G13)/G13</f>
        <v>0.43821510297482835</v>
      </c>
      <c r="I13" s="353">
        <f>F13/$F$66</f>
        <v>1.0002466797698716E-2</v>
      </c>
      <c r="J13" s="349" t="s">
        <v>131</v>
      </c>
      <c r="K13" s="55"/>
      <c r="L13" s="350">
        <f>SUM(L14:L16)</f>
        <v>32022</v>
      </c>
      <c r="M13" s="352">
        <f>SUM(M14:M16)</f>
        <v>37642</v>
      </c>
      <c r="N13" s="353">
        <f>(L13-M13)/M13</f>
        <v>-0.14930131236384889</v>
      </c>
      <c r="O13" s="350">
        <f>SUM(O14:O16)</f>
        <v>246306</v>
      </c>
      <c r="P13" s="352">
        <f>SUM(P14:P16)</f>
        <v>201565</v>
      </c>
      <c r="Q13" s="351">
        <f>(O13-P13)/P13</f>
        <v>0.22196809962046982</v>
      </c>
      <c r="R13" s="353">
        <f>O13/$O$66</f>
        <v>9.8177541567490041E-3</v>
      </c>
      <c r="S13" s="20"/>
    </row>
    <row r="14" spans="1:19" ht="14.1" customHeight="1" x14ac:dyDescent="0.2">
      <c r="A14" s="349"/>
      <c r="B14" s="425" t="s">
        <v>131</v>
      </c>
      <c r="C14" s="431">
        <f>[3]Alaska!$FU$19</f>
        <v>124</v>
      </c>
      <c r="D14" s="295">
        <f>[3]Alaska!$FG$19</f>
        <v>176</v>
      </c>
      <c r="E14" s="433">
        <f>(C14-D14)/D14</f>
        <v>-0.29545454545454547</v>
      </c>
      <c r="F14" s="295">
        <f>SUM([3]Alaska!$FN$19:$FU$19)</f>
        <v>948</v>
      </c>
      <c r="G14" s="295">
        <f>SUM([3]Alaska!$EZ$19:$FG$19)</f>
        <v>1091</v>
      </c>
      <c r="H14" s="432">
        <f>(F14-G14)/G14</f>
        <v>-0.13107241063244729</v>
      </c>
      <c r="I14" s="433">
        <f>F14/$F$66</f>
        <v>3.7718132554567952E-3</v>
      </c>
      <c r="J14" s="349"/>
      <c r="K14" s="425" t="s">
        <v>131</v>
      </c>
      <c r="L14" s="431">
        <f>[3]Alaska!$FU$41</f>
        <v>20429</v>
      </c>
      <c r="M14" s="295">
        <f>[3]Alaska!$FG$41</f>
        <v>26885</v>
      </c>
      <c r="N14" s="433">
        <f>(L14-M14)/M14</f>
        <v>-0.24013390366375303</v>
      </c>
      <c r="O14" s="431">
        <f>SUM([3]Alaska!$FN$41:$FU$41)</f>
        <v>144021</v>
      </c>
      <c r="P14" s="295">
        <f>SUM([3]Alaska!$EZ$41:$FG$41)</f>
        <v>160463</v>
      </c>
      <c r="Q14" s="432">
        <f>(O14-P14)/P14</f>
        <v>-0.10246598904420334</v>
      </c>
      <c r="R14" s="433">
        <f>O14/$O$66</f>
        <v>5.7406753039274247E-3</v>
      </c>
      <c r="S14" s="20"/>
    </row>
    <row r="15" spans="1:19" ht="14.1" customHeight="1" x14ac:dyDescent="0.2">
      <c r="A15" s="349"/>
      <c r="B15" s="425" t="s">
        <v>100</v>
      </c>
      <c r="C15" s="354">
        <f>'[3]Sky West_AS'!$FU$19</f>
        <v>50</v>
      </c>
      <c r="D15" s="9">
        <f>'[3]Sky West_AS'!$FG$19</f>
        <v>186</v>
      </c>
      <c r="E15" s="86">
        <f>(C15-D15)/D15</f>
        <v>-0.73118279569892475</v>
      </c>
      <c r="F15" s="9">
        <f>SUM('[3]Sky West_AS'!$FN$19:$FU$19)</f>
        <v>694</v>
      </c>
      <c r="G15" s="9">
        <f>SUM('[3]Sky West_AS'!$EZ$19:$FG$19)</f>
        <v>657</v>
      </c>
      <c r="H15" s="39">
        <f>(F15-G15)/G15</f>
        <v>5.6316590563165903E-2</v>
      </c>
      <c r="I15" s="86">
        <f>F15/$F$66</f>
        <v>2.7612219401761773E-3</v>
      </c>
      <c r="J15" s="349"/>
      <c r="K15" s="425" t="s">
        <v>100</v>
      </c>
      <c r="L15" s="354">
        <f>'[3]Sky West_AS'!$FU$41</f>
        <v>3543</v>
      </c>
      <c r="M15" s="9">
        <f>'[3]Sky West_AS'!$FG$41</f>
        <v>10757</v>
      </c>
      <c r="N15" s="86">
        <f>(L15-M15)/M15</f>
        <v>-0.67063307613646927</v>
      </c>
      <c r="O15" s="354">
        <f>SUM('[3]Sky West_AS'!$FN$41:$FU$41)</f>
        <v>45980</v>
      </c>
      <c r="P15" s="9">
        <f>SUM('[3]Sky West_AS'!$EZ$41:$FG$41)</f>
        <v>41102</v>
      </c>
      <c r="Q15" s="39">
        <f>(O15-P15)/P15</f>
        <v>0.11868035618704686</v>
      </c>
      <c r="R15" s="433">
        <f>O15/$O$66</f>
        <v>1.8327622393580309E-3</v>
      </c>
      <c r="S15" s="20"/>
    </row>
    <row r="16" spans="1:19" ht="14.1" customHeight="1" x14ac:dyDescent="0.2">
      <c r="A16" s="349"/>
      <c r="B16" s="425" t="s">
        <v>215</v>
      </c>
      <c r="C16" s="354">
        <f>[3]Horizon_AS!$FU$19</f>
        <v>124</v>
      </c>
      <c r="D16" s="9">
        <f>[3]Horizon_AS!$FG$19</f>
        <v>0</v>
      </c>
      <c r="E16" s="86" t="e">
        <f>(C16-D16)/D16</f>
        <v>#DIV/0!</v>
      </c>
      <c r="F16" s="9">
        <f>SUM([3]Horizon_AS!$FN$19:$FU$19)</f>
        <v>872</v>
      </c>
      <c r="G16" s="9">
        <f>SUM([3]Horizon_AS!$EZ$19:$FG$19)</f>
        <v>0</v>
      </c>
      <c r="H16" s="39" t="e">
        <f>(F16-G16)/G16</f>
        <v>#DIV/0!</v>
      </c>
      <c r="I16" s="86">
        <f>F16/$F$66</f>
        <v>3.4694316020657443E-3</v>
      </c>
      <c r="J16" s="349"/>
      <c r="K16" s="425" t="s">
        <v>215</v>
      </c>
      <c r="L16" s="354">
        <f>[3]Horizon_AS!$FU$41</f>
        <v>8050</v>
      </c>
      <c r="M16" s="9">
        <f>[3]Horizon_AS!$FG$41</f>
        <v>0</v>
      </c>
      <c r="N16" s="86" t="e">
        <f>(L16-M16)/M16</f>
        <v>#DIV/0!</v>
      </c>
      <c r="O16" s="354">
        <f>SUM([3]Horizon_AS!$FN$41:$FU$41)</f>
        <v>56305</v>
      </c>
      <c r="P16" s="9">
        <f>SUM([3]Horizon_AS!$EZ$41:$FG$41)</f>
        <v>0</v>
      </c>
      <c r="Q16" s="39" t="e">
        <f>(O16-P16)/P16</f>
        <v>#DIV/0!</v>
      </c>
      <c r="R16" s="433">
        <f>O16/$O$66</f>
        <v>2.2443166134635479E-3</v>
      </c>
      <c r="S16" s="20"/>
    </row>
    <row r="17" spans="1:22" ht="14.1" customHeight="1" x14ac:dyDescent="0.2">
      <c r="A17" s="349"/>
      <c r="B17" s="55"/>
      <c r="C17" s="350"/>
      <c r="D17" s="355"/>
      <c r="E17" s="353"/>
      <c r="F17" s="355"/>
      <c r="G17" s="355"/>
      <c r="H17" s="351"/>
      <c r="I17" s="353"/>
      <c r="J17" s="349"/>
      <c r="K17" s="55"/>
      <c r="L17" s="356"/>
      <c r="M17" s="146"/>
      <c r="N17" s="86"/>
      <c r="O17" s="356"/>
      <c r="P17" s="146"/>
      <c r="Q17" s="39"/>
      <c r="R17" s="86"/>
      <c r="S17" s="20"/>
    </row>
    <row r="18" spans="1:22" ht="14.1" customHeight="1" x14ac:dyDescent="0.2">
      <c r="A18" s="349" t="s">
        <v>17</v>
      </c>
      <c r="B18" s="361"/>
      <c r="C18" s="350">
        <f>SUM(C19:C25)</f>
        <v>1836</v>
      </c>
      <c r="D18" s="352">
        <f>SUM(D19:D25)</f>
        <v>2048</v>
      </c>
      <c r="E18" s="353">
        <f t="shared" ref="E18:E25" si="0">(C18-D18)/D18</f>
        <v>-0.103515625</v>
      </c>
      <c r="F18" s="350">
        <f>SUM(F19:F25)</f>
        <v>13882</v>
      </c>
      <c r="G18" s="352">
        <f>SUM(G19:G25)</f>
        <v>15651</v>
      </c>
      <c r="H18" s="351">
        <f t="shared" ref="H18:H25" si="1">(F18-G18)/G18</f>
        <v>-0.11302792153855984</v>
      </c>
      <c r="I18" s="353">
        <f t="shared" ref="I18:I25" si="2">F18/$F$66</f>
        <v>5.5232396215454886E-2</v>
      </c>
      <c r="J18" s="349" t="s">
        <v>17</v>
      </c>
      <c r="K18" s="357"/>
      <c r="L18" s="350">
        <f>SUM(L19:L25)</f>
        <v>195885</v>
      </c>
      <c r="M18" s="352">
        <f>SUM(M19:M25)</f>
        <v>220442</v>
      </c>
      <c r="N18" s="353">
        <f t="shared" ref="N18:N25" si="3">(L18-M18)/M18</f>
        <v>-0.11139891672185881</v>
      </c>
      <c r="O18" s="350">
        <f>SUM(O19:O25)</f>
        <v>1443403</v>
      </c>
      <c r="P18" s="352">
        <f>SUM(P19:P25)</f>
        <v>1613887</v>
      </c>
      <c r="Q18" s="351">
        <f t="shared" ref="Q18:Q25" si="4">(O18-P18)/P18</f>
        <v>-0.10563564859249749</v>
      </c>
      <c r="R18" s="353">
        <f t="shared" ref="R18:R25" si="5">O18/$O$66</f>
        <v>5.7534025980341449E-2</v>
      </c>
      <c r="S18" s="20"/>
    </row>
    <row r="19" spans="1:22" ht="14.1" customHeight="1" x14ac:dyDescent="0.2">
      <c r="A19" s="53"/>
      <c r="B19" s="359" t="s">
        <v>17</v>
      </c>
      <c r="C19" s="354">
        <f>[3]American!$FU$19</f>
        <v>1322</v>
      </c>
      <c r="D19" s="9">
        <f>[3]American!$FG$19</f>
        <v>1540</v>
      </c>
      <c r="E19" s="86">
        <f t="shared" si="0"/>
        <v>-0.14155844155844155</v>
      </c>
      <c r="F19" s="9">
        <f>SUM([3]American!$FN$19:$FU$19)</f>
        <v>9600</v>
      </c>
      <c r="G19" s="9">
        <f>SUM([3]American!$EZ$19:$FG$19)</f>
        <v>12083</v>
      </c>
      <c r="H19" s="39">
        <f t="shared" si="1"/>
        <v>-0.20549532400893819</v>
      </c>
      <c r="I19" s="86">
        <f t="shared" si="2"/>
        <v>3.8195577270448561E-2</v>
      </c>
      <c r="J19" s="53"/>
      <c r="K19" s="358" t="s">
        <v>17</v>
      </c>
      <c r="L19" s="354">
        <f>[3]American!$FU$41</f>
        <v>165586</v>
      </c>
      <c r="M19" s="9">
        <f>[3]American!$FG$41</f>
        <v>192977</v>
      </c>
      <c r="N19" s="86">
        <f t="shared" si="3"/>
        <v>-0.14193919482632644</v>
      </c>
      <c r="O19" s="354">
        <f>SUM([3]American!$FN$41:$FU$41)</f>
        <v>1199364</v>
      </c>
      <c r="P19" s="9">
        <f>SUM([3]American!$EZ$41:$FG$41)</f>
        <v>1434546</v>
      </c>
      <c r="Q19" s="39">
        <f t="shared" si="4"/>
        <v>-0.16394176275978603</v>
      </c>
      <c r="R19" s="86">
        <f t="shared" si="5"/>
        <v>4.7806634415950532E-2</v>
      </c>
      <c r="S19" s="20"/>
    </row>
    <row r="20" spans="1:22" ht="14.1" customHeight="1" x14ac:dyDescent="0.2">
      <c r="A20" s="53"/>
      <c r="B20" s="426" t="s">
        <v>173</v>
      </c>
      <c r="C20" s="354">
        <f>'[3]American Eagle'!$FU$19</f>
        <v>14</v>
      </c>
      <c r="D20" s="9">
        <f>'[3]American Eagle'!$FG$19</f>
        <v>8</v>
      </c>
      <c r="E20" s="86">
        <f t="shared" si="0"/>
        <v>0.75</v>
      </c>
      <c r="F20" s="9">
        <f>SUM('[3]American Eagle'!$FN$19:$FU$19)</f>
        <v>368</v>
      </c>
      <c r="G20" s="9">
        <f>SUM('[3]American Eagle'!$EZ$19:$FG$19)</f>
        <v>126</v>
      </c>
      <c r="H20" s="39">
        <f t="shared" si="1"/>
        <v>1.9206349206349207</v>
      </c>
      <c r="I20" s="86">
        <f t="shared" si="2"/>
        <v>1.4641637953671947E-3</v>
      </c>
      <c r="J20" s="53"/>
      <c r="K20" s="424" t="s">
        <v>173</v>
      </c>
      <c r="L20" s="354">
        <f>'[3]American Eagle'!$FU$41</f>
        <v>412</v>
      </c>
      <c r="M20" s="9">
        <f>'[3]American Eagle'!$FG$41</f>
        <v>392</v>
      </c>
      <c r="N20" s="86">
        <f t="shared" si="3"/>
        <v>5.1020408163265307E-2</v>
      </c>
      <c r="O20" s="354">
        <f>SUM('[3]American Eagle'!$FN$41:$FU$41)</f>
        <v>22585</v>
      </c>
      <c r="P20" s="9">
        <f>SUM('[3]American Eagle'!$EZ$41:$FG$41)</f>
        <v>6485</v>
      </c>
      <c r="Q20" s="39">
        <f t="shared" si="4"/>
        <v>2.4826522744795683</v>
      </c>
      <c r="R20" s="86">
        <f t="shared" si="5"/>
        <v>9.002378246172494E-4</v>
      </c>
      <c r="S20" s="20"/>
    </row>
    <row r="21" spans="1:22" ht="14.1" customHeight="1" x14ac:dyDescent="0.2">
      <c r="A21" s="53"/>
      <c r="B21" s="426" t="s">
        <v>52</v>
      </c>
      <c r="C21" s="354">
        <f>[3]Republic!$FU$19</f>
        <v>438</v>
      </c>
      <c r="D21" s="9">
        <f>[3]Republic!$FG$19</f>
        <v>444</v>
      </c>
      <c r="E21" s="86">
        <f t="shared" si="0"/>
        <v>-1.3513513513513514E-2</v>
      </c>
      <c r="F21" s="9">
        <f>SUM([3]Republic!$FN$19:$FU$19)</f>
        <v>3335</v>
      </c>
      <c r="G21" s="9">
        <f>SUM([3]Republic!$EZ$19:$FG$19)</f>
        <v>3033</v>
      </c>
      <c r="H21" s="39">
        <f t="shared" si="1"/>
        <v>9.9571381470491258E-2</v>
      </c>
      <c r="I21" s="86">
        <f t="shared" si="2"/>
        <v>1.3268984395515203E-2</v>
      </c>
      <c r="J21" s="363"/>
      <c r="K21" s="360" t="s">
        <v>52</v>
      </c>
      <c r="L21" s="354">
        <f>[3]Republic!$FU$41</f>
        <v>26182</v>
      </c>
      <c r="M21" s="9">
        <f>[3]Republic!$FG$41</f>
        <v>24118</v>
      </c>
      <c r="N21" s="86">
        <f t="shared" si="3"/>
        <v>8.5579235425823033E-2</v>
      </c>
      <c r="O21" s="354">
        <f>SUM([3]Republic!$FN$41:$FU$41)</f>
        <v>189234</v>
      </c>
      <c r="P21" s="9">
        <f>SUM([3]Republic!$EZ$41:$FG$41)</f>
        <v>153226</v>
      </c>
      <c r="Q21" s="39">
        <f t="shared" si="4"/>
        <v>0.23499928210616997</v>
      </c>
      <c r="R21" s="86">
        <f t="shared" si="5"/>
        <v>7.5428649326376171E-3</v>
      </c>
      <c r="S21" s="20"/>
    </row>
    <row r="22" spans="1:22" ht="14.1" customHeight="1" x14ac:dyDescent="0.2">
      <c r="A22" s="53"/>
      <c r="B22" s="426" t="s">
        <v>200</v>
      </c>
      <c r="C22" s="354">
        <f>[3]PSA!$FU$19</f>
        <v>0</v>
      </c>
      <c r="D22" s="9">
        <f>[3]PSA!$FG$19</f>
        <v>50</v>
      </c>
      <c r="E22" s="86">
        <f t="shared" si="0"/>
        <v>-1</v>
      </c>
      <c r="F22" s="9">
        <f>SUM([3]PSA!$FN$19:$FU$19)</f>
        <v>178</v>
      </c>
      <c r="G22" s="9">
        <f>SUM([3]PSA!$EZ$19:$FG$19)</f>
        <v>330</v>
      </c>
      <c r="H22" s="39">
        <f t="shared" si="1"/>
        <v>-0.46060606060606063</v>
      </c>
      <c r="I22" s="86">
        <f t="shared" si="2"/>
        <v>7.0820966188956704E-4</v>
      </c>
      <c r="J22" s="363"/>
      <c r="K22" s="426" t="s">
        <v>200</v>
      </c>
      <c r="L22" s="354">
        <f>[3]PSA!$FU$41</f>
        <v>0</v>
      </c>
      <c r="M22" s="9">
        <f>[3]PSA!$FG$41</f>
        <v>2580</v>
      </c>
      <c r="N22" s="86">
        <f t="shared" si="3"/>
        <v>-1</v>
      </c>
      <c r="O22" s="354">
        <f>SUM([3]PSA!$FN$41:$FU$41)</f>
        <v>7565</v>
      </c>
      <c r="P22" s="9">
        <f>SUM([3]PSA!$EZ$41:$FG$41)</f>
        <v>15556</v>
      </c>
      <c r="Q22" s="39">
        <f t="shared" si="4"/>
        <v>-0.51369246592954487</v>
      </c>
      <c r="R22" s="86">
        <f t="shared" si="5"/>
        <v>3.0154080775866691E-4</v>
      </c>
      <c r="S22" s="20"/>
    </row>
    <row r="23" spans="1:22" ht="14.1" customHeight="1" x14ac:dyDescent="0.2">
      <c r="A23" s="53"/>
      <c r="B23" s="425" t="s">
        <v>100</v>
      </c>
      <c r="C23" s="354">
        <f>'[3]Sky West_AA'!$FU$19</f>
        <v>62</v>
      </c>
      <c r="D23" s="9">
        <f>'[3]Sky West_AA'!$FG$19</f>
        <v>6</v>
      </c>
      <c r="E23" s="86">
        <f>(C23-D23)/D23</f>
        <v>9.3333333333333339</v>
      </c>
      <c r="F23" s="9">
        <f>SUM('[3]Sky West_AA'!$FN$19:$FU$19)</f>
        <v>401</v>
      </c>
      <c r="G23" s="9">
        <f>SUM('[3]Sky West_AA'!$EZ$19:$FG$19)</f>
        <v>77</v>
      </c>
      <c r="H23" s="39">
        <f>(F23-G23)/G23</f>
        <v>4.2077922077922079</v>
      </c>
      <c r="I23" s="86">
        <f t="shared" si="2"/>
        <v>1.5954610922343617E-3</v>
      </c>
      <c r="J23" s="363"/>
      <c r="K23" s="425" t="s">
        <v>100</v>
      </c>
      <c r="L23" s="354">
        <f>'[3]Sky West_AA'!$FU$41</f>
        <v>3705</v>
      </c>
      <c r="M23" s="9">
        <f>'[3]Sky West_AA'!$FG$41</f>
        <v>375</v>
      </c>
      <c r="N23" s="86">
        <f>(L23-M23)/M23</f>
        <v>8.8800000000000008</v>
      </c>
      <c r="O23" s="354">
        <f>SUM('[3]Sky West_AA'!$FN$41:$FU$41)</f>
        <v>24655</v>
      </c>
      <c r="P23" s="9">
        <f>SUM('[3]Sky West_AA'!$EZ$41:$FG$41)</f>
        <v>3984</v>
      </c>
      <c r="Q23" s="39">
        <f>(O23-P23)/P23</f>
        <v>5.1885040160642566</v>
      </c>
      <c r="R23" s="433">
        <f t="shared" si="5"/>
        <v>9.8274799937738701E-4</v>
      </c>
      <c r="S23" s="20"/>
    </row>
    <row r="24" spans="1:22" ht="14.1" customHeight="1" x14ac:dyDescent="0.2">
      <c r="A24" s="53"/>
      <c r="B24" s="426" t="s">
        <v>51</v>
      </c>
      <c r="C24" s="354">
        <f>[3]MESA!$FU$19</f>
        <v>0</v>
      </c>
      <c r="D24" s="9">
        <f>[3]MESA!$FG$19</f>
        <v>0</v>
      </c>
      <c r="E24" s="86" t="e">
        <f t="shared" si="0"/>
        <v>#DIV/0!</v>
      </c>
      <c r="F24" s="9">
        <f>SUM([3]MESA!$FN$19:$FU$19)</f>
        <v>0</v>
      </c>
      <c r="G24" s="9">
        <f>SUM([3]MESA!$EZ$19:$FG$19)</f>
        <v>0</v>
      </c>
      <c r="H24" s="39" t="e">
        <f t="shared" si="1"/>
        <v>#DIV/0!</v>
      </c>
      <c r="I24" s="86">
        <f t="shared" si="2"/>
        <v>0</v>
      </c>
      <c r="J24" s="363"/>
      <c r="K24" s="424" t="s">
        <v>51</v>
      </c>
      <c r="L24" s="354">
        <f>[3]MESA!$FU$41</f>
        <v>0</v>
      </c>
      <c r="M24" s="9">
        <f>[3]MESA!$FG$41</f>
        <v>0</v>
      </c>
      <c r="N24" s="86" t="e">
        <f t="shared" si="3"/>
        <v>#DIV/0!</v>
      </c>
      <c r="O24" s="354">
        <f>SUM([3]MESA!$FN$41:$FU$41)</f>
        <v>0</v>
      </c>
      <c r="P24" s="9">
        <f>SUM([3]MESA!$EZ$41:$FG$41)</f>
        <v>0</v>
      </c>
      <c r="Q24" s="39" t="e">
        <f t="shared" si="4"/>
        <v>#DIV/0!</v>
      </c>
      <c r="R24" s="86">
        <f t="shared" si="5"/>
        <v>0</v>
      </c>
      <c r="S24" s="20"/>
    </row>
    <row r="25" spans="1:22" ht="14.1" customHeight="1" x14ac:dyDescent="0.2">
      <c r="A25" s="53"/>
      <c r="B25" s="426" t="s">
        <v>50</v>
      </c>
      <c r="C25" s="354">
        <f>'[3]Air Wisconsin'!$FU$19</f>
        <v>0</v>
      </c>
      <c r="D25" s="9">
        <f>'[3]Air Wisconsin'!$FG$19</f>
        <v>0</v>
      </c>
      <c r="E25" s="86" t="e">
        <f t="shared" si="0"/>
        <v>#DIV/0!</v>
      </c>
      <c r="F25" s="9">
        <f>SUM('[3]Air Wisconsin'!$FN$19:$FU$19)</f>
        <v>0</v>
      </c>
      <c r="G25" s="9">
        <f>SUM('[3]Air Wisconsin'!$EZ$19:$FG$19)</f>
        <v>2</v>
      </c>
      <c r="H25" s="485">
        <f t="shared" si="1"/>
        <v>-1</v>
      </c>
      <c r="I25" s="86">
        <f t="shared" si="2"/>
        <v>0</v>
      </c>
      <c r="J25" s="53"/>
      <c r="K25" s="427" t="s">
        <v>50</v>
      </c>
      <c r="L25" s="354">
        <f>'[3]Air Wisconsin'!$FU$41</f>
        <v>0</v>
      </c>
      <c r="M25" s="9">
        <f>'[3]Air Wisconsin'!$FG$41</f>
        <v>0</v>
      </c>
      <c r="N25" s="86" t="e">
        <f t="shared" si="3"/>
        <v>#DIV/0!</v>
      </c>
      <c r="O25" s="354">
        <f>SUM('[3]Air Wisconsin'!$FN$41:$FU$41)</f>
        <v>0</v>
      </c>
      <c r="P25" s="9">
        <f>SUM('[3]Air Wisconsin'!$EZ$41:$FG$41)</f>
        <v>90</v>
      </c>
      <c r="Q25" s="39">
        <f t="shared" si="4"/>
        <v>-1</v>
      </c>
      <c r="R25" s="86">
        <f t="shared" si="5"/>
        <v>0</v>
      </c>
      <c r="S25" s="20"/>
    </row>
    <row r="26" spans="1:22" ht="14.1" customHeight="1" x14ac:dyDescent="0.2">
      <c r="A26" s="53"/>
      <c r="B26" s="359"/>
      <c r="C26" s="354"/>
      <c r="D26" s="9"/>
      <c r="E26" s="86"/>
      <c r="F26" s="9"/>
      <c r="G26" s="9"/>
      <c r="H26" s="39"/>
      <c r="I26" s="86"/>
      <c r="J26" s="53"/>
      <c r="K26" s="359"/>
      <c r="L26" s="354"/>
      <c r="M26" s="9"/>
      <c r="N26" s="86"/>
      <c r="O26" s="354"/>
      <c r="P26" s="9"/>
      <c r="Q26" s="39"/>
      <c r="R26" s="86"/>
      <c r="S26" s="20"/>
      <c r="T26" s="9"/>
      <c r="U26" s="11"/>
      <c r="V26" s="11"/>
    </row>
    <row r="27" spans="1:22" ht="14.1" customHeight="1" x14ac:dyDescent="0.2">
      <c r="A27" s="349" t="s">
        <v>197</v>
      </c>
      <c r="B27" s="359"/>
      <c r="C27" s="350">
        <f>'[3]Boutique Air'!$FU$19</f>
        <v>156</v>
      </c>
      <c r="D27" s="352">
        <f>'[3]Boutique Air'!$FG$19</f>
        <v>164</v>
      </c>
      <c r="E27" s="353">
        <f>(C27-D27)/D27</f>
        <v>-4.878048780487805E-2</v>
      </c>
      <c r="F27" s="352">
        <f>SUM('[3]Boutique Air'!$FN$19:$FU$19)</f>
        <v>1216</v>
      </c>
      <c r="G27" s="352">
        <f>SUM('[3]Boutique Air'!$EZ$19:$FG$19)</f>
        <v>1240</v>
      </c>
      <c r="H27" s="351">
        <f>(F27-G27)/G27</f>
        <v>-1.935483870967742E-2</v>
      </c>
      <c r="I27" s="353">
        <f>F27/$F$66</f>
        <v>4.8381064542568179E-3</v>
      </c>
      <c r="J27" s="349" t="s">
        <v>197</v>
      </c>
      <c r="K27" s="359"/>
      <c r="L27" s="350">
        <f>'[3]Boutique Air'!$FU$41</f>
        <v>885</v>
      </c>
      <c r="M27" s="352">
        <f>'[3]Boutique Air'!$FG$41</f>
        <v>966</v>
      </c>
      <c r="N27" s="353">
        <f>(L27-M27)/M27</f>
        <v>-8.3850931677018639E-2</v>
      </c>
      <c r="O27" s="350">
        <f>SUM('[3]Boutique Air'!$FN$41:$FU$41)</f>
        <v>6571</v>
      </c>
      <c r="P27" s="352">
        <f>SUM('[3]Boutique Air'!$EZ$41:$FG$41)</f>
        <v>7890</v>
      </c>
      <c r="Q27" s="351">
        <f>(O27-P27)/P27</f>
        <v>-0.16717363751584283</v>
      </c>
      <c r="R27" s="353">
        <f>O27/$O$66</f>
        <v>2.6191997987867814E-4</v>
      </c>
      <c r="S27" s="20"/>
      <c r="T27" s="9"/>
      <c r="U27" s="11"/>
      <c r="V27" s="11"/>
    </row>
    <row r="28" spans="1:22" ht="14.1" customHeight="1" x14ac:dyDescent="0.2">
      <c r="A28" s="53"/>
      <c r="B28" s="359"/>
      <c r="C28" s="354"/>
      <c r="D28" s="9"/>
      <c r="E28" s="86"/>
      <c r="F28" s="9"/>
      <c r="G28" s="9"/>
      <c r="H28" s="39"/>
      <c r="I28" s="86"/>
      <c r="J28" s="53"/>
      <c r="K28" s="359"/>
      <c r="L28" s="354"/>
      <c r="M28" s="9"/>
      <c r="N28" s="86"/>
      <c r="O28" s="354"/>
      <c r="P28" s="9"/>
      <c r="Q28" s="39"/>
      <c r="R28" s="86"/>
      <c r="S28" s="20"/>
      <c r="T28" s="9"/>
      <c r="U28" s="11"/>
      <c r="V28" s="11"/>
    </row>
    <row r="29" spans="1:22" ht="14.1" customHeight="1" x14ac:dyDescent="0.2">
      <c r="A29" s="349" t="s">
        <v>168</v>
      </c>
      <c r="B29" s="359"/>
      <c r="C29" s="350">
        <f>[3]Condor!$FU$19</f>
        <v>36</v>
      </c>
      <c r="D29" s="352">
        <f>[3]Condor!$FG$19</f>
        <v>36</v>
      </c>
      <c r="E29" s="353">
        <f>(C29-D29)/D29</f>
        <v>0</v>
      </c>
      <c r="F29" s="352">
        <f>SUM([3]Condor!$FN$19:$FU$19)</f>
        <v>104</v>
      </c>
      <c r="G29" s="352">
        <f>SUM([3]Condor!$EZ$19:$FG$19)</f>
        <v>118</v>
      </c>
      <c r="H29" s="351">
        <f>(F29-G29)/G29</f>
        <v>-0.11864406779661017</v>
      </c>
      <c r="I29" s="353">
        <f>F29/$F$66</f>
        <v>4.1378542042985939E-4</v>
      </c>
      <c r="J29" s="349" t="s">
        <v>168</v>
      </c>
      <c r="K29" s="359"/>
      <c r="L29" s="350">
        <f>[3]Condor!$FU$41</f>
        <v>8987</v>
      </c>
      <c r="M29" s="352">
        <f>[3]Condor!$FG$41</f>
        <v>8645</v>
      </c>
      <c r="N29" s="353">
        <f>(L29-M29)/M29</f>
        <v>3.9560439560439559E-2</v>
      </c>
      <c r="O29" s="350">
        <f>SUM([3]Condor!$FN$41:$FU$41)</f>
        <v>24910</v>
      </c>
      <c r="P29" s="352">
        <f>SUM([3]Condor!$EZ$41:$FG$41)</f>
        <v>27410</v>
      </c>
      <c r="Q29" s="351">
        <f>(O29-P29)/P29</f>
        <v>-9.1207588471360818E-2</v>
      </c>
      <c r="R29" s="353">
        <f>O29/$O$66</f>
        <v>9.9291229626812861E-4</v>
      </c>
      <c r="S29" s="20"/>
      <c r="T29" s="9"/>
      <c r="U29" s="11"/>
      <c r="V29" s="11"/>
    </row>
    <row r="30" spans="1:22" ht="14.1" customHeight="1" x14ac:dyDescent="0.2">
      <c r="A30" s="53"/>
      <c r="B30" s="359"/>
      <c r="C30" s="354"/>
      <c r="D30" s="9"/>
      <c r="E30" s="86"/>
      <c r="F30" s="9"/>
      <c r="G30" s="9"/>
      <c r="H30" s="39"/>
      <c r="I30" s="86"/>
      <c r="J30" s="53"/>
      <c r="K30" s="359"/>
      <c r="L30" s="354"/>
      <c r="M30" s="9"/>
      <c r="N30" s="86"/>
      <c r="O30" s="354"/>
      <c r="P30" s="9"/>
      <c r="Q30" s="39"/>
      <c r="R30" s="86"/>
      <c r="S30" s="20"/>
      <c r="T30" s="9"/>
      <c r="U30" s="11"/>
      <c r="V30" s="11"/>
    </row>
    <row r="31" spans="1:22" ht="14.1" customHeight="1" x14ac:dyDescent="0.2">
      <c r="A31" s="349" t="s">
        <v>18</v>
      </c>
      <c r="B31" s="361"/>
      <c r="C31" s="350">
        <f>SUM(C32:C38)</f>
        <v>25883</v>
      </c>
      <c r="D31" s="352">
        <f>SUM(D32:D38)</f>
        <v>25858</v>
      </c>
      <c r="E31" s="353">
        <f t="shared" ref="E31:E38" si="6">(C31-D31)/D31</f>
        <v>9.668187794879728E-4</v>
      </c>
      <c r="F31" s="355">
        <f>SUM(F32:F38)</f>
        <v>184451</v>
      </c>
      <c r="G31" s="355">
        <f>SUM(G32:G38)</f>
        <v>185774</v>
      </c>
      <c r="H31" s="351">
        <f>(F31-G31)/G31</f>
        <v>-7.1215562995898245E-3</v>
      </c>
      <c r="I31" s="353">
        <f t="shared" ref="I31:I38" si="7">F31/$F$66</f>
        <v>0.73387629407411537</v>
      </c>
      <c r="J31" s="349" t="s">
        <v>18</v>
      </c>
      <c r="K31" s="361"/>
      <c r="L31" s="350">
        <f>SUM(L32:L38)</f>
        <v>2611589</v>
      </c>
      <c r="M31" s="352">
        <f>SUM(M32:M38)</f>
        <v>2533216</v>
      </c>
      <c r="N31" s="353">
        <f t="shared" ref="N31:N38" si="8">(L31-M31)/M31</f>
        <v>3.0938143450854567E-2</v>
      </c>
      <c r="O31" s="350">
        <f>SUM(O32:O38)</f>
        <v>17844559</v>
      </c>
      <c r="P31" s="352">
        <f>SUM(P32:P38)</f>
        <v>17636517</v>
      </c>
      <c r="Q31" s="351">
        <f t="shared" ref="Q31:Q38" si="9">(O31-P31)/P31</f>
        <v>1.1796093298920642E-2</v>
      </c>
      <c r="R31" s="353">
        <f t="shared" ref="R31:R38" si="10">O31/$O$66</f>
        <v>0.71128390415825371</v>
      </c>
      <c r="S31" s="414"/>
      <c r="U31" s="11"/>
      <c r="V31" s="11"/>
    </row>
    <row r="32" spans="1:22" ht="14.1" customHeight="1" x14ac:dyDescent="0.2">
      <c r="A32" s="53"/>
      <c r="B32" s="358" t="s">
        <v>18</v>
      </c>
      <c r="C32" s="354">
        <f>[3]Delta!$FU$19</f>
        <v>14261</v>
      </c>
      <c r="D32" s="9">
        <f>[3]Delta!$FG$19</f>
        <v>14425</v>
      </c>
      <c r="E32" s="86">
        <f t="shared" si="6"/>
        <v>-1.1369150779896014E-2</v>
      </c>
      <c r="F32" s="9">
        <f>SUM([3]Delta!$FN$19:$FU$19)</f>
        <v>97019</v>
      </c>
      <c r="G32" s="9">
        <f>SUM([3]Delta!$EZ$19:$FG$19)</f>
        <v>96631</v>
      </c>
      <c r="H32" s="39">
        <f t="shared" ref="H32:H38" si="11">(F32-G32)/G32</f>
        <v>4.0152746013184179E-3</v>
      </c>
      <c r="I32" s="86">
        <f t="shared" si="7"/>
        <v>0.38601007408350507</v>
      </c>
      <c r="J32" s="53"/>
      <c r="K32" s="358" t="s">
        <v>18</v>
      </c>
      <c r="L32" s="354">
        <f>[3]Delta!$FU$41</f>
        <v>2005395</v>
      </c>
      <c r="M32" s="9">
        <f>[3]Delta!$FG$41</f>
        <v>1969909</v>
      </c>
      <c r="N32" s="86">
        <f t="shared" si="8"/>
        <v>1.8014030089714805E-2</v>
      </c>
      <c r="O32" s="354">
        <f>SUM([3]Delta!$FN$41:$FU$41)</f>
        <v>13420830</v>
      </c>
      <c r="P32" s="9">
        <f>SUM([3]Delta!$EZ$41:$FG$41)</f>
        <v>13216260</v>
      </c>
      <c r="Q32" s="39">
        <f t="shared" si="9"/>
        <v>1.5478660377444149E-2</v>
      </c>
      <c r="R32" s="86">
        <f t="shared" si="10"/>
        <v>0.53495412015753463</v>
      </c>
      <c r="S32" s="20"/>
      <c r="T32" s="9"/>
      <c r="U32" s="11"/>
      <c r="V32" s="11"/>
    </row>
    <row r="33" spans="1:22" ht="14.1" customHeight="1" x14ac:dyDescent="0.2">
      <c r="A33" s="53"/>
      <c r="B33" s="360" t="s">
        <v>120</v>
      </c>
      <c r="C33" s="354">
        <f>[3]Compass!$FU$19</f>
        <v>0</v>
      </c>
      <c r="D33" s="9">
        <f>[3]Compass!$FG$19</f>
        <v>1021</v>
      </c>
      <c r="E33" s="86">
        <f t="shared" si="6"/>
        <v>-1</v>
      </c>
      <c r="F33" s="9">
        <f>SUM([3]Compass!$FN$19:$FU$19)</f>
        <v>2</v>
      </c>
      <c r="G33" s="9">
        <f>SUM([3]Compass!$EZ$19:$FG$19)</f>
        <v>8429</v>
      </c>
      <c r="H33" s="39">
        <f t="shared" si="11"/>
        <v>-0.99976272392929177</v>
      </c>
      <c r="I33" s="86">
        <f t="shared" si="7"/>
        <v>7.9574119313434503E-6</v>
      </c>
      <c r="J33" s="53"/>
      <c r="K33" s="360" t="s">
        <v>120</v>
      </c>
      <c r="L33" s="354">
        <f>[3]Compass!$FU$41</f>
        <v>0</v>
      </c>
      <c r="M33" s="9">
        <f>[3]Compass!$FG$41</f>
        <v>62261</v>
      </c>
      <c r="N33" s="86">
        <f t="shared" si="8"/>
        <v>-1</v>
      </c>
      <c r="O33" s="354">
        <f>SUM([3]Compass!$FN$41:$FU$41)</f>
        <v>0</v>
      </c>
      <c r="P33" s="9">
        <f>SUM([3]Compass!$EZ$41:$FG$41)</f>
        <v>497822</v>
      </c>
      <c r="Q33" s="39">
        <f t="shared" si="9"/>
        <v>-1</v>
      </c>
      <c r="R33" s="86">
        <f t="shared" si="10"/>
        <v>0</v>
      </c>
      <c r="S33" s="9"/>
      <c r="T33" s="9"/>
      <c r="U33" s="11"/>
      <c r="V33" s="11"/>
    </row>
    <row r="34" spans="1:22" ht="14.1" customHeight="1" x14ac:dyDescent="0.2">
      <c r="A34" s="53"/>
      <c r="B34" s="359" t="s">
        <v>164</v>
      </c>
      <c r="C34" s="354">
        <f>[3]Pinnacle!$FU$19</f>
        <v>2292</v>
      </c>
      <c r="D34" s="9">
        <f>[3]Pinnacle!$FG$19</f>
        <v>3243</v>
      </c>
      <c r="E34" s="86">
        <f t="shared" si="6"/>
        <v>-0.29324699352451433</v>
      </c>
      <c r="F34" s="9">
        <f>SUM([3]Pinnacle!$FN$19:$FU$19)</f>
        <v>16451</v>
      </c>
      <c r="G34" s="9">
        <f>SUM([3]Pinnacle!$EZ$19:$FG$19)</f>
        <v>25385</v>
      </c>
      <c r="H34" s="39">
        <f t="shared" si="11"/>
        <v>-0.35194012211936182</v>
      </c>
      <c r="I34" s="86">
        <f t="shared" si="7"/>
        <v>6.5453691841265552E-2</v>
      </c>
      <c r="J34" s="53"/>
      <c r="K34" s="359" t="s">
        <v>164</v>
      </c>
      <c r="L34" s="354">
        <f>[3]Pinnacle!$FU$41</f>
        <v>142030</v>
      </c>
      <c r="M34" s="9">
        <f>[3]Pinnacle!$FG$41</f>
        <v>157605</v>
      </c>
      <c r="N34" s="86">
        <f t="shared" si="8"/>
        <v>-9.8823006884299361E-2</v>
      </c>
      <c r="O34" s="354">
        <f>SUM([3]Pinnacle!$FN$41:$FU$41)</f>
        <v>969681</v>
      </c>
      <c r="P34" s="9">
        <f>SUM([3]Pinnacle!$EZ$41:$FG$41)</f>
        <v>1265287</v>
      </c>
      <c r="Q34" s="39">
        <f t="shared" si="9"/>
        <v>-0.23362762756591982</v>
      </c>
      <c r="R34" s="86">
        <f t="shared" si="10"/>
        <v>3.8651472836514461E-2</v>
      </c>
      <c r="S34" s="20"/>
      <c r="T34" s="11"/>
    </row>
    <row r="35" spans="1:22" ht="14.1" customHeight="1" x14ac:dyDescent="0.2">
      <c r="A35" s="53"/>
      <c r="B35" s="359" t="s">
        <v>160</v>
      </c>
      <c r="C35" s="354">
        <f>'[3]Go Jet'!$FU$19</f>
        <v>472</v>
      </c>
      <c r="D35" s="9">
        <f>'[3]Go Jet'!$FG$19</f>
        <v>406</v>
      </c>
      <c r="E35" s="86">
        <f t="shared" si="6"/>
        <v>0.1625615763546798</v>
      </c>
      <c r="F35" s="9">
        <f>SUM('[3]Go Jet'!$FN$19:$FU$19)</f>
        <v>4886</v>
      </c>
      <c r="G35" s="9">
        <f>SUM('[3]Go Jet'!$EZ$19:$FG$19)</f>
        <v>3860</v>
      </c>
      <c r="H35" s="39">
        <f>(F35-G35)/G35</f>
        <v>0.26580310880829017</v>
      </c>
      <c r="I35" s="86">
        <f t="shared" si="7"/>
        <v>1.9439957348272047E-2</v>
      </c>
      <c r="J35" s="53"/>
      <c r="K35" s="358" t="s">
        <v>160</v>
      </c>
      <c r="L35" s="354">
        <f>'[3]Go Jet'!$FU$41</f>
        <v>29058</v>
      </c>
      <c r="M35" s="9">
        <f>'[3]Go Jet'!$FG$41</f>
        <v>23154</v>
      </c>
      <c r="N35" s="86">
        <f t="shared" si="8"/>
        <v>0.25498833894791395</v>
      </c>
      <c r="O35" s="354">
        <f>SUM('[3]Go Jet'!$FN$41:$FU$41)</f>
        <v>288810</v>
      </c>
      <c r="P35" s="9">
        <f>SUM('[3]Go Jet'!$EZ$41:$FG$41)</f>
        <v>216537</v>
      </c>
      <c r="Q35" s="39">
        <f>(O35-P35)/P35</f>
        <v>0.33376743928289393</v>
      </c>
      <c r="R35" s="86">
        <f t="shared" si="10"/>
        <v>1.1511963078490494E-2</v>
      </c>
      <c r="S35" s="330"/>
      <c r="T35" s="329"/>
    </row>
    <row r="36" spans="1:22" ht="14.1" customHeight="1" x14ac:dyDescent="0.2">
      <c r="A36" s="53"/>
      <c r="B36" s="359" t="s">
        <v>100</v>
      </c>
      <c r="C36" s="354">
        <f>'[3]Sky West'!$FU$19</f>
        <v>8856</v>
      </c>
      <c r="D36" s="9">
        <f>'[3]Sky West'!$FG$19</f>
        <v>6543</v>
      </c>
      <c r="E36" s="86">
        <f t="shared" si="6"/>
        <v>0.35350756533700139</v>
      </c>
      <c r="F36" s="9">
        <f>SUM('[3]Sky West'!$FN$19:$FU$19)</f>
        <v>64663</v>
      </c>
      <c r="G36" s="9">
        <f>SUM('[3]Sky West'!$EZ$19:$FG$19)</f>
        <v>46797</v>
      </c>
      <c r="H36" s="39">
        <f t="shared" si="11"/>
        <v>0.38177660961172727</v>
      </c>
      <c r="I36" s="86">
        <f t="shared" si="7"/>
        <v>0.25727506385823073</v>
      </c>
      <c r="J36" s="53"/>
      <c r="K36" s="359" t="s">
        <v>100</v>
      </c>
      <c r="L36" s="354">
        <f>'[3]Sky West'!$FU$41</f>
        <v>435022</v>
      </c>
      <c r="M36" s="9">
        <f>'[3]Sky West'!$FG$41</f>
        <v>309817</v>
      </c>
      <c r="N36" s="86">
        <f t="shared" si="8"/>
        <v>0.4041256612774638</v>
      </c>
      <c r="O36" s="354">
        <f>SUM('[3]Sky West'!$FN$41:$FU$41)</f>
        <v>3091827</v>
      </c>
      <c r="P36" s="9">
        <f>SUM('[3]Sky West'!$EZ$41:$FG$41)</f>
        <v>2180727</v>
      </c>
      <c r="Q36" s="39">
        <f t="shared" si="9"/>
        <v>0.4177964504497812</v>
      </c>
      <c r="R36" s="86">
        <f t="shared" si="10"/>
        <v>0.12324018652082694</v>
      </c>
      <c r="S36" s="20"/>
    </row>
    <row r="37" spans="1:22" ht="14.1" customHeight="1" x14ac:dyDescent="0.2">
      <c r="A37" s="53"/>
      <c r="B37" s="359" t="s">
        <v>134</v>
      </c>
      <c r="C37" s="354">
        <f>'[3]Shuttle America_Delta'!$FU$19</f>
        <v>2</v>
      </c>
      <c r="D37" s="9">
        <f>'[3]Shuttle America_Delta'!$FG$19</f>
        <v>0</v>
      </c>
      <c r="E37" s="86" t="e">
        <f t="shared" si="6"/>
        <v>#DIV/0!</v>
      </c>
      <c r="F37" s="9">
        <f>SUM('[3]Shuttle America_Delta'!$FN$19:$FU$19)</f>
        <v>78</v>
      </c>
      <c r="G37" s="9">
        <f>SUM('[3]Shuttle America_Delta'!$EZ$19:$FG$19)</f>
        <v>158</v>
      </c>
      <c r="H37" s="39">
        <f t="shared" si="11"/>
        <v>-0.50632911392405067</v>
      </c>
      <c r="I37" s="86">
        <f t="shared" si="7"/>
        <v>3.1033906532239455E-4</v>
      </c>
      <c r="J37" s="53"/>
      <c r="K37" s="359" t="s">
        <v>134</v>
      </c>
      <c r="L37" s="354">
        <f>'[3]Shuttle America_Delta'!$FU$41</f>
        <v>84</v>
      </c>
      <c r="M37" s="9">
        <f>'[3]Shuttle America_Delta'!$FG$41</f>
        <v>0</v>
      </c>
      <c r="N37" s="86" t="e">
        <f t="shared" si="8"/>
        <v>#DIV/0!</v>
      </c>
      <c r="O37" s="354">
        <f>SUM('[3]Shuttle America_Delta'!$FN$41:$FU$41)</f>
        <v>4612</v>
      </c>
      <c r="P37" s="9">
        <f>SUM('[3]Shuttle America_Delta'!$EZ$41:$FG$41)</f>
        <v>8496</v>
      </c>
      <c r="Q37" s="39">
        <f t="shared" si="9"/>
        <v>-0.4571563088512241</v>
      </c>
      <c r="R37" s="86">
        <f t="shared" si="10"/>
        <v>1.8383426376509873E-4</v>
      </c>
      <c r="S37" s="20"/>
    </row>
    <row r="38" spans="1:22" ht="14.1" customHeight="1" x14ac:dyDescent="0.2">
      <c r="A38" s="53"/>
      <c r="B38" s="426" t="s">
        <v>174</v>
      </c>
      <c r="C38" s="354">
        <f>'[3]Atlantic Southeast'!$FU$19</f>
        <v>0</v>
      </c>
      <c r="D38" s="9">
        <f>'[3]Atlantic Southeast'!$FG$19</f>
        <v>220</v>
      </c>
      <c r="E38" s="86">
        <f t="shared" si="6"/>
        <v>-1</v>
      </c>
      <c r="F38" s="9">
        <f>SUM('[3]Atlantic Southeast'!$FN$19:$FU$19)</f>
        <v>1352</v>
      </c>
      <c r="G38" s="9">
        <f>SUM('[3]Atlantic Southeast'!$EZ$19:$FG$19)</f>
        <v>4514</v>
      </c>
      <c r="H38" s="39">
        <f t="shared" si="11"/>
        <v>-0.70048737261852012</v>
      </c>
      <c r="I38" s="86">
        <f t="shared" si="7"/>
        <v>5.3792104655881719E-3</v>
      </c>
      <c r="J38" s="53"/>
      <c r="K38" s="426" t="s">
        <v>174</v>
      </c>
      <c r="L38" s="354">
        <f>'[3]Atlantic Southeast'!$FU$41</f>
        <v>0</v>
      </c>
      <c r="M38" s="9">
        <f>'[3]Atlantic Southeast'!$FG$41</f>
        <v>10470</v>
      </c>
      <c r="N38" s="86">
        <f t="shared" si="8"/>
        <v>-1</v>
      </c>
      <c r="O38" s="354">
        <f>SUM('[3]Atlantic Southeast'!$FN$41:$FU$41)</f>
        <v>68799</v>
      </c>
      <c r="P38" s="9">
        <f>SUM('[3]Atlantic Southeast'!$EZ$41:$FG$41)</f>
        <v>251388</v>
      </c>
      <c r="Q38" s="39">
        <f t="shared" si="9"/>
        <v>-0.72632345219342209</v>
      </c>
      <c r="R38" s="86">
        <f t="shared" si="10"/>
        <v>2.7423273011220788E-3</v>
      </c>
      <c r="S38" s="328"/>
    </row>
    <row r="39" spans="1:22" ht="14.1" customHeight="1" x14ac:dyDescent="0.2">
      <c r="A39" s="53"/>
      <c r="B39" s="426"/>
      <c r="C39" s="354"/>
      <c r="D39" s="9"/>
      <c r="E39" s="86"/>
      <c r="F39" s="9"/>
      <c r="G39" s="9"/>
      <c r="H39" s="39"/>
      <c r="I39" s="86"/>
      <c r="J39" s="53"/>
      <c r="K39" s="426"/>
      <c r="L39" s="354"/>
      <c r="M39" s="9"/>
      <c r="N39" s="86"/>
      <c r="O39" s="354"/>
      <c r="P39" s="9"/>
      <c r="Q39" s="39"/>
      <c r="R39" s="86"/>
      <c r="S39" s="328"/>
    </row>
    <row r="40" spans="1:22" s="7" customFormat="1" ht="14.1" customHeight="1" x14ac:dyDescent="0.2">
      <c r="A40" s="349" t="s">
        <v>47</v>
      </c>
      <c r="B40" s="362"/>
      <c r="C40" s="350">
        <f>[3]Frontier!$FU$19</f>
        <v>316</v>
      </c>
      <c r="D40" s="352">
        <f>[3]Frontier!$FG$19</f>
        <v>187</v>
      </c>
      <c r="E40" s="353">
        <f>(C40-D40)/D40</f>
        <v>0.68983957219251335</v>
      </c>
      <c r="F40" s="352">
        <f>SUM([3]Frontier!$FN$19:$FU$19)</f>
        <v>2248</v>
      </c>
      <c r="G40" s="352">
        <f>SUM([3]Frontier!$EZ$19:$FG$19)</f>
        <v>1422</v>
      </c>
      <c r="H40" s="351">
        <f>(F40-G40)/G40</f>
        <v>0.58087201125175814</v>
      </c>
      <c r="I40" s="353">
        <f>F40/$F$66</f>
        <v>8.9441310108300375E-3</v>
      </c>
      <c r="J40" s="349" t="s">
        <v>47</v>
      </c>
      <c r="K40" s="362"/>
      <c r="L40" s="350">
        <f>[3]Frontier!$FU$41</f>
        <v>48043</v>
      </c>
      <c r="M40" s="352">
        <f>[3]Frontier!$FG$41</f>
        <v>25158</v>
      </c>
      <c r="N40" s="353">
        <f>(L40-M40)/M40</f>
        <v>0.90965100564432788</v>
      </c>
      <c r="O40" s="350">
        <f>SUM([3]Frontier!$FN$41:$FU$41)</f>
        <v>333380</v>
      </c>
      <c r="P40" s="352">
        <f>SUM([3]Frontier!$EZ$41:$FG$41)</f>
        <v>211553</v>
      </c>
      <c r="Q40" s="351">
        <f>(O40-P40)/P40</f>
        <v>0.57586987657939148</v>
      </c>
      <c r="R40" s="353">
        <f>O40/$O$66</f>
        <v>1.3288522735040895E-2</v>
      </c>
      <c r="S40" s="469"/>
      <c r="T40"/>
      <c r="U40" s="4"/>
    </row>
    <row r="41" spans="1:22" s="7" customFormat="1" ht="14.1" customHeight="1" x14ac:dyDescent="0.2">
      <c r="A41" s="349"/>
      <c r="B41" s="362"/>
      <c r="C41" s="350"/>
      <c r="D41" s="352"/>
      <c r="E41" s="353"/>
      <c r="F41" s="352"/>
      <c r="G41" s="352"/>
      <c r="H41" s="351"/>
      <c r="I41" s="353"/>
      <c r="J41" s="349"/>
      <c r="K41" s="362"/>
      <c r="L41" s="354"/>
      <c r="M41" s="9"/>
      <c r="N41" s="86"/>
      <c r="O41" s="354"/>
      <c r="P41" s="9"/>
      <c r="Q41" s="39"/>
      <c r="R41" s="86"/>
      <c r="S41" s="469"/>
    </row>
    <row r="42" spans="1:22" s="7" customFormat="1" ht="14.1" customHeight="1" x14ac:dyDescent="0.2">
      <c r="A42" s="349" t="s">
        <v>48</v>
      </c>
      <c r="B42" s="362"/>
      <c r="C42" s="350">
        <f>[3]Icelandair!$FU$19</f>
        <v>98</v>
      </c>
      <c r="D42" s="352">
        <f>[3]Icelandair!$FG$19</f>
        <v>62</v>
      </c>
      <c r="E42" s="353">
        <f>(C42-D42)/D42</f>
        <v>0.58064516129032262</v>
      </c>
      <c r="F42" s="352">
        <f>SUM([3]Icelandair!$FN$19:$FU$19)</f>
        <v>442</v>
      </c>
      <c r="G42" s="352">
        <f>SUM([3]Icelandair!$EZ$19:$FG$19)</f>
        <v>382</v>
      </c>
      <c r="H42" s="351">
        <f>(F42-G42)/G42</f>
        <v>0.15706806282722513</v>
      </c>
      <c r="I42" s="353">
        <f>F42/$F$66</f>
        <v>1.7585880368269024E-3</v>
      </c>
      <c r="J42" s="349" t="s">
        <v>48</v>
      </c>
      <c r="K42" s="362"/>
      <c r="L42" s="350">
        <f>[3]Icelandair!$FU$41</f>
        <v>14451</v>
      </c>
      <c r="M42" s="352">
        <f>[3]Icelandair!$FG$41</f>
        <v>13784</v>
      </c>
      <c r="N42" s="353">
        <f>(L42-M42)/M42</f>
        <v>4.8389437028438773E-2</v>
      </c>
      <c r="O42" s="350">
        <f>SUM([3]Icelandair!$FN$41:$FU$41)</f>
        <v>63774</v>
      </c>
      <c r="P42" s="352">
        <f>SUM([3]Icelandair!$EZ$41:$FG$41)</f>
        <v>72517</v>
      </c>
      <c r="Q42" s="351">
        <f>(O42-P42)/P42</f>
        <v>-0.12056483307362412</v>
      </c>
      <c r="R42" s="353">
        <f>O42/$O$66</f>
        <v>2.542030862392759E-3</v>
      </c>
      <c r="S42" s="20"/>
    </row>
    <row r="43" spans="1:22" s="7" customFormat="1" ht="14.1" customHeight="1" x14ac:dyDescent="0.2">
      <c r="A43" s="349"/>
      <c r="B43" s="362"/>
      <c r="C43" s="350"/>
      <c r="D43" s="352"/>
      <c r="E43" s="353"/>
      <c r="F43" s="352"/>
      <c r="G43" s="352"/>
      <c r="H43" s="351"/>
      <c r="I43" s="353"/>
      <c r="J43" s="349"/>
      <c r="K43" s="362"/>
      <c r="L43" s="354"/>
      <c r="M43" s="9"/>
      <c r="N43" s="86"/>
      <c r="O43" s="354"/>
      <c r="P43" s="9"/>
      <c r="Q43" s="39"/>
      <c r="R43" s="86"/>
      <c r="S43" s="20"/>
    </row>
    <row r="44" spans="1:22" s="7" customFormat="1" ht="14.1" customHeight="1" x14ac:dyDescent="0.2">
      <c r="A44" s="349" t="s">
        <v>229</v>
      </c>
      <c r="B44" s="362"/>
      <c r="C44" s="350">
        <f>'[3]Jet Blue'!$FU$19</f>
        <v>185</v>
      </c>
      <c r="D44" s="352">
        <f>'[3]Jet Blue'!$FG$19</f>
        <v>0</v>
      </c>
      <c r="E44" s="353" t="e">
        <f>(C44-D44)/D44</f>
        <v>#DIV/0!</v>
      </c>
      <c r="F44" s="352">
        <f>SUM('[3]Jet Blue'!$FN$19:$FU$19)</f>
        <v>717</v>
      </c>
      <c r="G44" s="352">
        <f>SUM('[3]Jet Blue'!$EZ$19:$FG$19)</f>
        <v>0</v>
      </c>
      <c r="H44" s="351" t="e">
        <f>(F44-G44)/G44</f>
        <v>#DIV/0!</v>
      </c>
      <c r="I44" s="353">
        <f>F44/$F$66</f>
        <v>2.8527321773866268E-3</v>
      </c>
      <c r="J44" s="349" t="s">
        <v>229</v>
      </c>
      <c r="K44" s="362"/>
      <c r="L44" s="350">
        <f>'[3]Jet Blue'!$FU$41</f>
        <v>20403</v>
      </c>
      <c r="M44" s="352">
        <f>'[3]Jet Blue'!$FG$41</f>
        <v>0</v>
      </c>
      <c r="N44" s="353" t="e">
        <f>(L44-M44)/M44</f>
        <v>#DIV/0!</v>
      </c>
      <c r="O44" s="350">
        <f>SUM('[3]Jet Blue'!$FN$41:$FU$41)</f>
        <v>85132</v>
      </c>
      <c r="P44" s="352">
        <f>SUM('[3]Jet Blue'!$EZ$41:$FG$41)</f>
        <v>0</v>
      </c>
      <c r="Q44" s="351" t="e">
        <f>(O44-P44)/P44</f>
        <v>#DIV/0!</v>
      </c>
      <c r="R44" s="353">
        <f>O44/$O$66</f>
        <v>3.3933604819710284E-3</v>
      </c>
      <c r="S44" s="20"/>
    </row>
    <row r="45" spans="1:22" s="7" customFormat="1" ht="14.1" customHeight="1" x14ac:dyDescent="0.2">
      <c r="A45" s="349"/>
      <c r="B45" s="362"/>
      <c r="C45" s="350"/>
      <c r="D45" s="352"/>
      <c r="E45" s="353"/>
      <c r="F45" s="352"/>
      <c r="G45" s="352"/>
      <c r="H45" s="351"/>
      <c r="I45" s="353"/>
      <c r="J45" s="349"/>
      <c r="K45" s="362"/>
      <c r="L45" s="354"/>
      <c r="M45" s="9"/>
      <c r="N45" s="86"/>
      <c r="O45" s="354"/>
      <c r="P45" s="9"/>
      <c r="Q45" s="39"/>
      <c r="R45" s="86"/>
      <c r="S45" s="20"/>
    </row>
    <row r="46" spans="1:22" s="7" customFormat="1" ht="14.1" customHeight="1" x14ac:dyDescent="0.2">
      <c r="A46" s="349" t="s">
        <v>216</v>
      </c>
      <c r="B46" s="362"/>
      <c r="C46" s="350">
        <f>[3]KLM!$FU$19</f>
        <v>34</v>
      </c>
      <c r="D46" s="352">
        <f>[3]KLM!$FG$19</f>
        <v>26</v>
      </c>
      <c r="E46" s="353">
        <f>(C46-D46)/D46</f>
        <v>0.30769230769230771</v>
      </c>
      <c r="F46" s="352">
        <f>SUM([3]KLM!$FN$19:$FU$19)</f>
        <v>238</v>
      </c>
      <c r="G46" s="352">
        <f>SUM([3]KLM!$EZ$19:$FG$19)</f>
        <v>132</v>
      </c>
      <c r="H46" s="351">
        <f>(F46-G46)/G46</f>
        <v>0.80303030303030298</v>
      </c>
      <c r="I46" s="353">
        <f>F46/$F$66</f>
        <v>9.4693201982987054E-4</v>
      </c>
      <c r="J46" s="349" t="s">
        <v>216</v>
      </c>
      <c r="K46" s="362"/>
      <c r="L46" s="350">
        <f>[3]KLM!$FU$41</f>
        <v>8652</v>
      </c>
      <c r="M46" s="352">
        <f>[3]KLM!$FG$41</f>
        <v>6263</v>
      </c>
      <c r="N46" s="353">
        <f>(L46-M46)/M46</f>
        <v>0.38144659109053169</v>
      </c>
      <c r="O46" s="350">
        <f>SUM([3]KLM!$FN$41:$FU$41)</f>
        <v>55786</v>
      </c>
      <c r="P46" s="352">
        <f>SUM([3]KLM!$EZ$41:$FG$41)</f>
        <v>31218</v>
      </c>
      <c r="Q46" s="351">
        <f>(O46-P46)/P46</f>
        <v>0.78698186943430071</v>
      </c>
      <c r="R46" s="353">
        <f>O46/$O$66</f>
        <v>2.2236292797918034E-3</v>
      </c>
      <c r="S46" s="20"/>
    </row>
    <row r="47" spans="1:22" s="7" customFormat="1" ht="14.1" customHeight="1" x14ac:dyDescent="0.2">
      <c r="A47" s="349"/>
      <c r="B47" s="362"/>
      <c r="C47" s="350"/>
      <c r="D47" s="352"/>
      <c r="E47" s="353"/>
      <c r="F47" s="352"/>
      <c r="G47" s="352"/>
      <c r="H47" s="351"/>
      <c r="I47" s="353"/>
      <c r="J47" s="349"/>
      <c r="K47" s="362"/>
      <c r="L47" s="354"/>
      <c r="M47" s="9"/>
      <c r="N47" s="86"/>
      <c r="O47" s="354"/>
      <c r="P47" s="9"/>
      <c r="Q47" s="39"/>
      <c r="R47" s="86"/>
      <c r="S47" s="20"/>
    </row>
    <row r="48" spans="1:22" ht="14.1" customHeight="1" x14ac:dyDescent="0.2">
      <c r="A48" s="515" t="s">
        <v>132</v>
      </c>
      <c r="C48" s="350">
        <f>[3]Southwest!$FU$19</f>
        <v>1491</v>
      </c>
      <c r="D48" s="352">
        <f>[3]Southwest!$FG$19</f>
        <v>1598</v>
      </c>
      <c r="E48" s="353">
        <f>(C48-D48)/D48</f>
        <v>-6.6958698372966211E-2</v>
      </c>
      <c r="F48" s="352">
        <f>SUM([3]Southwest!$FN$19:$FU$19)</f>
        <v>10830</v>
      </c>
      <c r="G48" s="352">
        <f>SUM([3]Southwest!$EZ$19:$FG$19)</f>
        <v>12112</v>
      </c>
      <c r="H48" s="351">
        <f>(F48-G48)/G48</f>
        <v>-0.10584544253632761</v>
      </c>
      <c r="I48" s="353">
        <f>F48/$F$66</f>
        <v>4.3089385608224784E-2</v>
      </c>
      <c r="J48" s="357" t="s">
        <v>132</v>
      </c>
      <c r="L48" s="350">
        <f>[3]Southwest!$FU$41</f>
        <v>184520</v>
      </c>
      <c r="M48" s="352">
        <f>[3]Southwest!$FG$41</f>
        <v>193207</v>
      </c>
      <c r="N48" s="353">
        <f>(L48-M48)/M48</f>
        <v>-4.4962139052932865E-2</v>
      </c>
      <c r="O48" s="350">
        <f>SUM([3]Southwest!$FN$41:$FU$41)</f>
        <v>1311454</v>
      </c>
      <c r="P48" s="352">
        <f>SUM([3]Southwest!$EZ$41:$FG$41)</f>
        <v>1404284</v>
      </c>
      <c r="Q48" s="351">
        <f>(O48-P48)/P48</f>
        <v>-6.6104861979485632E-2</v>
      </c>
      <c r="R48" s="353">
        <f>O48/$O$66</f>
        <v>5.2274540449218074E-2</v>
      </c>
      <c r="S48" s="20"/>
    </row>
    <row r="49" spans="1:20" ht="14.1" customHeight="1" x14ac:dyDescent="0.2">
      <c r="A49" s="349"/>
      <c r="B49" s="55"/>
      <c r="C49" s="350"/>
      <c r="D49" s="352"/>
      <c r="E49" s="353"/>
      <c r="F49" s="352"/>
      <c r="G49" s="352"/>
      <c r="H49" s="351"/>
      <c r="I49" s="353"/>
      <c r="J49" s="349"/>
      <c r="K49" s="55"/>
      <c r="L49" s="354"/>
      <c r="M49" s="9"/>
      <c r="N49" s="86"/>
      <c r="O49" s="354"/>
      <c r="P49" s="9"/>
      <c r="Q49" s="39"/>
      <c r="R49" s="86"/>
      <c r="S49" s="20"/>
      <c r="T49" s="7"/>
    </row>
    <row r="50" spans="1:20" ht="14.1" customHeight="1" x14ac:dyDescent="0.2">
      <c r="A50" s="349" t="s">
        <v>161</v>
      </c>
      <c r="B50" s="55"/>
      <c r="C50" s="350">
        <f>[3]Spirit!$FU$19</f>
        <v>744</v>
      </c>
      <c r="D50" s="352">
        <f>[3]Spirit!$FG$19</f>
        <v>780</v>
      </c>
      <c r="E50" s="353">
        <f>(C50-D50)/D50</f>
        <v>-4.6153846153846156E-2</v>
      </c>
      <c r="F50" s="352">
        <f>SUM([3]Spirit!$FN$19:$FU$19)</f>
        <v>5775</v>
      </c>
      <c r="G50" s="352">
        <f>SUM([3]Spirit!$EZ$19:$FG$19)</f>
        <v>6217</v>
      </c>
      <c r="H50" s="351">
        <f>(F50-G50)/G50</f>
        <v>-7.1095383625542866E-2</v>
      </c>
      <c r="I50" s="353">
        <f>F50/$F$66</f>
        <v>2.2977026951754211E-2</v>
      </c>
      <c r="J50" s="349" t="s">
        <v>161</v>
      </c>
      <c r="K50" s="55"/>
      <c r="L50" s="350">
        <f>[3]Spirit!$FU$41</f>
        <v>112678</v>
      </c>
      <c r="M50" s="352">
        <f>[3]Spirit!$FG$41</f>
        <v>114899</v>
      </c>
      <c r="N50" s="353">
        <f>(L50-M50)/M50</f>
        <v>-1.9330020278679538E-2</v>
      </c>
      <c r="O50" s="350">
        <f>SUM([3]Spirit!$FN$41:$FU$41)</f>
        <v>794117</v>
      </c>
      <c r="P50" s="352">
        <f>SUM([3]Spirit!$EZ$41:$FG$41)</f>
        <v>852679</v>
      </c>
      <c r="Q50" s="351">
        <f>(O50-P50)/P50</f>
        <v>-6.8680007365022472E-2</v>
      </c>
      <c r="R50" s="353">
        <f>O50/$O$66</f>
        <v>3.1653493937196207E-2</v>
      </c>
      <c r="S50" s="20"/>
      <c r="T50" s="7"/>
    </row>
    <row r="51" spans="1:20" ht="14.1" customHeight="1" x14ac:dyDescent="0.2">
      <c r="A51" s="349"/>
      <c r="B51" s="55"/>
      <c r="C51" s="350"/>
      <c r="D51" s="352"/>
      <c r="E51" s="353"/>
      <c r="F51" s="352"/>
      <c r="G51" s="352"/>
      <c r="H51" s="351"/>
      <c r="I51" s="353"/>
      <c r="J51" s="349"/>
      <c r="K51" s="55"/>
      <c r="L51" s="354"/>
      <c r="M51" s="9"/>
      <c r="N51" s="86"/>
      <c r="O51" s="354"/>
      <c r="P51" s="9"/>
      <c r="Q51" s="39"/>
      <c r="R51" s="86">
        <f>O51/$O$66</f>
        <v>0</v>
      </c>
      <c r="S51" s="20"/>
      <c r="T51" s="7"/>
    </row>
    <row r="52" spans="1:20" s="7" customFormat="1" ht="14.1" customHeight="1" x14ac:dyDescent="0.2">
      <c r="A52" s="349" t="s">
        <v>49</v>
      </c>
      <c r="B52" s="362"/>
      <c r="C52" s="350">
        <f>'[3]Sun Country'!$FU$19</f>
        <v>1575</v>
      </c>
      <c r="D52" s="352">
        <f>'[3]Sun Country'!$FG$19</f>
        <v>1713</v>
      </c>
      <c r="E52" s="353">
        <f>(C52-D52)/D52</f>
        <v>-8.0560420315236428E-2</v>
      </c>
      <c r="F52" s="352">
        <f>SUM('[3]Sun Country'!$FN$19:$FU$19)</f>
        <v>13808</v>
      </c>
      <c r="G52" s="352">
        <f>SUM('[3]Sun Country'!$EZ$19:$FG$19)</f>
        <v>14594</v>
      </c>
      <c r="H52" s="351">
        <f>(F52-G52)/G52</f>
        <v>-5.3857749760175412E-2</v>
      </c>
      <c r="I52" s="353">
        <f>F52/$F$66</f>
        <v>5.4937971973995178E-2</v>
      </c>
      <c r="J52" s="349" t="s">
        <v>49</v>
      </c>
      <c r="K52" s="362"/>
      <c r="L52" s="350">
        <f>'[3]Sun Country'!$FU$41</f>
        <v>194148</v>
      </c>
      <c r="M52" s="352">
        <f>'[3]Sun Country'!$FG$41</f>
        <v>202959</v>
      </c>
      <c r="N52" s="353">
        <f>(L52-M52)/M52</f>
        <v>-4.3412708970777349E-2</v>
      </c>
      <c r="O52" s="350">
        <f>SUM('[3]Sun Country'!$FN$41:$FU$41)</f>
        <v>1674244</v>
      </c>
      <c r="P52" s="352">
        <f>SUM('[3]Sun Country'!$EZ$41:$FG$41)</f>
        <v>1689104</v>
      </c>
      <c r="Q52" s="351">
        <f>(O52-P52)/P52</f>
        <v>-8.7975636787314456E-3</v>
      </c>
      <c r="R52" s="353">
        <f>O52/$O$66</f>
        <v>6.673534542565783E-2</v>
      </c>
      <c r="S52" s="20"/>
    </row>
    <row r="53" spans="1:20" s="7" customFormat="1" ht="14.1" customHeight="1" x14ac:dyDescent="0.2">
      <c r="A53" s="349"/>
      <c r="B53" s="362"/>
      <c r="C53" s="350"/>
      <c r="D53" s="352"/>
      <c r="E53" s="353"/>
      <c r="F53" s="352"/>
      <c r="G53" s="352"/>
      <c r="H53" s="351"/>
      <c r="I53" s="353"/>
      <c r="J53" s="349"/>
      <c r="K53" s="362"/>
      <c r="L53" s="354"/>
      <c r="M53" s="9"/>
      <c r="N53" s="86"/>
      <c r="O53" s="354"/>
      <c r="P53" s="9"/>
      <c r="Q53" s="39"/>
      <c r="R53" s="86"/>
      <c r="S53" s="20"/>
    </row>
    <row r="54" spans="1:20" s="7" customFormat="1" ht="14.1" customHeight="1" x14ac:dyDescent="0.2">
      <c r="A54" s="349" t="s">
        <v>19</v>
      </c>
      <c r="B54" s="357"/>
      <c r="C54" s="350">
        <f>SUM(C55:C61)</f>
        <v>1711</v>
      </c>
      <c r="D54" s="352">
        <f>SUM(D55:D61)</f>
        <v>1870</v>
      </c>
      <c r="E54" s="353">
        <f t="shared" ref="E54:E61" si="12">(C54-D54)/D54</f>
        <v>-8.5026737967914434E-2</v>
      </c>
      <c r="F54" s="352">
        <f>SUM(F55:F61)</f>
        <v>11941</v>
      </c>
      <c r="G54" s="352">
        <f>SUM(G55:G61)</f>
        <v>13300</v>
      </c>
      <c r="H54" s="351">
        <f t="shared" ref="H54:H61" si="13">(F54-G54)/G54</f>
        <v>-0.10218045112781955</v>
      </c>
      <c r="I54" s="353">
        <f t="shared" ref="I54:I61" si="14">F54/$F$66</f>
        <v>4.7509727936086064E-2</v>
      </c>
      <c r="J54" s="349" t="s">
        <v>19</v>
      </c>
      <c r="K54" s="357"/>
      <c r="L54" s="350">
        <f>SUM(L55:L61)</f>
        <v>160088</v>
      </c>
      <c r="M54" s="352">
        <f>SUM(M55:M61)</f>
        <v>167195</v>
      </c>
      <c r="N54" s="353">
        <f t="shared" ref="N54:N61" si="15">(L54-M54)/M54</f>
        <v>-4.2507252011124735E-2</v>
      </c>
      <c r="O54" s="350">
        <f>SUM(O55:O61)</f>
        <v>1072561</v>
      </c>
      <c r="P54" s="352">
        <f>SUM(P55:P61)</f>
        <v>1137556</v>
      </c>
      <c r="Q54" s="351">
        <f t="shared" ref="Q54:Q61" si="16">(O54-P54)/P54</f>
        <v>-5.7135648706525217E-2</v>
      </c>
      <c r="R54" s="353">
        <f t="shared" ref="R54:R61" si="17">O54/$O$66</f>
        <v>4.2752268382081099E-2</v>
      </c>
      <c r="S54" s="20"/>
      <c r="T54"/>
    </row>
    <row r="55" spans="1:20" s="7" customFormat="1" ht="14.1" customHeight="1" x14ac:dyDescent="0.2">
      <c r="A55" s="363"/>
      <c r="B55" s="424" t="s">
        <v>19</v>
      </c>
      <c r="C55" s="354">
        <f>[3]United!$FU$19</f>
        <v>822</v>
      </c>
      <c r="D55" s="9">
        <f>[3]United!$FG$19+[3]Continental!$FG$19</f>
        <v>926</v>
      </c>
      <c r="E55" s="86">
        <f t="shared" si="12"/>
        <v>-0.11231101511879049</v>
      </c>
      <c r="F55" s="9">
        <f>SUM([3]United!$FN$19:$FU$19)</f>
        <v>5056</v>
      </c>
      <c r="G55" s="9">
        <f>SUM([3]United!$EZ$19:$FG$19)+SUM([3]Continental!$EZ$19:$FG$19)</f>
        <v>5996</v>
      </c>
      <c r="H55" s="39">
        <f t="shared" si="13"/>
        <v>-0.15677118078719146</v>
      </c>
      <c r="I55" s="86">
        <f t="shared" si="14"/>
        <v>2.0116337362436242E-2</v>
      </c>
      <c r="J55" s="363"/>
      <c r="K55" s="424" t="s">
        <v>19</v>
      </c>
      <c r="L55" s="354">
        <f>[3]United!$FU$41</f>
        <v>101481</v>
      </c>
      <c r="M55" s="9">
        <f>[3]United!$FG$41+[3]Continental!$FG$41</f>
        <v>109039</v>
      </c>
      <c r="N55" s="86">
        <f t="shared" si="15"/>
        <v>-6.9314648887095445E-2</v>
      </c>
      <c r="O55" s="354">
        <f>SUM([3]United!$FN$41:$FU$41)</f>
        <v>629822</v>
      </c>
      <c r="P55" s="9">
        <f>SUM([3]United!$EZ$41:$FG$41)+SUM([3]Continental!$EZ$41:$FG$41)</f>
        <v>699352</v>
      </c>
      <c r="Q55" s="39">
        <f t="shared" si="16"/>
        <v>-9.9420606504306841E-2</v>
      </c>
      <c r="R55" s="86">
        <f t="shared" si="17"/>
        <v>2.5104697240473116E-2</v>
      </c>
      <c r="S55" s="20"/>
    </row>
    <row r="56" spans="1:20" s="7" customFormat="1" ht="14.1" customHeight="1" x14ac:dyDescent="0.2">
      <c r="A56" s="363"/>
      <c r="B56" s="426" t="s">
        <v>174</v>
      </c>
      <c r="C56" s="354">
        <f>'[3]Continental Express'!$FU$19</f>
        <v>2</v>
      </c>
      <c r="D56" s="9">
        <f>'[3]Continental Express'!$FG$19</f>
        <v>4</v>
      </c>
      <c r="E56" s="86">
        <f t="shared" si="12"/>
        <v>-0.5</v>
      </c>
      <c r="F56" s="9">
        <f>SUM('[3]Continental Express'!$FN$19:$FU$19)</f>
        <v>54</v>
      </c>
      <c r="G56" s="9">
        <f>SUM('[3]Continental Express'!$EZ$19:$FG$19)</f>
        <v>134</v>
      </c>
      <c r="H56" s="39">
        <f t="shared" si="13"/>
        <v>-0.59701492537313428</v>
      </c>
      <c r="I56" s="86">
        <f t="shared" si="14"/>
        <v>2.1485012214627315E-4</v>
      </c>
      <c r="J56" s="53"/>
      <c r="K56" s="424" t="s">
        <v>174</v>
      </c>
      <c r="L56" s="354">
        <f>'[3]Continental Express'!$FU$41</f>
        <v>93</v>
      </c>
      <c r="M56" s="9">
        <f>'[3]Continental Express'!$FG$41</f>
        <v>198</v>
      </c>
      <c r="N56" s="86">
        <f t="shared" si="15"/>
        <v>-0.53030303030303028</v>
      </c>
      <c r="O56" s="354">
        <f>SUM('[3]Continental Express'!$FN$41:$FU$41)</f>
        <v>1690</v>
      </c>
      <c r="P56" s="9">
        <f>SUM('[3]Continental Express'!$EZ$41:$FG$41)</f>
        <v>5551</v>
      </c>
      <c r="Q56" s="39">
        <f t="shared" si="16"/>
        <v>-0.6955503512880562</v>
      </c>
      <c r="R56" s="86">
        <f t="shared" si="17"/>
        <v>6.7363379393542243E-5</v>
      </c>
      <c r="S56" s="20"/>
    </row>
    <row r="57" spans="1:20" s="7" customFormat="1" ht="14.1" customHeight="1" x14ac:dyDescent="0.2">
      <c r="A57" s="363"/>
      <c r="B57" s="359" t="s">
        <v>160</v>
      </c>
      <c r="C57" s="354">
        <f>'[3]Go Jet_UA'!$FU$19</f>
        <v>1</v>
      </c>
      <c r="D57" s="9">
        <f>'[3]Go Jet_UA'!$FG$19</f>
        <v>40</v>
      </c>
      <c r="E57" s="86">
        <f t="shared" si="12"/>
        <v>-0.97499999999999998</v>
      </c>
      <c r="F57" s="9">
        <f>SUM('[3]Go Jet_UA'!$FN$19:$FU$19)</f>
        <v>157</v>
      </c>
      <c r="G57" s="9">
        <f>SUM('[3]Go Jet_UA'!$EZ$19:$FG$19)</f>
        <v>206</v>
      </c>
      <c r="H57" s="39">
        <f t="shared" si="13"/>
        <v>-0.23786407766990292</v>
      </c>
      <c r="I57" s="86">
        <f t="shared" si="14"/>
        <v>6.2465683661046083E-4</v>
      </c>
      <c r="J57" s="363"/>
      <c r="K57" s="358" t="s">
        <v>160</v>
      </c>
      <c r="L57" s="354">
        <f>'[3]Go Jet_UA'!$FU$41</f>
        <v>61</v>
      </c>
      <c r="M57" s="9">
        <f>'[3]Go Jet_UA'!$FG$41</f>
        <v>2669</v>
      </c>
      <c r="N57" s="86">
        <f t="shared" si="15"/>
        <v>-0.97714499812663924</v>
      </c>
      <c r="O57" s="354">
        <f>SUM('[3]Go Jet_UA'!$FN$41:$FU$41)</f>
        <v>10365</v>
      </c>
      <c r="P57" s="9">
        <f>SUM('[3]Go Jet_UA'!$EZ$41:$FG$41)</f>
        <v>13282</v>
      </c>
      <c r="Q57" s="39">
        <f t="shared" si="16"/>
        <v>-0.21962053907544044</v>
      </c>
      <c r="R57" s="86">
        <f t="shared" si="17"/>
        <v>4.1314877361779017E-4</v>
      </c>
      <c r="S57" s="20"/>
    </row>
    <row r="58" spans="1:20" s="7" customFormat="1" ht="14.1" customHeight="1" x14ac:dyDescent="0.2">
      <c r="A58" s="363"/>
      <c r="B58" s="359" t="s">
        <v>51</v>
      </c>
      <c r="C58" s="354">
        <f>[3]MESA_UA!$FU$19</f>
        <v>282</v>
      </c>
      <c r="D58" s="9">
        <f>[3]MESA_UA!$FG$19</f>
        <v>290</v>
      </c>
      <c r="E58" s="86">
        <f t="shared" si="12"/>
        <v>-2.7586206896551724E-2</v>
      </c>
      <c r="F58" s="9">
        <f>SUM([3]MESA_UA!$FN$19:$FU$19)</f>
        <v>2228</v>
      </c>
      <c r="G58" s="9">
        <f>SUM([3]MESA_UA!$EZ$19:$FG$19)</f>
        <v>2444</v>
      </c>
      <c r="H58" s="39">
        <f>(F58-G58)/G58</f>
        <v>-8.8379705400982E-2</v>
      </c>
      <c r="I58" s="86">
        <f t="shared" si="14"/>
        <v>8.8645568915166027E-3</v>
      </c>
      <c r="J58" s="363"/>
      <c r="K58" s="358" t="s">
        <v>51</v>
      </c>
      <c r="L58" s="354">
        <f>[3]MESA_UA!$FU$41</f>
        <v>20000</v>
      </c>
      <c r="M58" s="9">
        <f>[3]MESA_UA!$FG$41</f>
        <v>16637</v>
      </c>
      <c r="N58" s="86">
        <f t="shared" si="15"/>
        <v>0.2021398088597704</v>
      </c>
      <c r="O58" s="354">
        <f>SUM([3]MESA_UA!$FN$41:$FU$41)</f>
        <v>144874</v>
      </c>
      <c r="P58" s="9">
        <f>SUM([3]MESA_UA!$EZ$41:$FG$41)</f>
        <v>141793</v>
      </c>
      <c r="Q58" s="39">
        <f t="shared" si="16"/>
        <v>2.1728858265217605E-2</v>
      </c>
      <c r="R58" s="86">
        <f t="shared" si="17"/>
        <v>5.7746758735266503E-3</v>
      </c>
      <c r="S58" s="20"/>
    </row>
    <row r="59" spans="1:20" s="7" customFormat="1" ht="14.1" customHeight="1" x14ac:dyDescent="0.2">
      <c r="A59" s="363"/>
      <c r="B59" s="426" t="s">
        <v>52</v>
      </c>
      <c r="C59" s="354">
        <f>[3]Republic_UA!$FU$19</f>
        <v>498</v>
      </c>
      <c r="D59" s="9">
        <f>[3]Republic_UA!$FG$19</f>
        <v>418</v>
      </c>
      <c r="E59" s="86">
        <f t="shared" si="12"/>
        <v>0.19138755980861244</v>
      </c>
      <c r="F59" s="9">
        <f>SUM([3]Republic_UA!$FN$19:$FU$19)</f>
        <v>3222</v>
      </c>
      <c r="G59" s="9">
        <f>SUM([3]Republic_UA!$EZ$19:$FG$19)</f>
        <v>2464</v>
      </c>
      <c r="H59" s="39">
        <f t="shared" ref="H59" si="18">(F59-G59)/G59</f>
        <v>0.30762987012987014</v>
      </c>
      <c r="I59" s="86">
        <f t="shared" si="14"/>
        <v>1.2819390621394297E-2</v>
      </c>
      <c r="J59" s="363"/>
      <c r="K59" s="426" t="s">
        <v>52</v>
      </c>
      <c r="L59" s="354">
        <f>[3]Republic_UA!$FU$41</f>
        <v>31546</v>
      </c>
      <c r="M59" s="9">
        <f>[3]Republic_UA!$FG$41</f>
        <v>25299</v>
      </c>
      <c r="N59" s="86">
        <f t="shared" si="15"/>
        <v>0.24692675599826081</v>
      </c>
      <c r="O59" s="354">
        <f>SUM([3]Republic_UA!$FN$41:$FU$41)</f>
        <v>205537</v>
      </c>
      <c r="P59" s="9">
        <f>SUM([3]Republic_UA!$EZ$41:$FG$41)</f>
        <v>142706</v>
      </c>
      <c r="Q59" s="39">
        <f t="shared" si="16"/>
        <v>0.44028281922273765</v>
      </c>
      <c r="R59" s="86">
        <f t="shared" si="17"/>
        <v>8.1927023138523621E-3</v>
      </c>
      <c r="S59" s="20"/>
    </row>
    <row r="60" spans="1:20" s="7" customFormat="1" ht="14.1" customHeight="1" x14ac:dyDescent="0.2">
      <c r="A60" s="363"/>
      <c r="B60" s="359" t="s">
        <v>100</v>
      </c>
      <c r="C60" s="354">
        <f>'[3]Sky West_UA'!$FU$19</f>
        <v>106</v>
      </c>
      <c r="D60" s="9">
        <f>'[3]Sky West_UA'!$FG$19+'[3]Sky West_CO'!$FG$19</f>
        <v>192</v>
      </c>
      <c r="E60" s="86">
        <f t="shared" si="12"/>
        <v>-0.44791666666666669</v>
      </c>
      <c r="F60" s="9">
        <f>SUM('[3]Sky West_UA'!$FN$19:$FU$19)</f>
        <v>1224</v>
      </c>
      <c r="G60" s="9">
        <f>SUM('[3]Sky West_UA'!$EZ$19:$FG$19)+SUM('[3]Sky West_CO'!$EZ$19:$FG$19)</f>
        <v>2032</v>
      </c>
      <c r="H60" s="39">
        <f t="shared" si="13"/>
        <v>-0.39763779527559057</v>
      </c>
      <c r="I60" s="86">
        <f t="shared" si="14"/>
        <v>4.869936101982191E-3</v>
      </c>
      <c r="J60" s="363"/>
      <c r="K60" s="358" t="s">
        <v>100</v>
      </c>
      <c r="L60" s="354">
        <f>'[3]Sky West_UA'!$FU$41</f>
        <v>6907</v>
      </c>
      <c r="M60" s="9">
        <f>'[3]Sky West_UA'!$FG$41+'[3]Sky West_CO'!$FG$41</f>
        <v>13353</v>
      </c>
      <c r="N60" s="86">
        <f t="shared" si="15"/>
        <v>-0.4827379615067775</v>
      </c>
      <c r="O60" s="354">
        <f>SUM('[3]Sky West_UA'!$FN$41:$FU$41)</f>
        <v>80273</v>
      </c>
      <c r="P60" s="9">
        <f>SUM('[3]Sky West_UA'!$EZ$41:$FG$41)+SUM('[3]Sky West_CO'!$EZ$41:$FG$41)</f>
        <v>133599</v>
      </c>
      <c r="Q60" s="39">
        <f t="shared" si="16"/>
        <v>-0.39914969423423829</v>
      </c>
      <c r="R60" s="86">
        <f t="shared" si="17"/>
        <v>3.1996808012176429E-3</v>
      </c>
      <c r="S60" s="20"/>
    </row>
    <row r="61" spans="1:20" s="7" customFormat="1" ht="14.1" customHeight="1" x14ac:dyDescent="0.2">
      <c r="A61" s="363"/>
      <c r="B61" s="360" t="s">
        <v>134</v>
      </c>
      <c r="C61" s="354">
        <f>'[3]Shuttle America'!$FU$19</f>
        <v>0</v>
      </c>
      <c r="D61" s="9">
        <f>'[3]Shuttle America'!$FG$19</f>
        <v>0</v>
      </c>
      <c r="E61" s="86" t="e">
        <f t="shared" si="12"/>
        <v>#DIV/0!</v>
      </c>
      <c r="F61" s="9">
        <f>SUM('[3]Shuttle America'!$FN$19:$FU$19)</f>
        <v>0</v>
      </c>
      <c r="G61" s="9">
        <f>SUM('[3]Shuttle America'!$EZ$19:$FG$19)</f>
        <v>24</v>
      </c>
      <c r="H61" s="39">
        <f t="shared" si="13"/>
        <v>-1</v>
      </c>
      <c r="I61" s="86">
        <f t="shared" si="14"/>
        <v>0</v>
      </c>
      <c r="J61" s="363"/>
      <c r="K61" s="360" t="s">
        <v>134</v>
      </c>
      <c r="L61" s="354">
        <f>'[3]Shuttle America'!$FU$41</f>
        <v>0</v>
      </c>
      <c r="M61" s="9">
        <f>'[3]Shuttle America'!$FG$41</f>
        <v>0</v>
      </c>
      <c r="N61" s="86" t="e">
        <f t="shared" si="15"/>
        <v>#DIV/0!</v>
      </c>
      <c r="O61" s="354">
        <f>SUM('[3]Shuttle America'!$FN$41:$FU$41)</f>
        <v>0</v>
      </c>
      <c r="P61" s="9">
        <f>SUM('[3]Shuttle America'!$EZ$41:$FG$41)</f>
        <v>1273</v>
      </c>
      <c r="Q61" s="39">
        <f t="shared" si="16"/>
        <v>-1</v>
      </c>
      <c r="R61" s="86">
        <f t="shared" si="17"/>
        <v>0</v>
      </c>
      <c r="S61" s="20"/>
    </row>
    <row r="62" spans="1:20" s="7" customFormat="1" ht="14.1" customHeight="1" thickBot="1" x14ac:dyDescent="0.25">
      <c r="A62" s="429"/>
      <c r="B62" s="430"/>
      <c r="C62" s="364"/>
      <c r="D62" s="366"/>
      <c r="E62" s="367"/>
      <c r="F62" s="368"/>
      <c r="G62" s="368"/>
      <c r="H62" s="365"/>
      <c r="I62" s="367"/>
      <c r="J62" s="429"/>
      <c r="K62" s="430"/>
      <c r="L62" s="364"/>
      <c r="M62" s="368"/>
      <c r="N62" s="367"/>
      <c r="O62" s="364"/>
      <c r="P62" s="368"/>
      <c r="Q62" s="365"/>
      <c r="R62" s="471"/>
      <c r="S62" s="20"/>
    </row>
    <row r="63" spans="1:20" s="229" customFormat="1" ht="14.1" customHeight="1" thickBot="1" x14ac:dyDescent="0.25">
      <c r="B63" s="264"/>
      <c r="C63" s="352"/>
      <c r="D63" s="352"/>
      <c r="E63" s="351"/>
      <c r="F63" s="428"/>
      <c r="G63" s="352"/>
      <c r="H63" s="351"/>
      <c r="I63" s="351"/>
      <c r="J63" s="369"/>
      <c r="K63" s="264"/>
      <c r="L63" s="370"/>
      <c r="M63" s="371"/>
      <c r="N63" s="369"/>
      <c r="O63" s="230"/>
      <c r="P63" s="230"/>
      <c r="Q63" s="230"/>
      <c r="R63" s="490"/>
      <c r="S63" s="228"/>
      <c r="T63"/>
    </row>
    <row r="64" spans="1:20" ht="14.1" customHeight="1" x14ac:dyDescent="0.2">
      <c r="B64" s="372" t="s">
        <v>136</v>
      </c>
      <c r="C64" s="438">
        <f>+C66-C65</f>
        <v>21426</v>
      </c>
      <c r="D64" s="439">
        <f>+D66-D65</f>
        <v>21947</v>
      </c>
      <c r="E64" s="440">
        <f>(C64-D64)/D64</f>
        <v>-2.3739007609240442E-2</v>
      </c>
      <c r="F64" s="438">
        <f t="shared" ref="F64:G64" si="19">+F66-F65</f>
        <v>149803</v>
      </c>
      <c r="G64" s="439">
        <f t="shared" si="19"/>
        <v>154204</v>
      </c>
      <c r="H64" s="445">
        <f>(F64-G64)/G64</f>
        <v>-2.8540115690902961E-2</v>
      </c>
      <c r="I64" s="501">
        <f>F64/$F$66</f>
        <v>0.5960220897755214</v>
      </c>
      <c r="K64" s="372" t="s">
        <v>136</v>
      </c>
      <c r="L64" s="438">
        <f>+L66-L65</f>
        <v>2901620</v>
      </c>
      <c r="M64" s="439">
        <f>+M66-M65</f>
        <v>2880133</v>
      </c>
      <c r="N64" s="440">
        <f>(L64-M64)/M64</f>
        <v>7.4604193625780477E-3</v>
      </c>
      <c r="O64" s="438">
        <f t="shared" ref="O64" si="20">+O66-O65</f>
        <v>19796795</v>
      </c>
      <c r="P64" s="439">
        <f>+P66-P65</f>
        <v>19867051</v>
      </c>
      <c r="Q64" s="488">
        <f>(O64-P64)/P64</f>
        <v>-3.5363074268043105E-3</v>
      </c>
      <c r="R64" s="494">
        <f>+O64/O66</f>
        <v>0.78910000731430774</v>
      </c>
    </row>
    <row r="65" spans="2:18" ht="14.1" customHeight="1" x14ac:dyDescent="0.2">
      <c r="B65" s="329" t="s">
        <v>137</v>
      </c>
      <c r="C65" s="441">
        <f>C61+C38+C36+C34+C33+C37+C20+C60+C57+C35+C56+C58+C25+C24+C21+C15+C6+C59+C22+C23+C7+C16</f>
        <v>13381</v>
      </c>
      <c r="D65" s="373">
        <f>D61+D38+D36+D34+D33+D37+D20+D60+D57+D35+D56+D58+D25+D24+D21+D15+D6+D59+D22+D23+D7+D16+D5</f>
        <v>13249</v>
      </c>
      <c r="E65" s="374">
        <f>(C65-D65)/D65</f>
        <v>9.9630160766850332E-3</v>
      </c>
      <c r="F65" s="441">
        <f>F61+F38+F36+F34+F33+F37+F20+F60+F57+F35+F56+F58+F25+F24+F21+F15+F6+F59+F22+F23+F7+F16</f>
        <v>101535</v>
      </c>
      <c r="G65" s="373">
        <f>G61+G38+G36+G34+G33+G37+G20+G60+G57+G35+G56+G58+G25+G24+G21+G15+G6+G59+G22+G23+G7+G16</f>
        <v>102071</v>
      </c>
      <c r="H65" s="446">
        <f>(F65-G65)/G65</f>
        <v>-5.2512466812316919E-3</v>
      </c>
      <c r="I65" s="502">
        <f>F65/$F$66</f>
        <v>0.4039779102244786</v>
      </c>
      <c r="K65" s="329" t="s">
        <v>137</v>
      </c>
      <c r="L65" s="441">
        <f>L61+L38+L36+L34+L33+L37+L20+L60+L57+L35+L56+L58+L25+L24+L21+L15+L6+L59+L22+L23+L7+L16</f>
        <v>718642</v>
      </c>
      <c r="M65" s="373">
        <f>M61+M38+M36+M34+M33+M37+M20+M60+M57+M35+M56+M58+M25+M24+M21+M15+M6+M59+M22+M23+M7+M16</f>
        <v>670799</v>
      </c>
      <c r="N65" s="374">
        <f>(L65-M65)/M65</f>
        <v>7.1322408053679273E-2</v>
      </c>
      <c r="O65" s="441">
        <f>O61+O38+O36+O34+O33+O37+O20+O60+O57+O35+O56+O58+O25+O24+O21+O15+O6+O59+O22+O23+O7+O16</f>
        <v>5291020</v>
      </c>
      <c r="P65" s="373">
        <f>P61+P38+P36+P34+P33+P37+P20+P60+P57+P35+P56+P58+P25+P24+P21+P15+P6+P59+P22+P23+P7+P16</f>
        <v>5145166</v>
      </c>
      <c r="Q65" s="486">
        <f>(O65-P65)/P65</f>
        <v>2.8347773424608654E-2</v>
      </c>
      <c r="R65" s="495">
        <f>+O65/O66</f>
        <v>0.21089999268569223</v>
      </c>
    </row>
    <row r="66" spans="2:18" ht="14.1" customHeight="1" thickBot="1" x14ac:dyDescent="0.25">
      <c r="B66" s="329" t="s">
        <v>138</v>
      </c>
      <c r="C66" s="442">
        <f>C54+C52+C42+C40+C31+C18+C13+C4+C50+C29+C27+C9+C46+C11+C44+C48</f>
        <v>34807</v>
      </c>
      <c r="D66" s="443">
        <f>D54+D52+D42+D40+D31+D18+D13+D4+D50+D29+D27+D9+D46+D11+D44+D48</f>
        <v>35196</v>
      </c>
      <c r="E66" s="444">
        <f>(C66-D66)/D66</f>
        <v>-1.1052392317308785E-2</v>
      </c>
      <c r="F66" s="442">
        <f>F54+F52+F42+F40+F31+F18+F13+F4+F50+F29+F27+F9+F46+F11+F44+F48</f>
        <v>251338</v>
      </c>
      <c r="G66" s="443">
        <f>G54+G52+G42+G40+G31+G18+G13+G4+G50+G29+G27+G9+G46+G11+G44+G48</f>
        <v>256275</v>
      </c>
      <c r="H66" s="447">
        <f>(F66-G66)/G66</f>
        <v>-1.9264462003706954E-2</v>
      </c>
      <c r="I66" s="503">
        <f>+H66/H66</f>
        <v>1</v>
      </c>
      <c r="K66" s="329" t="s">
        <v>138</v>
      </c>
      <c r="L66" s="442">
        <f>L54+L52+L42+L40+L31+L18+L13+L4+L50+L29+L27+L9+L46+L11+L44+L48</f>
        <v>3620262</v>
      </c>
      <c r="M66" s="443">
        <f>M54+M52+M42+M40+M31+M18+M13+M4+M50+M29+M27+M9+M46+M11+M44+M48</f>
        <v>3550932</v>
      </c>
      <c r="N66" s="444">
        <f>(L66-M66)/M66</f>
        <v>1.9524451608760741E-2</v>
      </c>
      <c r="O66" s="442">
        <f>O54+O52+O42+O40+O31+O18+O13+O4+O50+O29+O27+O9+O46+O11+O44+O48</f>
        <v>25087815</v>
      </c>
      <c r="P66" s="443">
        <f>P54+P52+P42+P40+P31+P18+P13+P4+P50+P29+P27+P9+P46+P11+P44+P48</f>
        <v>25012217</v>
      </c>
      <c r="Q66" s="489">
        <f>(O66-P66)/P66</f>
        <v>3.0224429925583968E-3</v>
      </c>
      <c r="R66" s="496">
        <f>+O66/O66</f>
        <v>1</v>
      </c>
    </row>
    <row r="67" spans="2:18" x14ac:dyDescent="0.2">
      <c r="D67" s="227"/>
      <c r="E67" s="227"/>
      <c r="F67" s="4"/>
      <c r="G67" s="7"/>
      <c r="H67"/>
      <c r="I67"/>
      <c r="J67"/>
      <c r="K67"/>
      <c r="M67"/>
      <c r="N67"/>
    </row>
    <row r="68" spans="2:18" x14ac:dyDescent="0.2">
      <c r="F68" s="2"/>
      <c r="H68"/>
      <c r="I68"/>
      <c r="J68"/>
      <c r="K68"/>
      <c r="N68"/>
      <c r="O68" s="2"/>
      <c r="P68" s="2"/>
    </row>
    <row r="69" spans="2:18" x14ac:dyDescent="0.2">
      <c r="F69" s="2"/>
      <c r="H69"/>
      <c r="I69"/>
      <c r="J69"/>
      <c r="K69"/>
      <c r="N69"/>
      <c r="O69" s="2"/>
      <c r="P69" s="2"/>
    </row>
    <row r="70" spans="2:18" x14ac:dyDescent="0.2">
      <c r="F70" s="2"/>
      <c r="H70"/>
      <c r="I70"/>
      <c r="J70"/>
      <c r="K70"/>
      <c r="N70"/>
      <c r="O70" s="2"/>
      <c r="P70" s="2"/>
    </row>
    <row r="71" spans="2:18" x14ac:dyDescent="0.2">
      <c r="D71" s="3"/>
      <c r="F71"/>
      <c r="G71"/>
      <c r="H71"/>
      <c r="I71"/>
      <c r="J71"/>
      <c r="K71"/>
      <c r="L71"/>
      <c r="M71"/>
      <c r="N71"/>
    </row>
    <row r="72" spans="2:18" x14ac:dyDescent="0.2">
      <c r="D72" s="3"/>
      <c r="F72"/>
      <c r="G72"/>
      <c r="H72"/>
      <c r="I72"/>
      <c r="J72"/>
      <c r="K72"/>
      <c r="L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E136" s="37"/>
      <c r="F136" s="231"/>
      <c r="G136" s="5"/>
      <c r="H136" s="37"/>
      <c r="I136" s="37"/>
      <c r="K136" s="11"/>
    </row>
    <row r="137" spans="4:14" x14ac:dyDescent="0.2">
      <c r="E137" s="37"/>
      <c r="F137" s="231"/>
      <c r="G137" s="5"/>
      <c r="H137" s="37"/>
      <c r="I137" s="37"/>
      <c r="K137" s="11"/>
    </row>
    <row r="138" spans="4:14" x14ac:dyDescent="0.2">
      <c r="E138" s="37"/>
      <c r="F138" s="231"/>
      <c r="G138" s="5"/>
      <c r="H138" s="37"/>
      <c r="I138" s="37"/>
      <c r="K138" s="11"/>
    </row>
    <row r="139" spans="4:14" x14ac:dyDescent="0.2">
      <c r="E139" s="37"/>
      <c r="F139" s="231"/>
      <c r="G139" s="5"/>
      <c r="H139" s="37"/>
      <c r="I139" s="37"/>
      <c r="K139" s="11"/>
    </row>
    <row r="140" spans="4:14" x14ac:dyDescent="0.2">
      <c r="E140" s="37"/>
      <c r="F140" s="231"/>
      <c r="G140" s="5"/>
      <c r="H140" s="37"/>
      <c r="I140" s="37"/>
      <c r="K140" s="11"/>
    </row>
    <row r="141" spans="4:14" x14ac:dyDescent="0.2">
      <c r="E141" s="37"/>
      <c r="F141" s="231"/>
      <c r="G141" s="5"/>
      <c r="H141" s="37"/>
      <c r="I141" s="37"/>
      <c r="K141" s="11"/>
    </row>
    <row r="142" spans="4:14" x14ac:dyDescent="0.2">
      <c r="E142" s="37"/>
      <c r="F142" s="231"/>
      <c r="G142" s="5"/>
      <c r="H142" s="37"/>
      <c r="I142" s="37"/>
      <c r="K142" s="11"/>
    </row>
    <row r="143" spans="4:14" x14ac:dyDescent="0.2">
      <c r="E143" s="37"/>
      <c r="F143" s="231"/>
      <c r="G143" s="5"/>
      <c r="H143" s="37"/>
      <c r="I143" s="37"/>
      <c r="K143" s="11"/>
    </row>
    <row r="144" spans="4:14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E1149" s="37"/>
      <c r="F1149" s="231"/>
      <c r="G1149" s="5"/>
      <c r="H1149" s="37"/>
      <c r="I1149" s="37"/>
      <c r="K1149" s="11"/>
    </row>
    <row r="1150" spans="5:11" x14ac:dyDescent="0.2">
      <c r="E1150" s="37"/>
      <c r="F1150" s="231"/>
      <c r="G1150" s="5"/>
      <c r="H1150" s="37"/>
      <c r="I1150" s="37"/>
      <c r="K1150" s="11"/>
    </row>
    <row r="1151" spans="5:11" x14ac:dyDescent="0.2">
      <c r="E1151" s="37"/>
      <c r="F1151" s="231"/>
      <c r="G1151" s="5"/>
      <c r="H1151" s="37"/>
      <c r="I1151" s="37"/>
      <c r="K1151" s="11"/>
    </row>
    <row r="1152" spans="5:11" x14ac:dyDescent="0.2">
      <c r="E1152" s="37"/>
      <c r="F1152" s="231"/>
      <c r="G1152" s="5"/>
      <c r="H1152" s="37"/>
      <c r="I1152" s="37"/>
      <c r="K1152" s="11"/>
    </row>
    <row r="1153" spans="5:11" x14ac:dyDescent="0.2">
      <c r="E1153" s="37"/>
      <c r="F1153" s="231"/>
      <c r="G1153" s="5"/>
      <c r="H1153" s="37"/>
      <c r="I1153" s="37"/>
      <c r="K1153" s="11"/>
    </row>
    <row r="1154" spans="5:11" x14ac:dyDescent="0.2">
      <c r="E1154" s="37"/>
      <c r="F1154" s="231"/>
      <c r="G1154" s="5"/>
      <c r="H1154" s="37"/>
      <c r="I1154" s="37"/>
      <c r="K1154" s="11"/>
    </row>
    <row r="1155" spans="5:11" x14ac:dyDescent="0.2">
      <c r="E1155" s="37"/>
      <c r="F1155" s="231"/>
      <c r="G1155" s="5"/>
      <c r="H1155" s="37"/>
      <c r="I1155" s="37"/>
      <c r="K1155" s="11"/>
    </row>
    <row r="1156" spans="5:11" x14ac:dyDescent="0.2">
      <c r="E1156" s="37"/>
      <c r="F1156" s="231"/>
      <c r="G1156" s="5"/>
      <c r="H1156" s="37"/>
      <c r="I1156" s="37"/>
      <c r="K1156" s="11"/>
    </row>
    <row r="1157" spans="5:11" x14ac:dyDescent="0.2">
      <c r="E1157" s="37"/>
      <c r="F1157" s="231"/>
      <c r="G1157" s="5"/>
      <c r="H1157" s="37"/>
      <c r="I1157" s="37"/>
      <c r="K1157" s="11"/>
    </row>
    <row r="1158" spans="5:11" x14ac:dyDescent="0.2">
      <c r="E1158" s="37"/>
      <c r="F1158" s="231"/>
      <c r="G1158" s="5"/>
      <c r="H1158" s="37"/>
      <c r="I1158" s="37"/>
      <c r="K1158" s="11"/>
    </row>
    <row r="1159" spans="5:11" x14ac:dyDescent="0.2">
      <c r="E1159" s="37"/>
      <c r="F1159" s="231"/>
      <c r="G1159" s="5"/>
      <c r="H1159" s="37"/>
      <c r="I1159" s="37"/>
      <c r="K1159" s="11"/>
    </row>
    <row r="1160" spans="5:11" x14ac:dyDescent="0.2">
      <c r="E1160" s="37"/>
      <c r="F1160" s="231"/>
      <c r="G1160" s="5"/>
      <c r="H1160" s="37"/>
      <c r="I1160" s="37"/>
      <c r="K1160" s="11"/>
    </row>
    <row r="1161" spans="5:11" x14ac:dyDescent="0.2">
      <c r="E1161" s="37"/>
      <c r="F1161" s="231"/>
      <c r="G1161" s="5"/>
      <c r="H1161" s="37"/>
      <c r="I1161" s="37"/>
      <c r="K1161" s="11"/>
    </row>
    <row r="1162" spans="5:11" x14ac:dyDescent="0.2">
      <c r="E1162" s="37"/>
      <c r="F1162" s="231"/>
      <c r="G1162" s="5"/>
      <c r="H1162" s="37"/>
      <c r="I1162" s="37"/>
      <c r="K1162" s="11"/>
    </row>
    <row r="1163" spans="5:11" x14ac:dyDescent="0.2">
      <c r="E1163" s="37"/>
      <c r="F1163" s="231"/>
      <c r="G1163" s="5"/>
      <c r="H1163" s="37"/>
      <c r="I1163" s="37"/>
      <c r="K1163" s="11"/>
    </row>
    <row r="1164" spans="5:11" x14ac:dyDescent="0.2">
      <c r="E1164" s="37"/>
      <c r="F1164" s="231"/>
      <c r="G1164" s="5"/>
      <c r="H1164" s="37"/>
      <c r="I1164" s="37"/>
      <c r="K1164" s="11"/>
    </row>
    <row r="1165" spans="5:11" x14ac:dyDescent="0.2">
      <c r="E1165" s="37"/>
      <c r="F1165" s="231"/>
      <c r="G1165" s="5"/>
      <c r="H1165" s="37"/>
      <c r="I1165" s="37"/>
      <c r="K1165" s="11"/>
    </row>
    <row r="1166" spans="5:11" x14ac:dyDescent="0.2">
      <c r="E1166" s="37"/>
      <c r="F1166" s="231"/>
      <c r="G1166" s="5"/>
      <c r="H1166" s="37"/>
      <c r="I1166" s="37"/>
      <c r="K1166" s="11"/>
    </row>
    <row r="1167" spans="5:11" x14ac:dyDescent="0.2">
      <c r="E1167" s="37"/>
      <c r="F1167" s="231"/>
      <c r="G1167" s="5"/>
      <c r="H1167" s="37"/>
      <c r="I1167" s="37"/>
      <c r="K1167" s="11"/>
    </row>
    <row r="1168" spans="5:11" x14ac:dyDescent="0.2">
      <c r="E1168" s="37"/>
      <c r="F1168" s="231"/>
      <c r="G1168" s="5"/>
      <c r="H1168" s="37"/>
      <c r="I1168" s="37"/>
      <c r="K1168" s="11"/>
    </row>
    <row r="1169" spans="5:11" x14ac:dyDescent="0.2">
      <c r="E1169" s="37"/>
      <c r="F1169" s="231"/>
      <c r="G1169" s="5"/>
      <c r="H1169" s="37"/>
      <c r="I1169" s="37"/>
      <c r="K1169" s="11"/>
    </row>
    <row r="1170" spans="5:11" x14ac:dyDescent="0.2">
      <c r="E1170" s="37"/>
      <c r="F1170" s="231"/>
      <c r="G1170" s="5"/>
      <c r="H1170" s="37"/>
      <c r="I1170" s="37"/>
      <c r="K1170" s="11"/>
    </row>
    <row r="1171" spans="5:11" x14ac:dyDescent="0.2">
      <c r="E1171" s="37"/>
      <c r="F1171" s="231"/>
      <c r="G1171" s="5"/>
      <c r="H1171" s="37"/>
      <c r="I1171" s="37"/>
      <c r="K1171" s="11"/>
    </row>
    <row r="1172" spans="5:11" x14ac:dyDescent="0.2">
      <c r="E1172" s="37"/>
      <c r="F1172" s="231"/>
      <c r="G1172" s="5"/>
      <c r="H1172" s="37"/>
      <c r="I1172" s="37"/>
      <c r="K1172" s="11"/>
    </row>
    <row r="1173" spans="5:11" x14ac:dyDescent="0.2">
      <c r="E1173" s="37"/>
      <c r="F1173" s="231"/>
      <c r="G1173" s="5"/>
      <c r="H1173" s="37"/>
      <c r="I1173" s="37"/>
      <c r="K1173" s="11"/>
    </row>
    <row r="1174" spans="5:11" x14ac:dyDescent="0.2">
      <c r="E1174" s="37"/>
      <c r="F1174" s="231"/>
      <c r="G1174" s="5"/>
      <c r="H1174" s="37"/>
      <c r="I1174" s="37"/>
      <c r="K1174" s="11"/>
    </row>
    <row r="1175" spans="5:11" x14ac:dyDescent="0.2">
      <c r="E1175" s="37"/>
      <c r="F1175" s="231"/>
      <c r="G1175" s="5"/>
      <c r="H1175" s="37"/>
      <c r="I1175" s="37"/>
      <c r="K1175" s="11"/>
    </row>
    <row r="1176" spans="5:11" x14ac:dyDescent="0.2">
      <c r="E1176" s="37"/>
      <c r="F1176" s="231"/>
      <c r="G1176" s="5"/>
      <c r="H1176" s="37"/>
      <c r="I1176" s="37"/>
      <c r="K1176" s="11"/>
    </row>
    <row r="1177" spans="5:11" x14ac:dyDescent="0.2">
      <c r="E1177" s="37"/>
      <c r="F1177" s="231"/>
      <c r="G1177" s="5"/>
      <c r="H1177" s="37"/>
      <c r="I1177" s="37"/>
      <c r="K1177" s="11"/>
    </row>
    <row r="1178" spans="5:11" x14ac:dyDescent="0.2">
      <c r="E1178" s="37"/>
      <c r="F1178" s="231"/>
      <c r="G1178" s="5"/>
      <c r="H1178" s="37"/>
      <c r="I1178" s="37"/>
      <c r="K1178" s="11"/>
    </row>
    <row r="1179" spans="5:11" x14ac:dyDescent="0.2">
      <c r="E1179" s="37"/>
      <c r="F1179" s="231"/>
      <c r="G1179" s="5"/>
      <c r="H1179" s="37"/>
      <c r="I1179" s="37"/>
      <c r="K1179" s="11"/>
    </row>
    <row r="1180" spans="5:11" x14ac:dyDescent="0.2">
      <c r="E1180" s="37"/>
      <c r="F1180" s="231"/>
      <c r="G1180" s="5"/>
      <c r="H1180" s="37"/>
      <c r="I1180" s="37"/>
      <c r="K1180" s="11"/>
    </row>
    <row r="1181" spans="5:11" x14ac:dyDescent="0.2">
      <c r="E1181" s="37"/>
      <c r="F1181" s="231"/>
      <c r="G1181" s="5"/>
      <c r="H1181" s="37"/>
      <c r="I1181" s="37"/>
      <c r="K1181" s="11"/>
    </row>
    <row r="1182" spans="5:11" x14ac:dyDescent="0.2">
      <c r="E1182" s="37"/>
      <c r="F1182" s="231"/>
      <c r="G1182" s="5"/>
      <c r="H1182" s="37"/>
      <c r="I1182" s="37"/>
      <c r="K1182" s="11"/>
    </row>
    <row r="1183" spans="5:11" x14ac:dyDescent="0.2">
      <c r="E1183" s="37"/>
      <c r="F1183" s="231"/>
      <c r="G1183" s="5"/>
      <c r="H1183" s="37"/>
      <c r="I1183" s="37"/>
      <c r="K1183" s="11"/>
    </row>
    <row r="1184" spans="5:11" x14ac:dyDescent="0.2">
      <c r="E1184" s="37"/>
      <c r="F1184" s="231"/>
      <c r="G1184" s="5"/>
      <c r="H1184" s="37"/>
      <c r="I1184" s="37"/>
      <c r="K1184" s="11"/>
    </row>
    <row r="1185" spans="5:11" x14ac:dyDescent="0.2">
      <c r="E1185" s="37"/>
      <c r="F1185" s="231"/>
      <c r="G1185" s="5"/>
      <c r="H1185" s="37"/>
      <c r="I1185" s="37"/>
      <c r="K1185" s="11"/>
    </row>
    <row r="1186" spans="5:11" x14ac:dyDescent="0.2">
      <c r="E1186" s="37"/>
      <c r="F1186" s="231"/>
      <c r="G1186" s="5"/>
      <c r="H1186" s="37"/>
      <c r="I1186" s="37"/>
      <c r="K1186" s="11"/>
    </row>
    <row r="1187" spans="5:11" x14ac:dyDescent="0.2">
      <c r="E1187" s="37"/>
      <c r="F1187" s="231"/>
      <c r="G1187" s="5"/>
      <c r="H1187" s="37"/>
      <c r="I1187" s="37"/>
      <c r="K1187" s="11"/>
    </row>
    <row r="1188" spans="5:11" x14ac:dyDescent="0.2">
      <c r="E1188" s="37"/>
      <c r="F1188" s="231"/>
      <c r="G1188" s="5"/>
      <c r="H1188" s="37"/>
      <c r="I1188" s="37"/>
      <c r="K1188" s="11"/>
    </row>
    <row r="1189" spans="5:11" x14ac:dyDescent="0.2">
      <c r="F1189" s="231"/>
      <c r="G1189" s="5"/>
      <c r="H1189" s="37"/>
      <c r="I1189" s="37"/>
      <c r="K1189" s="11"/>
    </row>
    <row r="1190" spans="5:11" x14ac:dyDescent="0.2">
      <c r="F1190" s="231"/>
      <c r="G1190" s="5"/>
      <c r="H1190" s="37"/>
      <c r="I1190" s="37"/>
      <c r="K1190" s="11"/>
    </row>
    <row r="1191" spans="5:11" x14ac:dyDescent="0.2">
      <c r="F1191" s="231"/>
      <c r="G1191" s="5"/>
      <c r="H1191" s="37"/>
      <c r="I1191" s="37"/>
      <c r="K1191" s="11"/>
    </row>
    <row r="1192" spans="5:11" x14ac:dyDescent="0.2">
      <c r="F1192" s="231"/>
      <c r="G1192" s="5"/>
      <c r="H1192" s="37"/>
      <c r="I1192" s="37"/>
      <c r="K1192" s="11"/>
    </row>
    <row r="1193" spans="5:11" x14ac:dyDescent="0.2">
      <c r="F1193" s="231"/>
      <c r="G1193" s="5"/>
      <c r="H1193" s="37"/>
      <c r="I1193" s="37"/>
      <c r="K1193" s="11"/>
    </row>
    <row r="1194" spans="5:11" x14ac:dyDescent="0.2">
      <c r="F1194" s="231"/>
      <c r="G1194" s="5"/>
      <c r="H1194" s="37"/>
      <c r="I1194" s="37"/>
      <c r="K1194" s="11"/>
    </row>
    <row r="1195" spans="5:11" x14ac:dyDescent="0.2">
      <c r="F1195" s="231"/>
      <c r="G1195" s="5"/>
      <c r="H1195" s="37"/>
      <c r="I1195" s="37"/>
      <c r="K1195" s="11"/>
    </row>
    <row r="1196" spans="5:11" x14ac:dyDescent="0.2">
      <c r="F1196" s="231"/>
      <c r="G1196" s="5"/>
      <c r="H1196" s="37"/>
      <c r="I1196" s="37"/>
      <c r="K1196" s="11"/>
    </row>
    <row r="1197" spans="5:11" x14ac:dyDescent="0.2">
      <c r="F1197" s="231"/>
      <c r="G1197" s="5"/>
      <c r="H1197" s="37"/>
      <c r="I1197" s="37"/>
      <c r="K1197" s="11"/>
    </row>
    <row r="1198" spans="5:11" x14ac:dyDescent="0.2">
      <c r="F1198" s="231"/>
      <c r="G1198" s="5"/>
      <c r="H1198" s="37"/>
      <c r="I1198" s="37"/>
      <c r="K1198" s="11"/>
    </row>
    <row r="1199" spans="5:11" x14ac:dyDescent="0.2">
      <c r="F1199" s="231"/>
      <c r="G1199" s="5"/>
      <c r="H1199" s="37"/>
      <c r="I1199" s="37"/>
      <c r="K1199" s="11"/>
    </row>
    <row r="1200" spans="5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  <row r="4664" spans="6:11" x14ac:dyDescent="0.2">
      <c r="F4664" s="231"/>
      <c r="G4664" s="5"/>
      <c r="H4664" s="37"/>
      <c r="I4664" s="37"/>
      <c r="K4664" s="11"/>
    </row>
    <row r="4665" spans="6:11" x14ac:dyDescent="0.2">
      <c r="F4665" s="231"/>
      <c r="G4665" s="5"/>
      <c r="H4665" s="37"/>
      <c r="I4665" s="37"/>
      <c r="K4665" s="11"/>
    </row>
    <row r="4666" spans="6:11" x14ac:dyDescent="0.2">
      <c r="F4666" s="231"/>
      <c r="G4666" s="5"/>
      <c r="H4666" s="37"/>
      <c r="I4666" s="37"/>
      <c r="K4666" s="11"/>
    </row>
    <row r="4667" spans="6:11" x14ac:dyDescent="0.2">
      <c r="F4667" s="231"/>
      <c r="G4667" s="5"/>
      <c r="H4667" s="37"/>
      <c r="I4667" s="37"/>
      <c r="K4667" s="11"/>
    </row>
    <row r="4668" spans="6:11" x14ac:dyDescent="0.2">
      <c r="F4668" s="231"/>
      <c r="G4668" s="5"/>
      <c r="H4668" s="37"/>
      <c r="I4668" s="37"/>
      <c r="K4668" s="11"/>
    </row>
    <row r="4669" spans="6:11" x14ac:dyDescent="0.2">
      <c r="F4669" s="231"/>
      <c r="G4669" s="5"/>
      <c r="H4669" s="37"/>
      <c r="I4669" s="37"/>
      <c r="K4669" s="11"/>
    </row>
    <row r="4670" spans="6:11" x14ac:dyDescent="0.2">
      <c r="F4670" s="231"/>
      <c r="G4670" s="5"/>
      <c r="H4670" s="37"/>
      <c r="I4670" s="37"/>
      <c r="K4670" s="11"/>
    </row>
    <row r="4671" spans="6:11" x14ac:dyDescent="0.2">
      <c r="F4671" s="231"/>
      <c r="G4671" s="5"/>
      <c r="H4671" s="37"/>
      <c r="I4671" s="37"/>
      <c r="K4671" s="11"/>
    </row>
    <row r="4672" spans="6:11" x14ac:dyDescent="0.2">
      <c r="F4672" s="231"/>
      <c r="G4672" s="5"/>
      <c r="H4672" s="37"/>
      <c r="I4672" s="37"/>
      <c r="K4672" s="11"/>
    </row>
    <row r="4673" spans="6:11" x14ac:dyDescent="0.2">
      <c r="F4673" s="231"/>
      <c r="G4673" s="5"/>
      <c r="H4673" s="37"/>
      <c r="I4673" s="37"/>
      <c r="K4673" s="11"/>
    </row>
    <row r="4674" spans="6:11" x14ac:dyDescent="0.2">
      <c r="F4674" s="231"/>
      <c r="G4674" s="5"/>
      <c r="H4674" s="37"/>
      <c r="I4674" s="37"/>
      <c r="K4674" s="11"/>
    </row>
    <row r="4675" spans="6:11" x14ac:dyDescent="0.2">
      <c r="F4675" s="231"/>
      <c r="G4675" s="5"/>
      <c r="H4675" s="37"/>
      <c r="I4675" s="37"/>
      <c r="K4675" s="11"/>
    </row>
    <row r="4676" spans="6:11" x14ac:dyDescent="0.2">
      <c r="F4676" s="231"/>
      <c r="G4676" s="5"/>
      <c r="H4676" s="37"/>
      <c r="I4676" s="37"/>
      <c r="K4676" s="11"/>
    </row>
    <row r="4677" spans="6:11" x14ac:dyDescent="0.2">
      <c r="F4677" s="231"/>
      <c r="G4677" s="5"/>
      <c r="H4677" s="37"/>
      <c r="I4677" s="37"/>
      <c r="K4677" s="11"/>
    </row>
    <row r="4678" spans="6:11" x14ac:dyDescent="0.2">
      <c r="F4678" s="231"/>
      <c r="G4678" s="5"/>
      <c r="H4678" s="37"/>
      <c r="I4678" s="37"/>
      <c r="K4678" s="11"/>
    </row>
    <row r="4679" spans="6:11" x14ac:dyDescent="0.2">
      <c r="F4679" s="231"/>
      <c r="G4679" s="5"/>
      <c r="H4679" s="37"/>
      <c r="I4679" s="37"/>
      <c r="K4679" s="11"/>
    </row>
    <row r="4680" spans="6:11" x14ac:dyDescent="0.2">
      <c r="F4680" s="231"/>
      <c r="G4680" s="5"/>
      <c r="H4680" s="37"/>
      <c r="I4680" s="37"/>
      <c r="K4680" s="11"/>
    </row>
    <row r="4681" spans="6:11" x14ac:dyDescent="0.2">
      <c r="F4681" s="231"/>
      <c r="G4681" s="5"/>
      <c r="H4681" s="37"/>
      <c r="I4681" s="37"/>
      <c r="K4681" s="11"/>
    </row>
    <row r="4682" spans="6:11" x14ac:dyDescent="0.2">
      <c r="F4682" s="231"/>
      <c r="G4682" s="5"/>
      <c r="H4682" s="37"/>
      <c r="I4682" s="37"/>
      <c r="K4682" s="11"/>
    </row>
    <row r="4683" spans="6:11" x14ac:dyDescent="0.2">
      <c r="F4683" s="231"/>
      <c r="G4683" s="5"/>
      <c r="H4683" s="37"/>
      <c r="I4683" s="37"/>
      <c r="K4683" s="11"/>
    </row>
    <row r="4684" spans="6:11" x14ac:dyDescent="0.2">
      <c r="F4684" s="231"/>
      <c r="G4684" s="5"/>
      <c r="H4684" s="37"/>
      <c r="I4684" s="37"/>
      <c r="K4684" s="11"/>
    </row>
    <row r="4685" spans="6:11" x14ac:dyDescent="0.2">
      <c r="F4685" s="231"/>
      <c r="G4685" s="5"/>
      <c r="H4685" s="37"/>
      <c r="I4685" s="37"/>
      <c r="K4685" s="11"/>
    </row>
    <row r="4686" spans="6:11" x14ac:dyDescent="0.2">
      <c r="F4686" s="231"/>
      <c r="G4686" s="5"/>
      <c r="H4686" s="37"/>
      <c r="I4686" s="37"/>
      <c r="K4686" s="11"/>
    </row>
    <row r="4687" spans="6:11" x14ac:dyDescent="0.2">
      <c r="F4687" s="231"/>
      <c r="G4687" s="5"/>
      <c r="H4687" s="37"/>
      <c r="I4687" s="37"/>
      <c r="K4687" s="11"/>
    </row>
    <row r="4688" spans="6:11" x14ac:dyDescent="0.2">
      <c r="F4688" s="231"/>
      <c r="G4688" s="5"/>
      <c r="H4688" s="37"/>
      <c r="I4688" s="37"/>
      <c r="K4688" s="11"/>
    </row>
    <row r="4689" spans="6:11" x14ac:dyDescent="0.2">
      <c r="F4689" s="231"/>
      <c r="G4689" s="5"/>
      <c r="H4689" s="37"/>
      <c r="I4689" s="37"/>
      <c r="K4689" s="11"/>
    </row>
    <row r="4690" spans="6:11" x14ac:dyDescent="0.2">
      <c r="F4690" s="231"/>
      <c r="G4690" s="5"/>
      <c r="H4690" s="37"/>
      <c r="I4690" s="37"/>
      <c r="K4690" s="11"/>
    </row>
    <row r="4691" spans="6:11" x14ac:dyDescent="0.2">
      <c r="F4691" s="231"/>
      <c r="G4691" s="5"/>
      <c r="H4691" s="37"/>
      <c r="I4691" s="37"/>
      <c r="K4691" s="11"/>
    </row>
    <row r="4692" spans="6:11" x14ac:dyDescent="0.2">
      <c r="F4692" s="231"/>
      <c r="G4692" s="5"/>
      <c r="H4692" s="37"/>
      <c r="I4692" s="37"/>
      <c r="K4692" s="11"/>
    </row>
    <row r="4693" spans="6:11" x14ac:dyDescent="0.2">
      <c r="F4693" s="231"/>
      <c r="G4693" s="5"/>
      <c r="H4693" s="37"/>
      <c r="I4693" s="37"/>
      <c r="K4693" s="11"/>
    </row>
    <row r="4694" spans="6:11" x14ac:dyDescent="0.2">
      <c r="F4694" s="231"/>
      <c r="G4694" s="5"/>
      <c r="H4694" s="37"/>
      <c r="I4694" s="37"/>
      <c r="K4694" s="11"/>
    </row>
    <row r="4695" spans="6:11" x14ac:dyDescent="0.2">
      <c r="F4695" s="231"/>
      <c r="G4695" s="5"/>
      <c r="H4695" s="37"/>
      <c r="I4695" s="37"/>
      <c r="K4695" s="11"/>
    </row>
    <row r="4696" spans="6:11" x14ac:dyDescent="0.2">
      <c r="F4696" s="231"/>
      <c r="G4696" s="5"/>
      <c r="H4696" s="37"/>
      <c r="I4696" s="37"/>
      <c r="K4696" s="11"/>
    </row>
    <row r="4697" spans="6:11" x14ac:dyDescent="0.2">
      <c r="F4697" s="231"/>
      <c r="G4697" s="5"/>
      <c r="H4697" s="37"/>
      <c r="I4697" s="37"/>
      <c r="K4697" s="11"/>
    </row>
    <row r="4698" spans="6:11" x14ac:dyDescent="0.2">
      <c r="F4698" s="231"/>
      <c r="G4698" s="5"/>
      <c r="H4698" s="37"/>
      <c r="I4698" s="37"/>
      <c r="K4698" s="11"/>
    </row>
    <row r="4699" spans="6:11" x14ac:dyDescent="0.2">
      <c r="F4699" s="231"/>
      <c r="G4699" s="5"/>
      <c r="H4699" s="37"/>
      <c r="I4699" s="37"/>
      <c r="K4699" s="11"/>
    </row>
    <row r="4700" spans="6:11" x14ac:dyDescent="0.2">
      <c r="F4700" s="231"/>
      <c r="G4700" s="5"/>
      <c r="H4700" s="37"/>
      <c r="I4700" s="37"/>
      <c r="K4700" s="11"/>
    </row>
    <row r="4701" spans="6:11" x14ac:dyDescent="0.2">
      <c r="F4701" s="231"/>
      <c r="G4701" s="5"/>
      <c r="H4701" s="37"/>
      <c r="I4701" s="37"/>
      <c r="K4701" s="11"/>
    </row>
    <row r="4702" spans="6:11" x14ac:dyDescent="0.2">
      <c r="F4702" s="231"/>
      <c r="G4702" s="5"/>
      <c r="H4702" s="37"/>
      <c r="I4702" s="37"/>
      <c r="K4702" s="11"/>
    </row>
    <row r="4703" spans="6:11" x14ac:dyDescent="0.2">
      <c r="F4703" s="231"/>
      <c r="G4703" s="5"/>
      <c r="H4703" s="37"/>
      <c r="I4703" s="37"/>
      <c r="K4703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8" fitToWidth="2" orientation="portrait" r:id="rId1"/>
  <headerFooter alignWithMargins="0">
    <oddHeader>&amp;L
Schedule 10
&amp;CMinneapolis-St. Paul International Airport
&amp;"Arial,Bold"&amp;A
August 2018</oddHeader>
    <oddFooter>&amp;LPrinted on &amp;D&amp;RPage &amp;P of &amp;N</oddFooter>
  </headerFooter>
  <colBreaks count="1" manualBreakCount="1">
    <brk id="9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2018-09-26T14:47:54Z</cp:lastPrinted>
  <dcterms:created xsi:type="dcterms:W3CDTF">2007-09-24T12:26:24Z</dcterms:created>
  <dcterms:modified xsi:type="dcterms:W3CDTF">2019-09-26T20:20:43Z</dcterms:modified>
</cp:coreProperties>
</file>