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P21" i="17" l="1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J16" i="5"/>
  <c r="J15" i="5"/>
  <c r="J11" i="5"/>
  <c r="J10" i="5"/>
  <c r="J6" i="5"/>
  <c r="J5" i="5"/>
  <c r="O32" i="7"/>
  <c r="L35" i="16" l="1"/>
  <c r="L34" i="16"/>
  <c r="L28" i="16"/>
  <c r="L27" i="16"/>
  <c r="L22" i="16"/>
  <c r="L21" i="16"/>
  <c r="L17" i="16"/>
  <c r="L16" i="16"/>
  <c r="L10" i="16"/>
  <c r="L9" i="16"/>
  <c r="L5" i="16"/>
  <c r="L4" i="16"/>
  <c r="L37" i="16" l="1"/>
  <c r="L30" i="16"/>
  <c r="L18" i="16"/>
  <c r="L6" i="16"/>
  <c r="L11" i="16"/>
  <c r="L23" i="16" l="1"/>
  <c r="H49" i="3"/>
  <c r="G49" i="3"/>
  <c r="H48" i="3"/>
  <c r="G48" i="3"/>
  <c r="K4" i="16" l="1"/>
  <c r="C21" i="1" l="1"/>
  <c r="B21" i="1"/>
  <c r="C4" i="16" l="1"/>
  <c r="D5" i="15"/>
  <c r="P63" i="9" l="1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4" i="9"/>
  <c r="M54" i="9"/>
  <c r="G54" i="9"/>
  <c r="D54" i="9"/>
  <c r="P52" i="9"/>
  <c r="M52" i="9"/>
  <c r="G52" i="9"/>
  <c r="D52" i="9"/>
  <c r="P50" i="9"/>
  <c r="M50" i="9"/>
  <c r="G50" i="9"/>
  <c r="D50" i="9"/>
  <c r="P47" i="9"/>
  <c r="M47" i="9"/>
  <c r="G47" i="9"/>
  <c r="D47" i="9"/>
  <c r="P45" i="9"/>
  <c r="M45" i="9"/>
  <c r="G45" i="9"/>
  <c r="D45" i="9"/>
  <c r="P43" i="9"/>
  <c r="M43" i="9"/>
  <c r="G43" i="9"/>
  <c r="D43" i="9"/>
  <c r="P41" i="9"/>
  <c r="M41" i="9"/>
  <c r="G41" i="9"/>
  <c r="D41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0" i="9"/>
  <c r="M30" i="9"/>
  <c r="G30" i="9"/>
  <c r="D30" i="9"/>
  <c r="P28" i="9"/>
  <c r="M28" i="9"/>
  <c r="G28" i="9"/>
  <c r="D28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7" i="9"/>
  <c r="M17" i="9"/>
  <c r="G17" i="9"/>
  <c r="D17" i="9"/>
  <c r="P16" i="9"/>
  <c r="M16" i="9"/>
  <c r="G16" i="9"/>
  <c r="D16" i="9"/>
  <c r="P15" i="9"/>
  <c r="M15" i="9"/>
  <c r="G15" i="9"/>
  <c r="D15" i="9"/>
  <c r="P12" i="9"/>
  <c r="M12" i="9"/>
  <c r="G12" i="9"/>
  <c r="D12" i="9"/>
  <c r="P10" i="9"/>
  <c r="M10" i="9"/>
  <c r="G10" i="9"/>
  <c r="D10" i="9"/>
  <c r="P8" i="9"/>
  <c r="M8" i="9"/>
  <c r="G8" i="9"/>
  <c r="D8" i="9"/>
  <c r="P7" i="9"/>
  <c r="M7" i="9"/>
  <c r="G7" i="9"/>
  <c r="D7" i="9"/>
  <c r="P6" i="9"/>
  <c r="M6" i="9"/>
  <c r="G6" i="9"/>
  <c r="D6" i="9"/>
  <c r="O63" i="9" l="1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4" i="9"/>
  <c r="L54" i="9"/>
  <c r="F54" i="9"/>
  <c r="C54" i="9"/>
  <c r="O52" i="9"/>
  <c r="L52" i="9"/>
  <c r="F52" i="9"/>
  <c r="C52" i="9"/>
  <c r="O50" i="9"/>
  <c r="L50" i="9"/>
  <c r="F50" i="9"/>
  <c r="C50" i="9"/>
  <c r="O47" i="9"/>
  <c r="L47" i="9"/>
  <c r="F47" i="9"/>
  <c r="C47" i="9"/>
  <c r="O45" i="9"/>
  <c r="L45" i="9"/>
  <c r="F45" i="9"/>
  <c r="C45" i="9"/>
  <c r="O43" i="9"/>
  <c r="L43" i="9"/>
  <c r="F43" i="9"/>
  <c r="C43" i="9"/>
  <c r="O41" i="9"/>
  <c r="L41" i="9"/>
  <c r="F41" i="9"/>
  <c r="C41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0" i="9"/>
  <c r="L30" i="9"/>
  <c r="F30" i="9"/>
  <c r="C30" i="9"/>
  <c r="O28" i="9"/>
  <c r="L28" i="9"/>
  <c r="F28" i="9"/>
  <c r="C28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7" i="9"/>
  <c r="L17" i="9"/>
  <c r="F17" i="9"/>
  <c r="C17" i="9"/>
  <c r="O16" i="9"/>
  <c r="L16" i="9"/>
  <c r="F16" i="9"/>
  <c r="C16" i="9"/>
  <c r="O15" i="9"/>
  <c r="L15" i="9"/>
  <c r="F15" i="9"/>
  <c r="C15" i="9"/>
  <c r="O12" i="9"/>
  <c r="L12" i="9"/>
  <c r="F12" i="9"/>
  <c r="C12" i="9"/>
  <c r="O10" i="9"/>
  <c r="L10" i="9"/>
  <c r="F10" i="9"/>
  <c r="C10" i="9"/>
  <c r="O8" i="9"/>
  <c r="L8" i="9"/>
  <c r="F8" i="9"/>
  <c r="C8" i="9"/>
  <c r="O7" i="9"/>
  <c r="L7" i="9"/>
  <c r="F7" i="9"/>
  <c r="C7" i="9"/>
  <c r="O6" i="9"/>
  <c r="L6" i="9"/>
  <c r="F6" i="9"/>
  <c r="C6" i="9"/>
  <c r="O35" i="16"/>
  <c r="N35" i="16"/>
  <c r="M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J4" i="16"/>
  <c r="I4" i="16"/>
  <c r="H4" i="16"/>
  <c r="G4" i="16"/>
  <c r="F4" i="16"/>
  <c r="E4" i="16"/>
  <c r="D4" i="16"/>
  <c r="B4" i="16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G21" i="5"/>
  <c r="G20" i="5"/>
  <c r="G16" i="5"/>
  <c r="G15" i="5"/>
  <c r="G11" i="5"/>
  <c r="G10" i="5"/>
  <c r="G6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31" i="7"/>
  <c r="M31" i="7"/>
  <c r="L31" i="7"/>
  <c r="J32" i="7"/>
  <c r="C31" i="7"/>
  <c r="B31" i="7"/>
  <c r="E32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J3" i="17"/>
  <c r="D31" i="7" l="1"/>
  <c r="N31" i="7"/>
  <c r="N17" i="9"/>
  <c r="J30" i="16" l="1"/>
  <c r="J23" i="16"/>
  <c r="J11" i="16"/>
  <c r="J6" i="16"/>
  <c r="J18" i="16"/>
  <c r="E17" i="9"/>
  <c r="Q17" i="9"/>
  <c r="J37" i="16"/>
  <c r="H17" i="9"/>
  <c r="M30" i="7"/>
  <c r="M29" i="7"/>
  <c r="L29" i="7"/>
  <c r="L30" i="7"/>
  <c r="J31" i="7"/>
  <c r="C30" i="7"/>
  <c r="B30" i="7"/>
  <c r="E31" i="7"/>
  <c r="D36" i="15"/>
  <c r="P14" i="9"/>
  <c r="M14" i="9"/>
  <c r="G14" i="9"/>
  <c r="D14" i="9"/>
  <c r="O14" i="9"/>
  <c r="L14" i="9"/>
  <c r="F14" i="9"/>
  <c r="C14" i="9"/>
  <c r="N30" i="7" l="1"/>
  <c r="N14" i="9"/>
  <c r="O67" i="9"/>
  <c r="D67" i="9"/>
  <c r="F67" i="9"/>
  <c r="G67" i="9"/>
  <c r="D27" i="15"/>
  <c r="C67" i="9"/>
  <c r="L67" i="9"/>
  <c r="M67" i="9"/>
  <c r="P67" i="9"/>
  <c r="D17" i="15"/>
  <c r="D37" i="15"/>
  <c r="D30" i="7"/>
  <c r="D41" i="15"/>
  <c r="D20" i="15"/>
  <c r="D12" i="15"/>
  <c r="D7" i="15"/>
  <c r="D40" i="15"/>
  <c r="D32" i="15"/>
  <c r="O30" i="7"/>
  <c r="O29" i="7"/>
  <c r="J30" i="7"/>
  <c r="E30" i="7"/>
  <c r="E29" i="7"/>
  <c r="C29" i="7"/>
  <c r="B29" i="7"/>
  <c r="D21" i="15" l="1"/>
  <c r="D29" i="7"/>
  <c r="D42" i="15"/>
  <c r="N29" i="7"/>
  <c r="M28" i="7"/>
  <c r="L28" i="7"/>
  <c r="J29" i="7"/>
  <c r="C28" i="7"/>
  <c r="B28" i="7"/>
  <c r="N28" i="7" l="1"/>
  <c r="D28" i="7"/>
  <c r="M27" i="7"/>
  <c r="L27" i="7"/>
  <c r="O28" i="7"/>
  <c r="J28" i="7"/>
  <c r="E28" i="7"/>
  <c r="E27" i="7"/>
  <c r="C27" i="7"/>
  <c r="B27" i="7"/>
  <c r="N27" i="7" l="1"/>
  <c r="D27" i="7"/>
  <c r="Q8" i="9" l="1"/>
  <c r="N8" i="9"/>
  <c r="H8" i="9"/>
  <c r="E8" i="9"/>
  <c r="O27" i="7"/>
  <c r="J27" i="7"/>
  <c r="J26" i="7"/>
  <c r="M26" i="7"/>
  <c r="L26" i="7"/>
  <c r="O26" i="7"/>
  <c r="M4" i="9"/>
  <c r="G4" i="9"/>
  <c r="D4" i="9"/>
  <c r="L4" i="9"/>
  <c r="F4" i="9"/>
  <c r="C4" i="9"/>
  <c r="E26" i="7"/>
  <c r="B26" i="7"/>
  <c r="C26" i="7"/>
  <c r="G26" i="7" l="1"/>
  <c r="H26" i="7"/>
  <c r="O4" i="9"/>
  <c r="P4" i="9"/>
  <c r="N26" i="7"/>
  <c r="D26" i="7"/>
  <c r="M25" i="7"/>
  <c r="L25" i="7"/>
  <c r="E25" i="7"/>
  <c r="C25" i="7"/>
  <c r="B25" i="7"/>
  <c r="I26" i="7" l="1"/>
  <c r="N25" i="7"/>
  <c r="D25" i="7"/>
  <c r="O25" i="7" l="1"/>
  <c r="M24" i="7"/>
  <c r="L24" i="7"/>
  <c r="J25" i="7"/>
  <c r="E24" i="7"/>
  <c r="C24" i="7"/>
  <c r="B24" i="7"/>
  <c r="J2" i="9"/>
  <c r="J5" i="3" l="1"/>
  <c r="J6" i="3"/>
  <c r="J10" i="3"/>
  <c r="J11" i="3"/>
  <c r="J16" i="3"/>
  <c r="J17" i="3"/>
  <c r="J20" i="3"/>
  <c r="J21" i="3"/>
  <c r="D24" i="7"/>
  <c r="N24" i="7"/>
  <c r="O24" i="7"/>
  <c r="O23" i="7"/>
  <c r="M23" i="7"/>
  <c r="L23" i="7"/>
  <c r="J24" i="7"/>
  <c r="C23" i="7"/>
  <c r="B23" i="7"/>
  <c r="D23" i="7" l="1"/>
  <c r="N23" i="7"/>
  <c r="Q47" i="9"/>
  <c r="H21" i="2" l="1"/>
  <c r="H44" i="2"/>
  <c r="H6" i="2"/>
  <c r="H17" i="2"/>
  <c r="H40" i="2"/>
  <c r="H43" i="2"/>
  <c r="H35" i="2"/>
  <c r="E47" i="9"/>
  <c r="N47" i="9"/>
  <c r="H11" i="2"/>
  <c r="H47" i="9"/>
  <c r="H30" i="2"/>
  <c r="H45" i="2" l="1"/>
  <c r="H23" i="2"/>
  <c r="M22" i="7"/>
  <c r="L22" i="7"/>
  <c r="J23" i="7"/>
  <c r="E23" i="7"/>
  <c r="C22" i="7"/>
  <c r="B22" i="7"/>
  <c r="D22" i="7" s="1"/>
  <c r="M47" i="15" l="1"/>
  <c r="M46" i="15"/>
  <c r="N24" i="9"/>
  <c r="G37" i="4"/>
  <c r="G7" i="4" l="1"/>
  <c r="G17" i="4"/>
  <c r="G27" i="4"/>
  <c r="G12" i="4"/>
  <c r="G32" i="4"/>
  <c r="E24" i="9"/>
  <c r="G41" i="4"/>
  <c r="G20" i="4"/>
  <c r="Q24" i="9"/>
  <c r="H24" i="9"/>
  <c r="G40" i="4"/>
  <c r="M21" i="7"/>
  <c r="L21" i="7"/>
  <c r="O22" i="7"/>
  <c r="J22" i="7"/>
  <c r="C21" i="7"/>
  <c r="B21" i="7"/>
  <c r="E22" i="7"/>
  <c r="G21" i="4" l="1"/>
  <c r="P56" i="9"/>
  <c r="G42" i="4"/>
  <c r="O32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J45" i="15"/>
  <c r="J44" i="15"/>
  <c r="J36" i="15"/>
  <c r="J37" i="15" s="1"/>
  <c r="J12" i="15" l="1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E23" i="9"/>
  <c r="N23" i="9"/>
  <c r="J20" i="4"/>
  <c r="E12" i="15"/>
  <c r="E20" i="15"/>
  <c r="E21" i="15" s="1"/>
  <c r="E32" i="15"/>
  <c r="Q23" i="9"/>
  <c r="D22" i="3"/>
  <c r="D7" i="3"/>
  <c r="D40" i="3"/>
  <c r="E7" i="3"/>
  <c r="E18" i="3"/>
  <c r="E30" i="3"/>
  <c r="H28" i="9"/>
  <c r="Q28" i="9"/>
  <c r="J17" i="4"/>
  <c r="J27" i="4"/>
  <c r="J41" i="4"/>
  <c r="E41" i="15"/>
  <c r="E12" i="3"/>
  <c r="E35" i="3"/>
  <c r="I20" i="4"/>
  <c r="J37" i="4"/>
  <c r="H23" i="9"/>
  <c r="J12" i="4"/>
  <c r="D12" i="3"/>
  <c r="D35" i="3"/>
  <c r="I7" i="4"/>
  <c r="I27" i="4"/>
  <c r="N61" i="9"/>
  <c r="E28" i="9"/>
  <c r="H61" i="9"/>
  <c r="Q61" i="9"/>
  <c r="N28" i="9"/>
  <c r="E61" i="9"/>
  <c r="H10" i="9"/>
  <c r="E10" i="9"/>
  <c r="Q10" i="9"/>
  <c r="N10" i="9"/>
  <c r="E40" i="15"/>
  <c r="E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E42" i="15"/>
  <c r="J42" i="4"/>
  <c r="C19" i="9" l="1"/>
  <c r="O21" i="7"/>
  <c r="J21" i="7"/>
  <c r="E21" i="7"/>
  <c r="D56" i="9" l="1"/>
  <c r="D19" i="9"/>
  <c r="D32" i="9"/>
  <c r="G32" i="9"/>
  <c r="G56" i="9"/>
  <c r="F32" i="9"/>
  <c r="M10" i="15"/>
  <c r="M18" i="15"/>
  <c r="C56" i="9"/>
  <c r="P4" i="16"/>
  <c r="C32" i="9"/>
  <c r="M5" i="15"/>
  <c r="M15" i="15"/>
  <c r="M6" i="15"/>
  <c r="M16" i="15"/>
  <c r="F56" i="9"/>
  <c r="M11" i="15"/>
  <c r="M19" i="15"/>
  <c r="G32" i="8" l="1"/>
  <c r="G18" i="8"/>
  <c r="G6" i="8"/>
  <c r="G31" i="8"/>
  <c r="G10" i="8"/>
  <c r="G12" i="8" l="1"/>
  <c r="G23" i="8"/>
  <c r="G28" i="8"/>
  <c r="G33" i="8" l="1"/>
  <c r="Q30" i="9" l="1"/>
  <c r="E30" i="9"/>
  <c r="H30" i="9"/>
  <c r="N30" i="9"/>
  <c r="F41" i="4" l="1"/>
  <c r="F20" i="4"/>
  <c r="F17" i="4"/>
  <c r="F40" i="4"/>
  <c r="F7" i="4"/>
  <c r="F27" i="4"/>
  <c r="F12" i="4"/>
  <c r="F32" i="4"/>
  <c r="F37" i="4"/>
  <c r="F21" i="4" l="1"/>
  <c r="F42" i="4"/>
  <c r="Q5" i="9"/>
  <c r="N5" i="9"/>
  <c r="H5" i="9"/>
  <c r="E5" i="9"/>
  <c r="E21" i="9"/>
  <c r="E20" i="9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F19" i="9" l="1"/>
  <c r="G19" i="9"/>
  <c r="N7" i="9"/>
  <c r="O19" i="9"/>
  <c r="P19" i="9"/>
  <c r="E22" i="9"/>
  <c r="E25" i="9"/>
  <c r="E26" i="9"/>
  <c r="Q16" i="9"/>
  <c r="H22" i="9"/>
  <c r="Q22" i="9"/>
  <c r="H25" i="9"/>
  <c r="Q25" i="9"/>
  <c r="H26" i="9"/>
  <c r="Q26" i="9"/>
  <c r="H6" i="9"/>
  <c r="E7" i="9"/>
  <c r="N6" i="9"/>
  <c r="E16" i="9"/>
  <c r="E15" i="9"/>
  <c r="Q15" i="9"/>
  <c r="H16" i="9"/>
  <c r="L19" i="9"/>
  <c r="M19" i="9"/>
  <c r="Q7" i="9"/>
  <c r="H15" i="9"/>
  <c r="E14" i="9"/>
  <c r="N16" i="9"/>
  <c r="N15" i="9"/>
  <c r="Q6" i="9"/>
  <c r="E6" i="9"/>
  <c r="N22" i="9"/>
  <c r="N25" i="9"/>
  <c r="N26" i="9"/>
  <c r="K7" i="15"/>
  <c r="M23" i="16"/>
  <c r="F11" i="2"/>
  <c r="F21" i="2"/>
  <c r="F35" i="2"/>
  <c r="G6" i="2"/>
  <c r="G17" i="2"/>
  <c r="G30" i="2"/>
  <c r="G40" i="2"/>
  <c r="K37" i="15"/>
  <c r="M30" i="16"/>
  <c r="M6" i="16"/>
  <c r="G43" i="2"/>
  <c r="M37" i="16"/>
  <c r="F6" i="2"/>
  <c r="F17" i="2"/>
  <c r="F30" i="2"/>
  <c r="F40" i="2"/>
  <c r="G11" i="2"/>
  <c r="K32" i="15"/>
  <c r="K12" i="15"/>
  <c r="K27" i="15"/>
  <c r="K17" i="15"/>
  <c r="G35" i="2"/>
  <c r="M18" i="16"/>
  <c r="G21" i="2"/>
  <c r="K40" i="15"/>
  <c r="K20" i="15"/>
  <c r="M11" i="16"/>
  <c r="K41" i="15"/>
  <c r="F43" i="2"/>
  <c r="G44" i="2"/>
  <c r="F44" i="2"/>
  <c r="E4" i="9" l="1"/>
  <c r="E19" i="9"/>
  <c r="F45" i="2"/>
  <c r="G23" i="2"/>
  <c r="F23" i="2"/>
  <c r="G45" i="2"/>
  <c r="K21" i="15"/>
  <c r="K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F27" i="15"/>
  <c r="C23" i="8"/>
  <c r="D35" i="2"/>
  <c r="B35" i="3"/>
  <c r="F35" i="3"/>
  <c r="H35" i="3"/>
  <c r="E32" i="4"/>
  <c r="B32" i="15"/>
  <c r="I32" i="15"/>
  <c r="L32" i="15"/>
  <c r="J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I51" i="2" s="1"/>
  <c r="Q39" i="9"/>
  <c r="Q62" i="9"/>
  <c r="N34" i="9"/>
  <c r="H50" i="9"/>
  <c r="H33" i="9"/>
  <c r="H52" i="9"/>
  <c r="E45" i="9"/>
  <c r="O33" i="7"/>
  <c r="J33" i="7"/>
  <c r="E33" i="7"/>
  <c r="J47" i="2"/>
  <c r="M45" i="15"/>
  <c r="M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Q63" i="9"/>
  <c r="B18" i="3"/>
  <c r="F17" i="15"/>
  <c r="B37" i="16"/>
  <c r="F37" i="16"/>
  <c r="G49" i="9"/>
  <c r="G68" i="9" s="1"/>
  <c r="H44" i="3"/>
  <c r="J48" i="3"/>
  <c r="I50" i="2" s="1"/>
  <c r="J50" i="2" s="1"/>
  <c r="D30" i="16"/>
  <c r="I30" i="16"/>
  <c r="E36" i="9"/>
  <c r="N60" i="9"/>
  <c r="E62" i="9"/>
  <c r="E34" i="9"/>
  <c r="O11" i="16"/>
  <c r="F41" i="15"/>
  <c r="K41" i="4"/>
  <c r="N33" i="9"/>
  <c r="C23" i="16"/>
  <c r="K28" i="8"/>
  <c r="B22" i="3"/>
  <c r="K20" i="4"/>
  <c r="K17" i="4"/>
  <c r="B46" i="4"/>
  <c r="B47" i="4" s="1"/>
  <c r="M49" i="9"/>
  <c r="B44" i="3"/>
  <c r="D44" i="2"/>
  <c r="B18" i="8"/>
  <c r="N21" i="9"/>
  <c r="N18" i="16"/>
  <c r="N37" i="9"/>
  <c r="Q14" i="9"/>
  <c r="Q57" i="9"/>
  <c r="D6" i="16"/>
  <c r="C7" i="7"/>
  <c r="G18" i="3"/>
  <c r="I20" i="15"/>
  <c r="H17" i="4"/>
  <c r="J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N43" i="9"/>
  <c r="Q43" i="9"/>
  <c r="Q41" i="9"/>
  <c r="Q54" i="9"/>
  <c r="E41" i="9"/>
  <c r="H37" i="9"/>
  <c r="E58" i="9"/>
  <c r="E6" i="2"/>
  <c r="G12" i="15"/>
  <c r="I22" i="3"/>
  <c r="I23" i="3" s="1"/>
  <c r="B17" i="15"/>
  <c r="F12" i="7"/>
  <c r="B12" i="7"/>
  <c r="J6" i="8"/>
  <c r="J12" i="8" s="1"/>
  <c r="D20" i="1"/>
  <c r="G20" i="1" s="1"/>
  <c r="L32" i="8"/>
  <c r="L41" i="15"/>
  <c r="G41" i="15"/>
  <c r="B41" i="15"/>
  <c r="D41" i="4"/>
  <c r="C28" i="8"/>
  <c r="F40" i="15"/>
  <c r="K40" i="4"/>
  <c r="I18" i="16"/>
  <c r="E57" i="9"/>
  <c r="N45" i="9"/>
  <c r="E43" i="2"/>
  <c r="B43" i="2"/>
  <c r="H32" i="15"/>
  <c r="C32" i="15"/>
  <c r="G44" i="3"/>
  <c r="B23" i="16"/>
  <c r="H20" i="9"/>
  <c r="Q58" i="9"/>
  <c r="Q21" i="9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L23" i="8"/>
  <c r="D23" i="8"/>
  <c r="L27" i="15"/>
  <c r="G27" i="15"/>
  <c r="J28" i="3"/>
  <c r="I28" i="2" s="1"/>
  <c r="J28" i="2" s="1"/>
  <c r="B5" i="5" s="1"/>
  <c r="J23" i="8"/>
  <c r="H33" i="8"/>
  <c r="C30" i="16"/>
  <c r="H30" i="16"/>
  <c r="Q33" i="9"/>
  <c r="C49" i="9"/>
  <c r="C68" i="9" s="1"/>
  <c r="C66" i="9" s="1"/>
  <c r="H63" i="9"/>
  <c r="G7" i="3"/>
  <c r="E7" i="7"/>
  <c r="C12" i="7"/>
  <c r="K6" i="8"/>
  <c r="K12" i="8" s="1"/>
  <c r="C44" i="3"/>
  <c r="F32" i="15"/>
  <c r="K32" i="4"/>
  <c r="D27" i="4"/>
  <c r="L18" i="8"/>
  <c r="D18" i="8"/>
  <c r="F31" i="8"/>
  <c r="I23" i="16"/>
  <c r="H12" i="9"/>
  <c r="H62" i="9"/>
  <c r="H34" i="9"/>
  <c r="H6" i="16"/>
  <c r="C6" i="16"/>
  <c r="E6" i="16"/>
  <c r="F7" i="3"/>
  <c r="I7" i="3"/>
  <c r="C7" i="3"/>
  <c r="B6" i="8"/>
  <c r="B12" i="8" s="1"/>
  <c r="B40" i="4"/>
  <c r="E23" i="16"/>
  <c r="K23" i="16"/>
  <c r="H45" i="9"/>
  <c r="E39" i="9"/>
  <c r="N35" i="9"/>
  <c r="N63" i="9"/>
  <c r="N58" i="9"/>
  <c r="Q12" i="9"/>
  <c r="Q38" i="9"/>
  <c r="K7" i="4"/>
  <c r="C7" i="4"/>
  <c r="I9" i="2"/>
  <c r="B17" i="2"/>
  <c r="D21" i="1"/>
  <c r="H41" i="15"/>
  <c r="M36" i="15"/>
  <c r="L36" i="4" s="1"/>
  <c r="M36" i="4" s="1"/>
  <c r="C16" i="5" s="1"/>
  <c r="B37" i="4"/>
  <c r="L31" i="8"/>
  <c r="D28" i="8"/>
  <c r="L40" i="15"/>
  <c r="D40" i="4"/>
  <c r="H40" i="3"/>
  <c r="B40" i="3"/>
  <c r="D40" i="2"/>
  <c r="F44" i="3"/>
  <c r="B32" i="8"/>
  <c r="L10" i="8"/>
  <c r="E50" i="9"/>
  <c r="Q45" i="9"/>
  <c r="Q52" i="9"/>
  <c r="Q50" i="9"/>
  <c r="I7" i="15"/>
  <c r="L12" i="15"/>
  <c r="D12" i="4"/>
  <c r="C12" i="3"/>
  <c r="C22" i="3"/>
  <c r="G40" i="3"/>
  <c r="C40" i="2"/>
  <c r="N39" i="9"/>
  <c r="Q36" i="9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J48" i="2"/>
  <c r="C49" i="2"/>
  <c r="J49" i="2" s="1"/>
  <c r="L32" i="9"/>
  <c r="L56" i="9"/>
  <c r="G6" i="7"/>
  <c r="C7" i="1" s="1"/>
  <c r="I10" i="2"/>
  <c r="J10" i="2" s="1"/>
  <c r="G11" i="7"/>
  <c r="C18" i="1" s="1"/>
  <c r="P5" i="16"/>
  <c r="M26" i="15"/>
  <c r="L26" i="4" s="1"/>
  <c r="M26" i="4" s="1"/>
  <c r="C6" i="5" s="1"/>
  <c r="C40" i="3"/>
  <c r="B23" i="8"/>
  <c r="N23" i="16"/>
  <c r="Q60" i="9"/>
  <c r="D37" i="4"/>
  <c r="B40" i="15"/>
  <c r="I19" i="2"/>
  <c r="J19" i="2" s="1"/>
  <c r="M8" i="8"/>
  <c r="G43" i="3"/>
  <c r="B27" i="4"/>
  <c r="L19" i="4"/>
  <c r="M19" i="4" s="1"/>
  <c r="D31" i="8"/>
  <c r="H43" i="9"/>
  <c r="H54" i="9"/>
  <c r="P49" i="9"/>
  <c r="H58" i="9"/>
  <c r="Q35" i="9"/>
  <c r="D7" i="4"/>
  <c r="J39" i="3"/>
  <c r="I39" i="2" s="1"/>
  <c r="J39" i="2" s="1"/>
  <c r="B16" i="5" s="1"/>
  <c r="B32" i="4"/>
  <c r="E35" i="2"/>
  <c r="B35" i="2"/>
  <c r="F23" i="8"/>
  <c r="D43" i="2"/>
  <c r="F23" i="16"/>
  <c r="O49" i="9"/>
  <c r="N11" i="16"/>
  <c r="L20" i="15"/>
  <c r="L21" i="15" s="1"/>
  <c r="C40" i="4"/>
  <c r="C31" i="8"/>
  <c r="F43" i="3"/>
  <c r="B41" i="4"/>
  <c r="C32" i="4"/>
  <c r="B18" i="16"/>
  <c r="F18" i="16"/>
  <c r="P21" i="16"/>
  <c r="H59" i="9"/>
  <c r="M32" i="9"/>
  <c r="N38" i="9"/>
  <c r="N57" i="9"/>
  <c r="E37" i="9"/>
  <c r="H7" i="3"/>
  <c r="C6" i="2"/>
  <c r="F7" i="15"/>
  <c r="H7" i="15"/>
  <c r="E7" i="4"/>
  <c r="I15" i="2"/>
  <c r="J15" i="2" s="1"/>
  <c r="I40" i="15"/>
  <c r="Q59" i="9"/>
  <c r="O56" i="9"/>
  <c r="O68" i="9" s="1"/>
  <c r="D6" i="8"/>
  <c r="D12" i="8" s="1"/>
  <c r="M5" i="8"/>
  <c r="C19" i="1" s="1"/>
  <c r="M27" i="8"/>
  <c r="D16" i="5" s="1"/>
  <c r="C44" i="2"/>
  <c r="H23" i="16"/>
  <c r="Q34" i="9"/>
  <c r="P32" i="9"/>
  <c r="N50" i="9"/>
  <c r="L49" i="9"/>
  <c r="I4" i="2"/>
  <c r="J4" i="2" s="1"/>
  <c r="B5" i="1" s="1"/>
  <c r="C7" i="15"/>
  <c r="L5" i="4"/>
  <c r="M5" i="4" s="1"/>
  <c r="L16" i="4"/>
  <c r="M16" i="4" s="1"/>
  <c r="G20" i="15"/>
  <c r="G21" i="15" s="1"/>
  <c r="I30" i="3"/>
  <c r="I43" i="3"/>
  <c r="E33" i="9"/>
  <c r="J34" i="3"/>
  <c r="I34" i="2" s="1"/>
  <c r="J34" i="2" s="1"/>
  <c r="B11" i="5" s="1"/>
  <c r="J29" i="3"/>
  <c r="I29" i="2" s="1"/>
  <c r="F12" i="3"/>
  <c r="G35" i="3"/>
  <c r="M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F49" i="9"/>
  <c r="F68" i="9" s="1"/>
  <c r="I17" i="9" s="1"/>
  <c r="H37" i="15"/>
  <c r="L18" i="4"/>
  <c r="M18" i="4" s="1"/>
  <c r="J32" i="8"/>
  <c r="E43" i="9"/>
  <c r="P10" i="16"/>
  <c r="B11" i="16"/>
  <c r="J51" i="2"/>
  <c r="I20" i="2"/>
  <c r="J20" i="2" s="1"/>
  <c r="G22" i="3"/>
  <c r="H41" i="4"/>
  <c r="M26" i="8"/>
  <c r="D15" i="5" s="1"/>
  <c r="C37" i="15"/>
  <c r="G30" i="3"/>
  <c r="L44" i="4"/>
  <c r="M44" i="4" s="1"/>
  <c r="N37" i="16"/>
  <c r="E54" i="9"/>
  <c r="H41" i="9"/>
  <c r="N36" i="9"/>
  <c r="N59" i="9"/>
  <c r="E60" i="9"/>
  <c r="E59" i="9"/>
  <c r="F11" i="16"/>
  <c r="L45" i="4"/>
  <c r="M45" i="4" s="1"/>
  <c r="F22" i="3"/>
  <c r="F23" i="3" s="1"/>
  <c r="B21" i="2"/>
  <c r="L37" i="15"/>
  <c r="E37" i="4"/>
  <c r="M30" i="15"/>
  <c r="L30" i="4" s="1"/>
  <c r="M30" i="4" s="1"/>
  <c r="C10" i="5" s="1"/>
  <c r="I27" i="15"/>
  <c r="M22" i="8"/>
  <c r="D11" i="5" s="1"/>
  <c r="H27" i="15"/>
  <c r="C41" i="15"/>
  <c r="E41" i="4"/>
  <c r="F30" i="3"/>
  <c r="M17" i="8"/>
  <c r="E30" i="16"/>
  <c r="N12" i="9"/>
  <c r="H37" i="16"/>
  <c r="H14" i="9"/>
  <c r="N52" i="9"/>
  <c r="Q37" i="9"/>
  <c r="K6" i="16"/>
  <c r="I11" i="16"/>
  <c r="D11" i="16"/>
  <c r="D6" i="2"/>
  <c r="L6" i="4"/>
  <c r="F7" i="7"/>
  <c r="E11" i="2"/>
  <c r="B11" i="2"/>
  <c r="B12" i="3"/>
  <c r="F20" i="15"/>
  <c r="C20" i="4"/>
  <c r="F37" i="15"/>
  <c r="B37" i="15"/>
  <c r="M21" i="8"/>
  <c r="H27" i="4"/>
  <c r="H57" i="9"/>
  <c r="E52" i="9"/>
  <c r="H39" i="9"/>
  <c r="N62" i="9"/>
  <c r="E35" i="9"/>
  <c r="O6" i="16"/>
  <c r="I5" i="2"/>
  <c r="B7" i="3"/>
  <c r="G7" i="15"/>
  <c r="H7" i="4"/>
  <c r="D7" i="7"/>
  <c r="I12" i="3"/>
  <c r="D17" i="2"/>
  <c r="D23" i="2" s="1"/>
  <c r="C17" i="15"/>
  <c r="E17" i="4"/>
  <c r="D12" i="7"/>
  <c r="E12" i="7"/>
  <c r="L6" i="8"/>
  <c r="I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63" i="9"/>
  <c r="H60" i="9"/>
  <c r="H38" i="9"/>
  <c r="H35" i="9"/>
  <c r="B6" i="2"/>
  <c r="I16" i="2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E12" i="9"/>
  <c r="B43" i="3"/>
  <c r="C11" i="16"/>
  <c r="P9" i="16"/>
  <c r="B32" i="7" s="1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I33" i="2" s="1"/>
  <c r="C18" i="8"/>
  <c r="D37" i="16"/>
  <c r="C37" i="16"/>
  <c r="P35" i="16"/>
  <c r="N20" i="9"/>
  <c r="N41" i="9"/>
  <c r="N54" i="9"/>
  <c r="L11" i="4"/>
  <c r="M11" i="4" s="1"/>
  <c r="E38" i="9"/>
  <c r="Q20" i="9"/>
  <c r="L15" i="4"/>
  <c r="M15" i="4" s="1"/>
  <c r="D49" i="9"/>
  <c r="D68" i="9" s="1"/>
  <c r="M56" i="9"/>
  <c r="N6" i="16"/>
  <c r="B7" i="7"/>
  <c r="G32" i="15"/>
  <c r="C43" i="2"/>
  <c r="C35" i="2"/>
  <c r="D21" i="4"/>
  <c r="C18" i="16"/>
  <c r="H36" i="9"/>
  <c r="H21" i="9"/>
  <c r="B7" i="4"/>
  <c r="C12" i="4"/>
  <c r="H12" i="3"/>
  <c r="C18" i="3"/>
  <c r="G10" i="7"/>
  <c r="B18" i="1" s="1"/>
  <c r="C37" i="4"/>
  <c r="H43" i="3"/>
  <c r="H30" i="3"/>
  <c r="C30" i="3"/>
  <c r="C43" i="3"/>
  <c r="G21" i="1" l="1"/>
  <c r="C32" i="7"/>
  <c r="R8" i="9"/>
  <c r="R17" i="9"/>
  <c r="D5" i="5"/>
  <c r="I8" i="9"/>
  <c r="I32" i="9"/>
  <c r="F28" i="7"/>
  <c r="F27" i="7"/>
  <c r="M68" i="9"/>
  <c r="M66" i="9" s="1"/>
  <c r="P68" i="9"/>
  <c r="P66" i="9" s="1"/>
  <c r="L68" i="9"/>
  <c r="L66" i="9" s="1"/>
  <c r="J22" i="3"/>
  <c r="F25" i="7"/>
  <c r="G66" i="9"/>
  <c r="D66" i="9"/>
  <c r="J5" i="2"/>
  <c r="C5" i="1" s="1"/>
  <c r="F20" i="1"/>
  <c r="I20" i="1"/>
  <c r="F21" i="1"/>
  <c r="F22" i="7"/>
  <c r="I47" i="9"/>
  <c r="R47" i="9"/>
  <c r="M20" i="15"/>
  <c r="M7" i="15"/>
  <c r="B21" i="15"/>
  <c r="M17" i="15"/>
  <c r="M12" i="15"/>
  <c r="M6" i="4"/>
  <c r="C6" i="1" s="1"/>
  <c r="B6" i="1"/>
  <c r="H21" i="4"/>
  <c r="N32" i="9"/>
  <c r="E56" i="9"/>
  <c r="H21" i="15"/>
  <c r="B23" i="3"/>
  <c r="B42" i="15"/>
  <c r="K42" i="4"/>
  <c r="L42" i="15"/>
  <c r="H49" i="9"/>
  <c r="N49" i="9"/>
  <c r="L7" i="4"/>
  <c r="M7" i="4" s="1"/>
  <c r="K21" i="4"/>
  <c r="I45" i="3"/>
  <c r="N56" i="9"/>
  <c r="Q19" i="9"/>
  <c r="E49" i="9"/>
  <c r="C21" i="4"/>
  <c r="B23" i="2"/>
  <c r="B33" i="1"/>
  <c r="D33" i="1" s="1"/>
  <c r="M10" i="8"/>
  <c r="H45" i="3"/>
  <c r="H19" i="9"/>
  <c r="J33" i="8"/>
  <c r="F21" i="15"/>
  <c r="G45" i="3"/>
  <c r="D45" i="2"/>
  <c r="C45" i="3"/>
  <c r="L12" i="8"/>
  <c r="G23" i="3"/>
  <c r="B33" i="8"/>
  <c r="H42" i="15"/>
  <c r="I21" i="15"/>
  <c r="F42" i="15"/>
  <c r="Q49" i="9"/>
  <c r="B42" i="4"/>
  <c r="D7" i="1"/>
  <c r="I17" i="2"/>
  <c r="J17" i="2" s="1"/>
  <c r="Q32" i="9"/>
  <c r="J12" i="3"/>
  <c r="J44" i="3"/>
  <c r="E45" i="2"/>
  <c r="L33" i="8"/>
  <c r="E21" i="4"/>
  <c r="D17" i="5"/>
  <c r="F45" i="3"/>
  <c r="G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M32" i="15"/>
  <c r="M25" i="4"/>
  <c r="C5" i="5" s="1"/>
  <c r="J30" i="3"/>
  <c r="P6" i="16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P23" i="16"/>
  <c r="L32" i="4"/>
  <c r="M32" i="4" s="1"/>
  <c r="C37" i="1"/>
  <c r="I42" i="15"/>
  <c r="Q56" i="9"/>
  <c r="E23" i="2"/>
  <c r="M27" i="15"/>
  <c r="B16" i="1"/>
  <c r="C17" i="1"/>
  <c r="P37" i="16"/>
  <c r="L41" i="4"/>
  <c r="M41" i="4" s="1"/>
  <c r="P18" i="16"/>
  <c r="D19" i="1"/>
  <c r="I6" i="2"/>
  <c r="J6" i="2" s="1"/>
  <c r="H32" i="9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E32" i="9"/>
  <c r="I35" i="2"/>
  <c r="J35" i="2" s="1"/>
  <c r="I43" i="2"/>
  <c r="D6" i="5"/>
  <c r="J33" i="2"/>
  <c r="B10" i="5" s="1"/>
  <c r="K33" i="8"/>
  <c r="M37" i="15"/>
  <c r="J18" i="3"/>
  <c r="C23" i="3"/>
  <c r="L17" i="4"/>
  <c r="M17" i="4" s="1"/>
  <c r="D10" i="5"/>
  <c r="C12" i="8"/>
  <c r="M6" i="8"/>
  <c r="E42" i="4"/>
  <c r="C42" i="15"/>
  <c r="M40" i="15"/>
  <c r="M41" i="15"/>
  <c r="C33" i="8"/>
  <c r="N19" i="9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H56" i="9"/>
  <c r="G7" i="1" l="1"/>
  <c r="G18" i="1"/>
  <c r="I18" i="1" s="1"/>
  <c r="G19" i="1"/>
  <c r="D32" i="7"/>
  <c r="F30" i="7"/>
  <c r="B27" i="1"/>
  <c r="F29" i="7"/>
  <c r="I21" i="1"/>
  <c r="B8" i="1"/>
  <c r="F23" i="7"/>
  <c r="D5" i="1"/>
  <c r="R32" i="9"/>
  <c r="R24" i="9"/>
  <c r="I49" i="9"/>
  <c r="I24" i="9"/>
  <c r="F18" i="1"/>
  <c r="R49" i="9"/>
  <c r="O66" i="9"/>
  <c r="R68" i="9"/>
  <c r="R53" i="9"/>
  <c r="R5" i="9"/>
  <c r="R10" i="9"/>
  <c r="R28" i="9"/>
  <c r="R61" i="9"/>
  <c r="R23" i="9"/>
  <c r="R7" i="9"/>
  <c r="R26" i="9"/>
  <c r="R39" i="9"/>
  <c r="R6" i="9"/>
  <c r="R25" i="9"/>
  <c r="R38" i="9"/>
  <c r="R57" i="9"/>
  <c r="R62" i="9"/>
  <c r="R12" i="9"/>
  <c r="R63" i="9"/>
  <c r="R16" i="9"/>
  <c r="R22" i="9"/>
  <c r="R36" i="9"/>
  <c r="R54" i="9"/>
  <c r="R21" i="9"/>
  <c r="R37" i="9"/>
  <c r="R52" i="9"/>
  <c r="R60" i="9"/>
  <c r="R15" i="9"/>
  <c r="R30" i="9"/>
  <c r="R43" i="9"/>
  <c r="R33" i="9"/>
  <c r="R41" i="9"/>
  <c r="R58" i="9"/>
  <c r="R20" i="9"/>
  <c r="R34" i="9"/>
  <c r="R50" i="9"/>
  <c r="R35" i="9"/>
  <c r="R45" i="9"/>
  <c r="R59" i="9"/>
  <c r="R67" i="9"/>
  <c r="R4" i="9"/>
  <c r="R14" i="9"/>
  <c r="R19" i="9"/>
  <c r="R56" i="9"/>
  <c r="F66" i="9"/>
  <c r="I5" i="9"/>
  <c r="I7" i="9"/>
  <c r="I10" i="9"/>
  <c r="I57" i="9"/>
  <c r="I28" i="9"/>
  <c r="I61" i="9"/>
  <c r="I23" i="9"/>
  <c r="I15" i="9"/>
  <c r="I22" i="9"/>
  <c r="I33" i="9"/>
  <c r="I37" i="9"/>
  <c r="I43" i="9"/>
  <c r="I54" i="9"/>
  <c r="I58" i="9"/>
  <c r="I34" i="9"/>
  <c r="I60" i="9"/>
  <c r="I62" i="9"/>
  <c r="I39" i="9"/>
  <c r="I63" i="9"/>
  <c r="I12" i="9"/>
  <c r="I21" i="9"/>
  <c r="I30" i="9"/>
  <c r="I36" i="9"/>
  <c r="I41" i="9"/>
  <c r="I52" i="9"/>
  <c r="I6" i="9"/>
  <c r="I59" i="9"/>
  <c r="I16" i="9"/>
  <c r="I25" i="9"/>
  <c r="I38" i="9"/>
  <c r="I45" i="9"/>
  <c r="I20" i="9"/>
  <c r="I26" i="9"/>
  <c r="I35" i="9"/>
  <c r="I50" i="9"/>
  <c r="I67" i="9"/>
  <c r="I56" i="9"/>
  <c r="I19" i="9"/>
  <c r="I4" i="9"/>
  <c r="I14" i="9"/>
  <c r="M21" i="15"/>
  <c r="D6" i="1"/>
  <c r="C8" i="1"/>
  <c r="C33" i="1" s="1"/>
  <c r="C33" i="7"/>
  <c r="M12" i="8"/>
  <c r="B10" i="1"/>
  <c r="D21" i="7"/>
  <c r="F21" i="7" s="1"/>
  <c r="F19" i="1"/>
  <c r="I45" i="2"/>
  <c r="J45" i="2" s="1"/>
  <c r="J45" i="3"/>
  <c r="F7" i="1"/>
  <c r="I23" i="2"/>
  <c r="J23" i="2" s="1"/>
  <c r="B21" i="5"/>
  <c r="B28" i="1"/>
  <c r="B33" i="7"/>
  <c r="L42" i="4"/>
  <c r="M42" i="4" s="1"/>
  <c r="M42" i="15"/>
  <c r="J23" i="3"/>
  <c r="B17" i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C7" i="5"/>
  <c r="E5" i="5"/>
  <c r="G5" i="1" l="1"/>
  <c r="G6" i="1"/>
  <c r="G16" i="1"/>
  <c r="I19" i="1"/>
  <c r="F32" i="7"/>
  <c r="F31" i="7"/>
  <c r="F26" i="7"/>
  <c r="I7" i="1"/>
  <c r="F24" i="7"/>
  <c r="D10" i="1"/>
  <c r="G10" i="1" s="1"/>
  <c r="D17" i="1"/>
  <c r="G17" i="1" s="1"/>
  <c r="F5" i="1"/>
  <c r="R66" i="9"/>
  <c r="I66" i="9"/>
  <c r="D8" i="1"/>
  <c r="F8" i="1" s="1"/>
  <c r="F6" i="1"/>
  <c r="C11" i="1"/>
  <c r="B32" i="1"/>
  <c r="D32" i="1" s="1"/>
  <c r="B11" i="1"/>
  <c r="L32" i="7" s="1"/>
  <c r="D33" i="7"/>
  <c r="F33" i="7" s="1"/>
  <c r="D28" i="1"/>
  <c r="G28" i="1" s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5"/>
  <c r="F15" i="5"/>
  <c r="E17" i="5"/>
  <c r="D27" i="1" s="1"/>
  <c r="G27" i="1" s="1"/>
  <c r="B22" i="5"/>
  <c r="E20" i="5"/>
  <c r="H6" i="5"/>
  <c r="F10" i="5"/>
  <c r="H31" i="7" l="1"/>
  <c r="M32" i="7"/>
  <c r="H32" i="7" s="1"/>
  <c r="G32" i="7"/>
  <c r="P31" i="7"/>
  <c r="G31" i="7"/>
  <c r="I5" i="1"/>
  <c r="H29" i="7"/>
  <c r="H30" i="7"/>
  <c r="G30" i="7"/>
  <c r="P29" i="7"/>
  <c r="G29" i="7"/>
  <c r="H27" i="7"/>
  <c r="H28" i="7"/>
  <c r="L33" i="7"/>
  <c r="G27" i="7"/>
  <c r="P27" i="7"/>
  <c r="P26" i="7"/>
  <c r="H24" i="7"/>
  <c r="H25" i="7"/>
  <c r="G25" i="7"/>
  <c r="F10" i="1"/>
  <c r="G22" i="1"/>
  <c r="I22" i="1" s="1"/>
  <c r="F17" i="1"/>
  <c r="D22" i="1"/>
  <c r="F22" i="1" s="1"/>
  <c r="G23" i="7"/>
  <c r="P23" i="7"/>
  <c r="H23" i="7"/>
  <c r="I6" i="1"/>
  <c r="H21" i="5"/>
  <c r="H22" i="7"/>
  <c r="G22" i="7"/>
  <c r="G8" i="1"/>
  <c r="F28" i="1"/>
  <c r="I28" i="1"/>
  <c r="C32" i="1"/>
  <c r="D34" i="1"/>
  <c r="E33" i="1" s="1"/>
  <c r="D11" i="1"/>
  <c r="F11" i="1" s="1"/>
  <c r="H21" i="7"/>
  <c r="N21" i="7"/>
  <c r="G21" i="7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E22" i="5"/>
  <c r="F12" i="5"/>
  <c r="H12" i="5" s="1"/>
  <c r="H10" i="5"/>
  <c r="I32" i="7" l="1"/>
  <c r="N32" i="7"/>
  <c r="P32" i="7" s="1"/>
  <c r="I31" i="7"/>
  <c r="I30" i="7"/>
  <c r="K30" i="7" s="1"/>
  <c r="P30" i="7"/>
  <c r="I29" i="7"/>
  <c r="K29" i="7" s="1"/>
  <c r="I27" i="7"/>
  <c r="K27" i="7" s="1"/>
  <c r="P28" i="7"/>
  <c r="G28" i="7"/>
  <c r="I28" i="7" s="1"/>
  <c r="K28" i="7" s="1"/>
  <c r="I10" i="1"/>
  <c r="G11" i="1"/>
  <c r="I11" i="1" s="1"/>
  <c r="P25" i="7"/>
  <c r="I25" i="7"/>
  <c r="K25" i="7" s="1"/>
  <c r="I17" i="1"/>
  <c r="P24" i="7"/>
  <c r="G24" i="7"/>
  <c r="I23" i="7"/>
  <c r="K23" i="7" s="1"/>
  <c r="H33" i="7"/>
  <c r="I22" i="7"/>
  <c r="K22" i="7" s="1"/>
  <c r="M33" i="7"/>
  <c r="I8" i="1"/>
  <c r="N22" i="7"/>
  <c r="P22" i="7" s="1"/>
  <c r="P21" i="7"/>
  <c r="I21" i="7"/>
  <c r="E32" i="1"/>
  <c r="F22" i="5"/>
  <c r="H22" i="5" s="1"/>
  <c r="H20" i="5"/>
  <c r="I27" i="1"/>
  <c r="G29" i="1"/>
  <c r="I29" i="1" s="1"/>
  <c r="K32" i="7" l="1"/>
  <c r="K31" i="7"/>
  <c r="K26" i="7"/>
  <c r="I24" i="7"/>
  <c r="I33" i="7" s="1"/>
  <c r="K33" i="7" s="1"/>
  <c r="G33" i="7"/>
  <c r="N33" i="7"/>
  <c r="P33" i="7" s="1"/>
  <c r="K21" i="7"/>
  <c r="K24" i="7" l="1"/>
  <c r="Q67" i="9"/>
  <c r="Q4" i="9"/>
  <c r="N4" i="9"/>
  <c r="N68" i="9" l="1"/>
  <c r="N67" i="9"/>
  <c r="Q66" i="9"/>
  <c r="Q68" i="9"/>
  <c r="H67" i="9"/>
  <c r="H4" i="9"/>
  <c r="N66" i="9" l="1"/>
  <c r="H68" i="9"/>
  <c r="I68" i="9" s="1"/>
  <c r="H66" i="9"/>
  <c r="E68" i="9"/>
  <c r="E67" i="9"/>
  <c r="E66" i="9" l="1"/>
  <c r="I16" i="5" l="1"/>
  <c r="I15" i="5" l="1"/>
  <c r="I10" i="5"/>
  <c r="I6" i="5" l="1"/>
  <c r="K6" i="5" s="1"/>
  <c r="K10" i="5"/>
  <c r="I17" i="5"/>
  <c r="K17" i="5" s="1"/>
  <c r="K15" i="5"/>
  <c r="I20" i="5"/>
  <c r="K20" i="5" l="1"/>
  <c r="I11" i="5"/>
  <c r="I5" i="5"/>
  <c r="K5" i="5" l="1"/>
  <c r="I7" i="5"/>
  <c r="K7" i="5" s="1"/>
  <c r="K11" i="5"/>
  <c r="I12" i="5"/>
  <c r="K12" i="5" s="1"/>
  <c r="I21" i="5"/>
  <c r="K21" i="5" l="1"/>
  <c r="I22" i="5"/>
  <c r="K22" i="5" s="1"/>
</calcChain>
</file>

<file path=xl/sharedStrings.xml><?xml version="1.0" encoding="utf-8"?>
<sst xmlns="http://schemas.openxmlformats.org/spreadsheetml/2006/main" count="600" uniqueCount="231">
  <si>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</si>
  <si>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</si>
  <si>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</si>
  <si>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</si>
  <si>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</si>
  <si>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</si>
  <si>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</si>
  <si>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</si>
  <si>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</si>
  <si>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</si>
  <si>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</si>
  <si>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</si>
  <si>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</si>
  <si>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</si>
  <si>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</si>
  <si>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</si>
  <si>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</si>
  <si>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</si>
  <si>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</si>
  <si>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</si>
  <si>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</si>
  <si>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</si>
  <si>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</si>
  <si>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</si>
  <si>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</si>
  <si>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</si>
  <si>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</si>
  <si>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</si>
  <si>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</si>
  <si>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</si>
  <si>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</si>
  <si>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</si>
  <si>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</si>
  <si>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</si>
  <si>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</si>
  <si>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</si>
  <si>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</si>
  <si>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</si>
  <si>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</si>
  <si>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</si>
  <si>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</si>
  <si>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</si>
  <si>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</si>
  <si>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</si>
  <si>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</si>
  <si>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</si>
  <si>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</si>
  <si>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</si>
  <si>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</si>
  <si>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</si>
  <si>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</si>
  <si>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</si>
  <si>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</si>
  <si>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</si>
  <si>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</si>
  <si>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</si>
  <si>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</si>
  <si>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</si>
  <si>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</si>
  <si>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</si>
  <si>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</si>
  <si>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</si>
  <si>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</si>
  <si>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</si>
  <si>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</si>
  <si>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</si>
  <si>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</si>
  <si>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</si>
  <si>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</si>
  <si>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</si>
  <si>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</si>
  <si>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</si>
  <si>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</si>
  <si>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</si>
  <si>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</si>
  <si>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</si>
  <si>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</si>
  <si>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</si>
  <si>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</si>
  <si>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</si>
  <si>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</si>
  <si>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</si>
  <si>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</si>
  <si>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</si>
  <si>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</si>
  <si>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</si>
  <si>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</si>
  <si>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</si>
  <si>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</si>
  <si>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</si>
  <si>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</si>
  <si>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</si>
  <si>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</si>
  <si>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</si>
  <si>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</si>
  <si>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</si>
  <si>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</si>
  <si>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</si>
  <si>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</si>
  <si>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</si>
  <si>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</si>
  <si>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</si>
  <si>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</si>
  <si>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</si>
  <si>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</si>
  <si>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</si>
  <si>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</si>
  <si>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</si>
  <si>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</si>
  <si>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</si>
  <si>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</si>
  <si>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</si>
  <si>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</si>
  <si>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</si>
  <si>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</si>
  <si>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</si>
  <si>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</si>
  <si>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</si>
  <si>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</si>
  <si>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</si>
  <si>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</si>
  <si>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</si>
  <si>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</si>
  <si>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</si>
  <si>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</si>
  <si>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</si>
  <si>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</si>
  <si>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</si>
  <si>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</si>
  <si>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</si>
  <si>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</si>
  <si>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</si>
  <si>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</si>
  <si>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</si>
  <si>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</si>
  <si>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</si>
  <si>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</si>
  <si>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</si>
  <si>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</si>
  <si>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</si>
  <si>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</si>
  <si>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</si>
  <si>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</si>
  <si>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</si>
  <si>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</si>
  <si>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</si>
  <si>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</si>
  <si>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</si>
  <si>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</si>
  <si>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</si>
  <si>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</si>
  <si>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</si>
  <si>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</si>
  <si>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</si>
  <si>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</si>
  <si>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</si>
  <si>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</si>
  <si>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</si>
  <si>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</si>
  <si>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</si>
  <si>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</si>
  <si>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</si>
  <si>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</si>
  <si>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</si>
  <si>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</si>
  <si>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</si>
  <si>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</si>
  <si>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</si>
  <si>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</si>
  <si>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</si>
  <si>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</si>
  <si>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</si>
  <si>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</si>
  <si>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</si>
  <si>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</si>
  <si>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</si>
  <si>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</si>
  <si>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</si>
  <si>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</si>
  <si>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</si>
  <si>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</si>
  <si>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</si>
  <si>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</si>
  <si>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</si>
  <si>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</si>
  <si>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</si>
  <si>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</si>
  <si>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</si>
  <si>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</si>
  <si>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</si>
  <si>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</si>
  <si>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</si>
  <si>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</si>
  <si>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</si>
  <si>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</si>
  <si>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</si>
  <si>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</si>
  <si>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</si>
  <si>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</si>
  <si>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</si>
  <si>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</si>
  <si>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</si>
  <si>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</si>
  <si>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</si>
  <si>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</si>
  <si>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</si>
  <si>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</si>
  <si>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</si>
  <si>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</si>
  <si>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</si>
  <si>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</si>
  <si>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</si>
  <si>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</si>
  <si>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</si>
  <si>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</si>
  <si>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</si>
  <si>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</si>
  <si>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</si>
  <si>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</si>
  <si>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</si>
  <si>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</si>
  <si>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</si>
  <si>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KLM</t>
  </si>
  <si>
    <t>Landing</t>
  </si>
  <si>
    <t>Departure</t>
  </si>
  <si>
    <t>Sky Regional</t>
  </si>
  <si>
    <t>Sky Regional - Air Canada</t>
  </si>
  <si>
    <t>Horizon Air - Alaska</t>
  </si>
  <si>
    <t>Horizon Air</t>
  </si>
  <si>
    <t>December 2016</t>
  </si>
  <si>
    <t>Air Georgian 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</si>
</sst>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0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1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2" xfId="0" applyFont="1" applyBorder="1"/>
    <xf numFmtId="0" fontId="19" fillId="0" borderId="73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3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4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7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8" xfId="0" applyNumberFormat="1" applyFont="1" applyBorder="1"/>
    <xf numFmtId="165" fontId="29" fillId="0" borderId="57" xfId="1" applyNumberFormat="1" applyFont="1" applyBorder="1"/>
    <xf numFmtId="10" fontId="29" fillId="0" borderId="78" xfId="0" applyNumberFormat="1" applyFont="1" applyBorder="1"/>
    <xf numFmtId="10" fontId="29" fillId="0" borderId="58" xfId="3" applyNumberFormat="1" applyFont="1" applyBorder="1"/>
    <xf numFmtId="165" fontId="29" fillId="0" borderId="78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3" fontId="0" fillId="0" borderId="0" xfId="0" applyNumberFormat="1"/>
    <xf numFmtId="0" fontId="1" fillId="0" borderId="0" xfId="0" applyFont="1"/>
    <xf numFmtId="41" fontId="1" fillId="0" borderId="79" xfId="0" applyNumberFormat="1" applyFont="1" applyBorder="1"/>
    <xf numFmtId="41" fontId="1" fillId="0" borderId="49" xfId="0" applyNumberFormat="1" applyFont="1" applyBorder="1"/>
    <xf numFmtId="41" fontId="0" fillId="0" borderId="49" xfId="0" applyNumberFormat="1" applyBorder="1"/>
    <xf numFmtId="10" fontId="0" fillId="0" borderId="49" xfId="0" applyNumberFormat="1" applyFill="1" applyBorder="1"/>
    <xf numFmtId="3" fontId="0" fillId="0" borderId="49" xfId="0" applyNumberFormat="1" applyFill="1" applyBorder="1"/>
    <xf numFmtId="10" fontId="0" fillId="0" borderId="80" xfId="0" applyNumberFormat="1" applyBorder="1"/>
    <xf numFmtId="3" fontId="0" fillId="0" borderId="79" xfId="0" applyNumberFormat="1" applyFill="1" applyBorder="1" applyAlignment="1">
      <alignment horizontal="right"/>
    </xf>
    <xf numFmtId="3" fontId="0" fillId="0" borderId="49" xfId="0" applyNumberFormat="1" applyFill="1" applyBorder="1" applyAlignment="1">
      <alignment horizontal="right"/>
    </xf>
    <xf numFmtId="10" fontId="0" fillId="0" borderId="49" xfId="0" applyNumberFormat="1" applyFill="1" applyBorder="1" applyAlignment="1">
      <alignment horizontal="right"/>
    </xf>
    <xf numFmtId="10" fontId="0" fillId="0" borderId="80" xfId="0" applyNumberFormat="1" applyFill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9" xfId="1" applyNumberFormat="1" applyFont="1" applyBorder="1"/>
    <xf numFmtId="165" fontId="0" fillId="0" borderId="49" xfId="1" applyNumberFormat="1" applyFont="1" applyBorder="1"/>
    <xf numFmtId="10" fontId="0" fillId="0" borderId="49" xfId="3" applyNumberFormat="1" applyFont="1" applyBorder="1"/>
    <xf numFmtId="10" fontId="0" fillId="0" borderId="80" xfId="3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59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15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43" fontId="0" fillId="0" borderId="0" xfId="1" applyFont="1"/>
    <xf numFmtId="0" fontId="4" fillId="0" borderId="0" xfId="0" applyFont="1" applyFill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5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6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2" xfId="0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81" xfId="0" applyFont="1" applyFill="1" applyBorder="1" applyAlignment="1">
      <alignment horizontal="center"/>
    </xf>
    <xf numFmtId="0" fontId="7" fillId="5" borderId="82" xfId="0" applyFont="1" applyFill="1" applyBorder="1" applyAlignment="1">
      <alignment horizontal="center"/>
    </xf>
    <xf numFmtId="0" fontId="7" fillId="5" borderId="83" xfId="0" applyFont="1" applyFill="1" applyBorder="1" applyAlignment="1">
      <alignment horizontal="center"/>
    </xf>
    <xf numFmtId="0" fontId="25" fillId="8" borderId="81" xfId="0" applyFont="1" applyFill="1" applyBorder="1" applyAlignment="1">
      <alignment horizontal="center"/>
    </xf>
    <xf numFmtId="0" fontId="25" fillId="8" borderId="82" xfId="0" applyFont="1" applyFill="1" applyBorder="1" applyAlignment="1">
      <alignment horizontal="center"/>
    </xf>
    <xf numFmtId="0" fontId="25" fillId="8" borderId="83" xfId="0" applyFont="1" applyFill="1" applyBorder="1" applyAlignment="1">
      <alignment horizontal="center"/>
    </xf>
    <xf numFmtId="0" fontId="7" fillId="2" borderId="81" xfId="0" applyFont="1" applyFill="1" applyBorder="1" applyAlignment="1">
      <alignment horizontal="center"/>
    </xf>
    <xf numFmtId="0" fontId="7" fillId="2" borderId="82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/>
    </xf>
    <xf numFmtId="0" fontId="25" fillId="9" borderId="81" xfId="0" applyFont="1" applyFill="1" applyBorder="1" applyAlignment="1">
      <alignment horizontal="center"/>
    </xf>
    <xf numFmtId="0" fontId="25" fillId="9" borderId="82" xfId="0" applyFont="1" applyFill="1" applyBorder="1" applyAlignment="1">
      <alignment horizontal="center"/>
    </xf>
    <xf numFmtId="0" fontId="25" fillId="9" borderId="83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December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pril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y%20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ne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ly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ugust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September%20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October%20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November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2120890</v>
          </cell>
          <cell r="G5">
            <v>28016965</v>
          </cell>
        </row>
        <row r="6">
          <cell r="D6">
            <v>675484</v>
          </cell>
          <cell r="G6">
            <v>8324599</v>
          </cell>
        </row>
        <row r="7">
          <cell r="D7">
            <v>402</v>
          </cell>
          <cell r="G7">
            <v>5295</v>
          </cell>
        </row>
        <row r="10">
          <cell r="D10">
            <v>89644</v>
          </cell>
          <cell r="G10">
            <v>1158662</v>
          </cell>
        </row>
        <row r="16">
          <cell r="D16">
            <v>16913</v>
          </cell>
          <cell r="G16">
            <v>213682</v>
          </cell>
        </row>
        <row r="17">
          <cell r="D17">
            <v>13049</v>
          </cell>
          <cell r="G17">
            <v>161359</v>
          </cell>
        </row>
        <row r="18">
          <cell r="D18">
            <v>1</v>
          </cell>
          <cell r="G18">
            <v>68</v>
          </cell>
        </row>
        <row r="19">
          <cell r="D19">
            <v>1613</v>
          </cell>
          <cell r="G19">
            <v>14400</v>
          </cell>
        </row>
        <row r="20">
          <cell r="D20">
            <v>1539</v>
          </cell>
          <cell r="G20">
            <v>22454.5</v>
          </cell>
        </row>
        <row r="21">
          <cell r="D21">
            <v>102</v>
          </cell>
          <cell r="G21">
            <v>1315</v>
          </cell>
        </row>
        <row r="27">
          <cell r="D27">
            <v>19159.450502498461</v>
          </cell>
          <cell r="G27">
            <v>190408.67440976226</v>
          </cell>
        </row>
        <row r="28">
          <cell r="D28">
            <v>2180.6276286725702</v>
          </cell>
          <cell r="G28">
            <v>16533.405846771835</v>
          </cell>
        </row>
        <row r="32">
          <cell r="B32">
            <v>874567</v>
          </cell>
          <cell r="D32">
            <v>10500930</v>
          </cell>
        </row>
        <row r="33">
          <cell r="B33">
            <v>537125</v>
          </cell>
          <cell r="D33">
            <v>7659822</v>
          </cell>
        </row>
      </sheetData>
      <sheetData sheetId="1"/>
      <sheetData sheetId="2"/>
      <sheetData sheetId="3"/>
      <sheetData sheetId="4"/>
      <sheetData sheetId="5">
        <row r="32">
          <cell r="D32">
            <v>189086</v>
          </cell>
          <cell r="I32">
            <v>2697334</v>
          </cell>
          <cell r="N32">
            <v>2886420</v>
          </cell>
        </row>
      </sheetData>
      <sheetData sheetId="6"/>
      <sheetData sheetId="7">
        <row r="5">
          <cell r="I5">
            <v>91896.900173374452</v>
          </cell>
        </row>
        <row r="6">
          <cell r="I6">
            <v>6361.6400407969841</v>
          </cell>
        </row>
        <row r="10">
          <cell r="I10">
            <v>81649.420275406825</v>
          </cell>
        </row>
        <row r="11">
          <cell r="I11">
            <v>8535.3279121394899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27015988</v>
          </cell>
        </row>
        <row r="6">
          <cell r="G6">
            <v>6946325</v>
          </cell>
        </row>
        <row r="7">
          <cell r="G7">
            <v>5383</v>
          </cell>
        </row>
        <row r="10">
          <cell r="G10">
            <v>1138855</v>
          </cell>
        </row>
        <row r="16">
          <cell r="G16">
            <v>210678</v>
          </cell>
        </row>
        <row r="17">
          <cell r="G17">
            <v>137545</v>
          </cell>
        </row>
        <row r="18">
          <cell r="G18">
            <v>43</v>
          </cell>
        </row>
        <row r="19">
          <cell r="G19">
            <v>13402</v>
          </cell>
        </row>
        <row r="20">
          <cell r="G20">
            <v>20560</v>
          </cell>
        </row>
        <row r="21">
          <cell r="G21">
            <v>667</v>
          </cell>
        </row>
        <row r="27">
          <cell r="G27">
            <v>185057.98224000318</v>
          </cell>
        </row>
        <row r="28">
          <cell r="G28">
            <v>22938.546714898424</v>
          </cell>
        </row>
        <row r="32">
          <cell r="D32">
            <v>10134632</v>
          </cell>
        </row>
        <row r="33">
          <cell r="D33">
            <v>6827039</v>
          </cell>
        </row>
      </sheetData>
      <sheetData sheetId="1"/>
      <sheetData sheetId="2"/>
      <sheetData sheetId="3"/>
      <sheetData sheetId="4"/>
      <sheetData sheetId="5">
        <row r="31">
          <cell r="B31">
            <v>90657</v>
          </cell>
          <cell r="C31">
            <v>88951</v>
          </cell>
          <cell r="L31">
            <v>1467362</v>
          </cell>
          <cell r="M31">
            <v>1486147</v>
          </cell>
        </row>
      </sheetData>
      <sheetData sheetId="6"/>
      <sheetData sheetId="7">
        <row r="5">
          <cell r="I5">
            <v>100179.55581658255</v>
          </cell>
        </row>
        <row r="6">
          <cell r="I6">
            <v>9980.8183867530588</v>
          </cell>
        </row>
        <row r="10">
          <cell r="I10">
            <v>84878.42642342062</v>
          </cell>
        </row>
        <row r="11">
          <cell r="I11">
            <v>12957.728328145369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185057.98224000318</v>
          </cell>
        </row>
        <row r="21">
          <cell r="I21">
            <v>22938.546714898424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K4">
            <v>130</v>
          </cell>
        </row>
        <row r="5">
          <cell r="FK5">
            <v>130</v>
          </cell>
        </row>
        <row r="8">
          <cell r="FK8"/>
        </row>
        <row r="9">
          <cell r="FK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T19">
            <v>44</v>
          </cell>
          <cell r="EU19">
            <v>42</v>
          </cell>
          <cell r="EV19">
            <v>210</v>
          </cell>
          <cell r="EW19">
            <v>250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H19">
            <v>246</v>
          </cell>
          <cell r="FI19">
            <v>256</v>
          </cell>
          <cell r="FJ19">
            <v>250</v>
          </cell>
          <cell r="FK19">
            <v>260</v>
          </cell>
        </row>
        <row r="22">
          <cell r="FK22">
            <v>492</v>
          </cell>
        </row>
        <row r="23">
          <cell r="FK23">
            <v>436</v>
          </cell>
        </row>
        <row r="27">
          <cell r="FK27"/>
        </row>
        <row r="28">
          <cell r="FK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T41">
            <v>251</v>
          </cell>
          <cell r="EU41">
            <v>222</v>
          </cell>
          <cell r="EV41">
            <v>813</v>
          </cell>
          <cell r="EW41">
            <v>1025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H41">
            <v>781</v>
          </cell>
          <cell r="FI41">
            <v>806</v>
          </cell>
          <cell r="FJ41">
            <v>877</v>
          </cell>
          <cell r="FK41">
            <v>928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3"/>
      <sheetData sheetId="4">
        <row r="8">
          <cell r="FK8"/>
        </row>
        <row r="9">
          <cell r="FK9"/>
        </row>
        <row r="15">
          <cell r="EZ15"/>
          <cell r="FA15"/>
          <cell r="FB15"/>
          <cell r="FC15"/>
          <cell r="FD15">
            <v>18</v>
          </cell>
          <cell r="FE15">
            <v>29</v>
          </cell>
          <cell r="FF15">
            <v>30</v>
          </cell>
          <cell r="FG15">
            <v>30</v>
          </cell>
          <cell r="FH15">
            <v>21</v>
          </cell>
          <cell r="FI15"/>
          <cell r="FJ15"/>
          <cell r="FK15"/>
        </row>
        <row r="16">
          <cell r="EZ16"/>
          <cell r="FA16"/>
          <cell r="FB16"/>
          <cell r="FC16"/>
          <cell r="FD16">
            <v>18</v>
          </cell>
          <cell r="FE16">
            <v>29</v>
          </cell>
          <cell r="FF16">
            <v>30</v>
          </cell>
          <cell r="FG16">
            <v>30</v>
          </cell>
          <cell r="FH16">
            <v>21</v>
          </cell>
          <cell r="FI16"/>
          <cell r="FJ16"/>
          <cell r="FK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T19">
            <v>38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H19">
            <v>42</v>
          </cell>
          <cell r="FI19">
            <v>0</v>
          </cell>
          <cell r="FJ19">
            <v>0</v>
          </cell>
          <cell r="FK19">
            <v>0</v>
          </cell>
        </row>
        <row r="32">
          <cell r="EZ32"/>
          <cell r="FA32"/>
          <cell r="FB32"/>
          <cell r="FC32"/>
          <cell r="FD32">
            <v>4443</v>
          </cell>
          <cell r="FE32">
            <v>7581</v>
          </cell>
          <cell r="FF32">
            <v>8015</v>
          </cell>
          <cell r="FG32">
            <v>7580</v>
          </cell>
          <cell r="FH32">
            <v>5380</v>
          </cell>
          <cell r="FI32"/>
          <cell r="FJ32"/>
          <cell r="FK32"/>
        </row>
        <row r="33">
          <cell r="EZ33"/>
          <cell r="FA33"/>
          <cell r="FB33"/>
          <cell r="FC33"/>
          <cell r="FD33">
            <v>4261</v>
          </cell>
          <cell r="FE33">
            <v>7429</v>
          </cell>
          <cell r="FF33">
            <v>6809</v>
          </cell>
          <cell r="FG33">
            <v>6921</v>
          </cell>
          <cell r="FH33">
            <v>5151</v>
          </cell>
          <cell r="FI33"/>
          <cell r="FJ33"/>
          <cell r="FK33"/>
        </row>
        <row r="37">
          <cell r="EZ37"/>
          <cell r="FA37"/>
          <cell r="FB37"/>
          <cell r="FC37"/>
          <cell r="FD37">
            <v>12</v>
          </cell>
          <cell r="FE37">
            <v>8</v>
          </cell>
          <cell r="FF37">
            <v>24</v>
          </cell>
          <cell r="FG37">
            <v>35</v>
          </cell>
          <cell r="FH37">
            <v>35</v>
          </cell>
          <cell r="FI37"/>
          <cell r="FJ37"/>
          <cell r="FK37"/>
        </row>
        <row r="38">
          <cell r="EZ38"/>
          <cell r="FA38"/>
          <cell r="FB38"/>
          <cell r="FC38"/>
          <cell r="FD38">
            <v>5</v>
          </cell>
          <cell r="FE38">
            <v>5</v>
          </cell>
          <cell r="FF38">
            <v>20</v>
          </cell>
          <cell r="FG38">
            <v>8</v>
          </cell>
          <cell r="FH38">
            <v>8</v>
          </cell>
          <cell r="FI38"/>
          <cell r="FJ38"/>
          <cell r="FK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T41">
            <v>8414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H41">
            <v>10531</v>
          </cell>
          <cell r="FI41">
            <v>0</v>
          </cell>
          <cell r="FJ41">
            <v>0</v>
          </cell>
          <cell r="FK41">
            <v>0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5">
        <row r="4">
          <cell r="FK4">
            <v>48</v>
          </cell>
        </row>
        <row r="5">
          <cell r="FK5">
            <v>48</v>
          </cell>
        </row>
        <row r="8">
          <cell r="FK8"/>
        </row>
        <row r="9">
          <cell r="FK9"/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T19">
            <v>120</v>
          </cell>
          <cell r="EU19">
            <v>128</v>
          </cell>
          <cell r="EV19">
            <v>96</v>
          </cell>
          <cell r="EW19">
            <v>114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H19">
            <v>120</v>
          </cell>
          <cell r="FI19">
            <v>124</v>
          </cell>
          <cell r="FJ19">
            <v>116</v>
          </cell>
          <cell r="FK19">
            <v>96</v>
          </cell>
        </row>
        <row r="22">
          <cell r="FK22">
            <v>6655</v>
          </cell>
        </row>
        <row r="23">
          <cell r="FK23">
            <v>6902</v>
          </cell>
        </row>
        <row r="27">
          <cell r="FK27">
            <v>240</v>
          </cell>
        </row>
        <row r="28">
          <cell r="FK28">
            <v>322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T41">
            <v>18625</v>
          </cell>
          <cell r="EU41">
            <v>18552</v>
          </cell>
          <cell r="EV41">
            <v>14945</v>
          </cell>
          <cell r="EW41">
            <v>16069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H41">
            <v>18013</v>
          </cell>
          <cell r="FI41">
            <v>17799</v>
          </cell>
          <cell r="FJ41">
            <v>15916</v>
          </cell>
          <cell r="FK41">
            <v>13557</v>
          </cell>
        </row>
        <row r="47">
          <cell r="FK47">
            <v>1724</v>
          </cell>
        </row>
        <row r="48">
          <cell r="FK48">
            <v>8531</v>
          </cell>
        </row>
        <row r="52">
          <cell r="FK52">
            <v>7527</v>
          </cell>
        </row>
        <row r="53">
          <cell r="FK53"/>
        </row>
        <row r="57">
          <cell r="FK57"/>
        </row>
        <row r="58">
          <cell r="FK58"/>
        </row>
      </sheetData>
      <sheetData sheetId="6"/>
      <sheetData sheetId="7">
        <row r="4">
          <cell r="FK4">
            <v>636</v>
          </cell>
        </row>
        <row r="5">
          <cell r="FK5">
            <v>634</v>
          </cell>
        </row>
        <row r="8">
          <cell r="FK8">
            <v>1</v>
          </cell>
        </row>
        <row r="9">
          <cell r="FK9">
            <v>1</v>
          </cell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T19">
            <v>1440</v>
          </cell>
          <cell r="EU19">
            <v>1500</v>
          </cell>
          <cell r="EV19">
            <v>1415</v>
          </cell>
          <cell r="EW19">
            <v>1482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H19">
            <v>1342</v>
          </cell>
          <cell r="FI19">
            <v>1335</v>
          </cell>
          <cell r="FJ19">
            <v>1167</v>
          </cell>
          <cell r="FK19">
            <v>1272</v>
          </cell>
        </row>
        <row r="22">
          <cell r="FK22">
            <v>79014</v>
          </cell>
        </row>
        <row r="23">
          <cell r="FK23">
            <v>77281</v>
          </cell>
        </row>
        <row r="27">
          <cell r="FK27">
            <v>3028</v>
          </cell>
        </row>
        <row r="28">
          <cell r="FK28">
            <v>3258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T41">
            <v>173431</v>
          </cell>
          <cell r="EU41">
            <v>186655</v>
          </cell>
          <cell r="EV41">
            <v>159070</v>
          </cell>
          <cell r="EW41">
            <v>166669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H41">
            <v>164573</v>
          </cell>
          <cell r="FI41">
            <v>172592</v>
          </cell>
          <cell r="FJ41">
            <v>149393</v>
          </cell>
          <cell r="FK41">
            <v>156295</v>
          </cell>
        </row>
        <row r="47">
          <cell r="FK47">
            <v>31641</v>
          </cell>
        </row>
        <row r="48">
          <cell r="FK48">
            <v>50997</v>
          </cell>
        </row>
        <row r="52">
          <cell r="FK52">
            <v>11698</v>
          </cell>
        </row>
        <row r="53">
          <cell r="FK53">
            <v>81196</v>
          </cell>
        </row>
        <row r="57">
          <cell r="FK57"/>
        </row>
        <row r="58">
          <cell r="FK58"/>
        </row>
      </sheetData>
      <sheetData sheetId="8"/>
      <sheetData sheetId="9">
        <row r="4">
          <cell r="FK4">
            <v>77</v>
          </cell>
        </row>
        <row r="5">
          <cell r="FK5">
            <v>77</v>
          </cell>
        </row>
        <row r="8">
          <cell r="FK8"/>
        </row>
        <row r="9">
          <cell r="FK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T19">
            <v>161</v>
          </cell>
          <cell r="EU19">
            <v>156</v>
          </cell>
          <cell r="EV19">
            <v>156</v>
          </cell>
          <cell r="EW19">
            <v>159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H19">
            <v>154</v>
          </cell>
          <cell r="FI19">
            <v>148</v>
          </cell>
          <cell r="FJ19">
            <v>154</v>
          </cell>
          <cell r="FK19">
            <v>154</v>
          </cell>
        </row>
        <row r="22">
          <cell r="FK22">
            <v>436</v>
          </cell>
        </row>
        <row r="23">
          <cell r="FK23">
            <v>433</v>
          </cell>
        </row>
        <row r="27">
          <cell r="FK27"/>
        </row>
        <row r="28">
          <cell r="FK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T41">
            <v>1060</v>
          </cell>
          <cell r="EU41">
            <v>1075</v>
          </cell>
          <cell r="EV41">
            <v>1072</v>
          </cell>
          <cell r="EW41">
            <v>1041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H41">
            <v>866</v>
          </cell>
          <cell r="FI41">
            <v>817</v>
          </cell>
          <cell r="FJ41">
            <v>892</v>
          </cell>
          <cell r="FK41">
            <v>869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10">
        <row r="8">
          <cell r="FK8"/>
        </row>
        <row r="9">
          <cell r="FK9"/>
        </row>
        <row r="15">
          <cell r="EZ15"/>
          <cell r="FA15"/>
          <cell r="FB15"/>
          <cell r="FC15"/>
          <cell r="FD15">
            <v>9</v>
          </cell>
          <cell r="FE15">
            <v>14</v>
          </cell>
          <cell r="FF15">
            <v>18</v>
          </cell>
          <cell r="FG15">
            <v>18</v>
          </cell>
          <cell r="FH15">
            <v>1</v>
          </cell>
          <cell r="FI15"/>
          <cell r="FJ15"/>
          <cell r="FK15"/>
        </row>
        <row r="16">
          <cell r="EZ16"/>
          <cell r="FA16"/>
          <cell r="FB16"/>
          <cell r="FC16"/>
          <cell r="FD16">
            <v>9</v>
          </cell>
          <cell r="FE16">
            <v>14</v>
          </cell>
          <cell r="FF16">
            <v>18</v>
          </cell>
          <cell r="FG16">
            <v>18</v>
          </cell>
          <cell r="FH16">
            <v>2</v>
          </cell>
          <cell r="FI16"/>
          <cell r="FJ16"/>
          <cell r="FK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T19">
            <v>6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H19">
            <v>3</v>
          </cell>
          <cell r="FI19">
            <v>0</v>
          </cell>
          <cell r="FJ19">
            <v>0</v>
          </cell>
          <cell r="FK19">
            <v>0</v>
          </cell>
        </row>
        <row r="32">
          <cell r="EZ32"/>
          <cell r="FA32"/>
          <cell r="FB32"/>
          <cell r="FC32"/>
          <cell r="FD32">
            <v>1411</v>
          </cell>
          <cell r="FE32">
            <v>3048</v>
          </cell>
          <cell r="FF32">
            <v>4483</v>
          </cell>
          <cell r="FG32">
            <v>4531</v>
          </cell>
          <cell r="FH32">
            <v>237</v>
          </cell>
          <cell r="FI32"/>
          <cell r="FJ32"/>
          <cell r="FK32"/>
        </row>
        <row r="33">
          <cell r="EZ33"/>
          <cell r="FA33"/>
          <cell r="FB33"/>
          <cell r="FC33"/>
          <cell r="FD33">
            <v>2027</v>
          </cell>
          <cell r="FE33">
            <v>3496</v>
          </cell>
          <cell r="FF33">
            <v>4300</v>
          </cell>
          <cell r="FG33">
            <v>4114</v>
          </cell>
          <cell r="FH33">
            <v>465</v>
          </cell>
          <cell r="FI33"/>
          <cell r="FJ33"/>
          <cell r="FK33"/>
        </row>
        <row r="37">
          <cell r="EZ37"/>
          <cell r="FA37"/>
          <cell r="FB37"/>
          <cell r="FC37"/>
          <cell r="FD37">
            <v>19</v>
          </cell>
          <cell r="FE37">
            <v>39</v>
          </cell>
          <cell r="FF37">
            <v>48</v>
          </cell>
          <cell r="FG37">
            <v>12</v>
          </cell>
          <cell r="FH37"/>
          <cell r="FI37"/>
          <cell r="FJ37"/>
          <cell r="FK37"/>
        </row>
        <row r="38">
          <cell r="EZ38"/>
          <cell r="FA38"/>
          <cell r="FB38"/>
          <cell r="FC38"/>
          <cell r="FD38">
            <v>33</v>
          </cell>
          <cell r="FE38">
            <v>29</v>
          </cell>
          <cell r="FF38">
            <v>48</v>
          </cell>
          <cell r="FG38">
            <v>5</v>
          </cell>
          <cell r="FH38">
            <v>3</v>
          </cell>
          <cell r="FI38"/>
          <cell r="FJ38"/>
          <cell r="FK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T41">
            <v>1235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H41">
            <v>702</v>
          </cell>
          <cell r="FI41">
            <v>0</v>
          </cell>
          <cell r="FJ41">
            <v>0</v>
          </cell>
          <cell r="FK41">
            <v>0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11">
        <row r="4">
          <cell r="FK4">
            <v>5192</v>
          </cell>
        </row>
        <row r="5">
          <cell r="FK5">
            <v>5197</v>
          </cell>
        </row>
        <row r="8">
          <cell r="FK8">
            <v>7</v>
          </cell>
        </row>
        <row r="9">
          <cell r="FK9">
            <v>10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  <cell r="FD15">
            <v>402</v>
          </cell>
          <cell r="FE15">
            <v>403</v>
          </cell>
          <cell r="FF15">
            <v>433</v>
          </cell>
          <cell r="FG15">
            <v>449</v>
          </cell>
          <cell r="FH15">
            <v>431</v>
          </cell>
          <cell r="FI15">
            <v>407</v>
          </cell>
          <cell r="FJ15">
            <v>386</v>
          </cell>
          <cell r="FK15">
            <v>413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  <cell r="FD16">
            <v>400</v>
          </cell>
          <cell r="FE16">
            <v>403</v>
          </cell>
          <cell r="FF16">
            <v>436</v>
          </cell>
          <cell r="FG16">
            <v>451</v>
          </cell>
          <cell r="FH16">
            <v>428</v>
          </cell>
          <cell r="FI16">
            <v>408</v>
          </cell>
          <cell r="FJ16">
            <v>380</v>
          </cell>
          <cell r="FK16">
            <v>409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T19">
            <v>11623</v>
          </cell>
          <cell r="EU19">
            <v>11475</v>
          </cell>
          <cell r="EV19">
            <v>10355</v>
          </cell>
          <cell r="EW19">
            <v>10115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H19">
            <v>12468</v>
          </cell>
          <cell r="FI19">
            <v>12866</v>
          </cell>
          <cell r="FJ19">
            <v>11689</v>
          </cell>
          <cell r="FK19">
            <v>11228</v>
          </cell>
        </row>
        <row r="22">
          <cell r="FK22">
            <v>661046</v>
          </cell>
        </row>
        <row r="23">
          <cell r="FK23">
            <v>662770</v>
          </cell>
        </row>
        <row r="27">
          <cell r="FK27">
            <v>26597</v>
          </cell>
        </row>
        <row r="28">
          <cell r="FK28">
            <v>26849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  <cell r="FD32">
            <v>66473</v>
          </cell>
          <cell r="FE32">
            <v>71764</v>
          </cell>
          <cell r="FF32">
            <v>82745</v>
          </cell>
          <cell r="FG32">
            <v>83915</v>
          </cell>
          <cell r="FH32">
            <v>73556</v>
          </cell>
          <cell r="FI32">
            <v>70732</v>
          </cell>
          <cell r="FJ32">
            <v>59636</v>
          </cell>
          <cell r="FK32">
            <v>60180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  <cell r="FD33">
            <v>71277</v>
          </cell>
          <cell r="FE33">
            <v>73788</v>
          </cell>
          <cell r="FF33">
            <v>74487</v>
          </cell>
          <cell r="FG33">
            <v>78646</v>
          </cell>
          <cell r="FH33">
            <v>72545</v>
          </cell>
          <cell r="FI33">
            <v>63958</v>
          </cell>
          <cell r="FJ33">
            <v>58307</v>
          </cell>
          <cell r="FK33">
            <v>68494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  <cell r="FD37">
            <v>1974</v>
          </cell>
          <cell r="FE37">
            <v>2011</v>
          </cell>
          <cell r="FF37">
            <v>1920</v>
          </cell>
          <cell r="FG37">
            <v>1873</v>
          </cell>
          <cell r="FH37">
            <v>1782</v>
          </cell>
          <cell r="FI37">
            <v>1904</v>
          </cell>
          <cell r="FJ37">
            <v>1729</v>
          </cell>
          <cell r="FK37">
            <v>1761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  <cell r="FD38">
            <v>1836</v>
          </cell>
          <cell r="FE38">
            <v>1967</v>
          </cell>
          <cell r="FF38">
            <v>2030</v>
          </cell>
          <cell r="FG38">
            <v>1950</v>
          </cell>
          <cell r="FH38">
            <v>1637</v>
          </cell>
          <cell r="FI38">
            <v>1711</v>
          </cell>
          <cell r="FJ38">
            <v>1597</v>
          </cell>
          <cell r="FK38">
            <v>1954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T41">
            <v>1584485</v>
          </cell>
          <cell r="EU41">
            <v>1578386</v>
          </cell>
          <cell r="EV41">
            <v>1409111</v>
          </cell>
          <cell r="EW41">
            <v>1375588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H41">
            <v>1646655</v>
          </cell>
          <cell r="FI41">
            <v>1725419</v>
          </cell>
          <cell r="FJ41">
            <v>1544710</v>
          </cell>
          <cell r="FK41">
            <v>1452490</v>
          </cell>
        </row>
        <row r="47">
          <cell r="FK47">
            <v>4370526</v>
          </cell>
        </row>
        <row r="48">
          <cell r="FK48">
            <v>1692021</v>
          </cell>
        </row>
        <row r="52">
          <cell r="FK52">
            <v>2407048</v>
          </cell>
        </row>
        <row r="53">
          <cell r="FK53">
            <v>2146069</v>
          </cell>
        </row>
        <row r="57">
          <cell r="FK57"/>
        </row>
        <row r="58">
          <cell r="FK58"/>
        </row>
        <row r="70">
          <cell r="FK70">
            <v>338013</v>
          </cell>
        </row>
        <row r="71">
          <cell r="FK71">
            <v>324757</v>
          </cell>
        </row>
        <row r="73">
          <cell r="FK73">
            <v>34932</v>
          </cell>
        </row>
        <row r="74">
          <cell r="FK74">
            <v>33562</v>
          </cell>
        </row>
      </sheetData>
      <sheetData sheetId="12">
        <row r="4">
          <cell r="FK4">
            <v>124</v>
          </cell>
        </row>
        <row r="5">
          <cell r="FK5">
            <v>124</v>
          </cell>
        </row>
        <row r="8">
          <cell r="FK8"/>
        </row>
        <row r="9">
          <cell r="FK9"/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T19">
            <v>158</v>
          </cell>
          <cell r="EU19">
            <v>148</v>
          </cell>
          <cell r="EV19">
            <v>168</v>
          </cell>
          <cell r="EW19">
            <v>174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H19">
            <v>181</v>
          </cell>
          <cell r="FI19">
            <v>206</v>
          </cell>
          <cell r="FJ19">
            <v>234</v>
          </cell>
          <cell r="FK19">
            <v>248</v>
          </cell>
        </row>
        <row r="22">
          <cell r="FK22">
            <v>21304</v>
          </cell>
        </row>
        <row r="23">
          <cell r="FK23">
            <v>22163</v>
          </cell>
        </row>
        <row r="27">
          <cell r="FK27">
            <v>185</v>
          </cell>
        </row>
        <row r="28">
          <cell r="FK28">
            <v>170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T41">
            <v>24097</v>
          </cell>
          <cell r="EU41">
            <v>25222</v>
          </cell>
          <cell r="EV41">
            <v>26513</v>
          </cell>
          <cell r="EW41">
            <v>27332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H41">
            <v>23865</v>
          </cell>
          <cell r="FI41">
            <v>30783</v>
          </cell>
          <cell r="FJ41">
            <v>36385</v>
          </cell>
          <cell r="FK41">
            <v>43467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13">
        <row r="4">
          <cell r="FK4"/>
        </row>
        <row r="5">
          <cell r="FK5"/>
        </row>
        <row r="8">
          <cell r="FK8"/>
        </row>
        <row r="9">
          <cell r="FK9"/>
        </row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22">
          <cell r="FK22"/>
        </row>
        <row r="23">
          <cell r="FK23"/>
        </row>
        <row r="27">
          <cell r="FK27"/>
        </row>
        <row r="28">
          <cell r="FK28"/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14">
        <row r="8">
          <cell r="FK8"/>
        </row>
        <row r="9">
          <cell r="FK9"/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  <cell r="FD15">
            <v>29</v>
          </cell>
          <cell r="FE15">
            <v>29</v>
          </cell>
          <cell r="FF15">
            <v>31</v>
          </cell>
          <cell r="FG15">
            <v>31</v>
          </cell>
          <cell r="FH15">
            <v>30</v>
          </cell>
          <cell r="FI15">
            <v>25</v>
          </cell>
          <cell r="FJ15">
            <v>17</v>
          </cell>
          <cell r="FK15">
            <v>16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  <cell r="FD16">
            <v>29</v>
          </cell>
          <cell r="FE16">
            <v>29</v>
          </cell>
          <cell r="FF16">
            <v>31</v>
          </cell>
          <cell r="FG16">
            <v>31</v>
          </cell>
          <cell r="FH16">
            <v>30</v>
          </cell>
          <cell r="FI16">
            <v>25</v>
          </cell>
          <cell r="FJ16">
            <v>17</v>
          </cell>
          <cell r="FK16">
            <v>16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T19">
            <v>52</v>
          </cell>
          <cell r="EU19">
            <v>46</v>
          </cell>
          <cell r="EV19">
            <v>34</v>
          </cell>
          <cell r="EW19">
            <v>32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H19">
            <v>60</v>
          </cell>
          <cell r="FI19">
            <v>50</v>
          </cell>
          <cell r="FJ19">
            <v>34</v>
          </cell>
          <cell r="FK19">
            <v>32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  <cell r="FD32">
            <v>4596</v>
          </cell>
          <cell r="FE32">
            <v>6688</v>
          </cell>
          <cell r="FF32">
            <v>7627</v>
          </cell>
          <cell r="FG32">
            <v>6906</v>
          </cell>
          <cell r="FH32">
            <v>4924</v>
          </cell>
          <cell r="FI32">
            <v>3929</v>
          </cell>
          <cell r="FJ32">
            <v>2498</v>
          </cell>
          <cell r="FK32">
            <v>2133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  <cell r="FE33">
            <v>7011</v>
          </cell>
          <cell r="FF33">
            <v>7069</v>
          </cell>
          <cell r="FG33">
            <v>6878</v>
          </cell>
          <cell r="FH33">
            <v>5032</v>
          </cell>
          <cell r="FI33">
            <v>3573</v>
          </cell>
          <cell r="FJ33">
            <v>2467</v>
          </cell>
          <cell r="FK33">
            <v>2333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  <cell r="FD37">
            <v>41</v>
          </cell>
          <cell r="FE37">
            <v>31</v>
          </cell>
          <cell r="FF37">
            <v>46</v>
          </cell>
          <cell r="FG37">
            <v>36</v>
          </cell>
          <cell r="FH37">
            <v>47</v>
          </cell>
          <cell r="FI37">
            <v>72</v>
          </cell>
          <cell r="FJ37">
            <v>107</v>
          </cell>
          <cell r="FK37">
            <v>72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  <cell r="FE38">
            <v>28</v>
          </cell>
          <cell r="FF38">
            <v>81</v>
          </cell>
          <cell r="FG38">
            <v>45</v>
          </cell>
          <cell r="FH38">
            <v>50</v>
          </cell>
          <cell r="FI38">
            <v>79</v>
          </cell>
          <cell r="FJ38">
            <v>113</v>
          </cell>
          <cell r="FK38">
            <v>82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T41">
            <v>9132</v>
          </cell>
          <cell r="EU41">
            <v>7265</v>
          </cell>
          <cell r="EV41">
            <v>4929</v>
          </cell>
          <cell r="EW41">
            <v>4473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H41">
            <v>9956</v>
          </cell>
          <cell r="FI41">
            <v>7502</v>
          </cell>
          <cell r="FJ41">
            <v>4965</v>
          </cell>
          <cell r="FK41">
            <v>4466</v>
          </cell>
        </row>
        <row r="47">
          <cell r="FK47">
            <v>52133</v>
          </cell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15"/>
      <sheetData sheetId="16">
        <row r="4">
          <cell r="FK4"/>
        </row>
        <row r="5">
          <cell r="FK5"/>
        </row>
        <row r="8">
          <cell r="FK8"/>
        </row>
        <row r="9">
          <cell r="FK9"/>
        </row>
        <row r="15">
          <cell r="EZ15"/>
          <cell r="FA15"/>
          <cell r="FB15">
            <v>2</v>
          </cell>
          <cell r="FC15">
            <v>13</v>
          </cell>
          <cell r="FD15">
            <v>13</v>
          </cell>
          <cell r="FE15">
            <v>12</v>
          </cell>
          <cell r="FF15">
            <v>13</v>
          </cell>
          <cell r="FG15">
            <v>13</v>
          </cell>
          <cell r="FH15">
            <v>11</v>
          </cell>
          <cell r="FI15">
            <v>14</v>
          </cell>
          <cell r="FJ15">
            <v>11</v>
          </cell>
          <cell r="FK15">
            <v>14</v>
          </cell>
        </row>
        <row r="16">
          <cell r="EZ16"/>
          <cell r="FA16"/>
          <cell r="FB16">
            <v>2</v>
          </cell>
          <cell r="FC16">
            <v>13</v>
          </cell>
          <cell r="FD16">
            <v>13</v>
          </cell>
          <cell r="FE16">
            <v>12</v>
          </cell>
          <cell r="FF16">
            <v>13</v>
          </cell>
          <cell r="FG16">
            <v>13</v>
          </cell>
          <cell r="FH16">
            <v>11</v>
          </cell>
          <cell r="FI16">
            <v>14</v>
          </cell>
          <cell r="FJ16">
            <v>11</v>
          </cell>
          <cell r="FK16">
            <v>14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H19">
            <v>22</v>
          </cell>
          <cell r="FI19">
            <v>28</v>
          </cell>
          <cell r="FJ19">
            <v>22</v>
          </cell>
          <cell r="FK19">
            <v>28</v>
          </cell>
        </row>
        <row r="22">
          <cell r="FK22"/>
        </row>
        <row r="23">
          <cell r="FK23"/>
        </row>
        <row r="27">
          <cell r="FK27"/>
        </row>
        <row r="28">
          <cell r="FK28"/>
        </row>
        <row r="32">
          <cell r="EZ32"/>
          <cell r="FA32"/>
          <cell r="FB32">
            <v>487</v>
          </cell>
          <cell r="FC32">
            <v>3256</v>
          </cell>
          <cell r="FD32">
            <v>3053</v>
          </cell>
          <cell r="FE32">
            <v>2939</v>
          </cell>
          <cell r="FF32">
            <v>3297</v>
          </cell>
          <cell r="FG32">
            <v>3166</v>
          </cell>
          <cell r="FH32">
            <v>2592</v>
          </cell>
          <cell r="FI32">
            <v>3401</v>
          </cell>
          <cell r="FJ32">
            <v>2325</v>
          </cell>
          <cell r="FK32">
            <v>2820</v>
          </cell>
        </row>
        <row r="33">
          <cell r="EZ33"/>
          <cell r="FA33"/>
          <cell r="FB33">
            <v>273</v>
          </cell>
          <cell r="FC33">
            <v>2784</v>
          </cell>
          <cell r="FD33">
            <v>3102</v>
          </cell>
          <cell r="FE33">
            <v>2986</v>
          </cell>
          <cell r="FF33">
            <v>2778</v>
          </cell>
          <cell r="FG33">
            <v>3097</v>
          </cell>
          <cell r="FH33">
            <v>2280</v>
          </cell>
          <cell r="FI33">
            <v>2552</v>
          </cell>
          <cell r="FJ33">
            <v>2220</v>
          </cell>
          <cell r="FK33">
            <v>2948</v>
          </cell>
        </row>
        <row r="37">
          <cell r="EZ37"/>
          <cell r="FA37"/>
          <cell r="FB37">
            <v>2</v>
          </cell>
          <cell r="FC37">
            <v>13</v>
          </cell>
          <cell r="FD37">
            <v>12</v>
          </cell>
          <cell r="FE37">
            <v>8</v>
          </cell>
          <cell r="FF37">
            <v>27</v>
          </cell>
          <cell r="FG37">
            <v>38</v>
          </cell>
          <cell r="FH37">
            <v>16</v>
          </cell>
          <cell r="FI37">
            <v>28</v>
          </cell>
          <cell r="FJ37">
            <v>25</v>
          </cell>
          <cell r="FK37">
            <v>22</v>
          </cell>
        </row>
        <row r="38">
          <cell r="EZ38"/>
          <cell r="FA38"/>
          <cell r="FB38">
            <v>2</v>
          </cell>
          <cell r="FC38">
            <v>21</v>
          </cell>
          <cell r="FD38">
            <v>19</v>
          </cell>
          <cell r="FE38">
            <v>13</v>
          </cell>
          <cell r="FF38">
            <v>22</v>
          </cell>
          <cell r="FG38">
            <v>28</v>
          </cell>
          <cell r="FH38">
            <v>19</v>
          </cell>
          <cell r="FI38">
            <v>21</v>
          </cell>
          <cell r="FJ38">
            <v>19</v>
          </cell>
          <cell r="FK38">
            <v>19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H41">
            <v>4872</v>
          </cell>
          <cell r="FI41">
            <v>5953</v>
          </cell>
          <cell r="FJ41">
            <v>4545</v>
          </cell>
          <cell r="FK41">
            <v>5768</v>
          </cell>
        </row>
        <row r="47">
          <cell r="FK47">
            <v>393188</v>
          </cell>
        </row>
        <row r="48">
          <cell r="FK48"/>
        </row>
        <row r="52">
          <cell r="FK52">
            <v>238396</v>
          </cell>
        </row>
        <row r="53">
          <cell r="FK53"/>
        </row>
        <row r="57">
          <cell r="FK57"/>
        </row>
        <row r="58">
          <cell r="FK58"/>
        </row>
      </sheetData>
      <sheetData sheetId="17"/>
      <sheetData sheetId="18">
        <row r="4">
          <cell r="FK4">
            <v>625</v>
          </cell>
        </row>
        <row r="5">
          <cell r="FK5">
            <v>626</v>
          </cell>
        </row>
        <row r="8">
          <cell r="FK8">
            <v>4</v>
          </cell>
        </row>
        <row r="9">
          <cell r="FK9">
            <v>1</v>
          </cell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T19">
            <v>1584</v>
          </cell>
          <cell r="EU19">
            <v>1602</v>
          </cell>
          <cell r="EV19">
            <v>1367</v>
          </cell>
          <cell r="EW19">
            <v>1304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H19">
            <v>1458</v>
          </cell>
          <cell r="FI19">
            <v>1553</v>
          </cell>
          <cell r="FJ19">
            <v>1269</v>
          </cell>
          <cell r="FK19">
            <v>1256</v>
          </cell>
        </row>
        <row r="22">
          <cell r="FK22">
            <v>76603</v>
          </cell>
        </row>
        <row r="23">
          <cell r="FK23">
            <v>76139</v>
          </cell>
        </row>
        <row r="27">
          <cell r="FK27">
            <v>1342</v>
          </cell>
        </row>
        <row r="28">
          <cell r="FK28">
            <v>1404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T41">
            <v>192627</v>
          </cell>
          <cell r="EU41">
            <v>196524</v>
          </cell>
          <cell r="EV41">
            <v>166174</v>
          </cell>
          <cell r="EW41">
            <v>157979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H41">
            <v>167576</v>
          </cell>
          <cell r="FI41">
            <v>179643</v>
          </cell>
          <cell r="FJ41">
            <v>154160</v>
          </cell>
          <cell r="FK41">
            <v>152742</v>
          </cell>
        </row>
        <row r="47">
          <cell r="FK47">
            <v>214050</v>
          </cell>
        </row>
        <row r="48">
          <cell r="FK48"/>
        </row>
        <row r="52">
          <cell r="FK52">
            <v>41791</v>
          </cell>
        </row>
        <row r="53">
          <cell r="FK53"/>
        </row>
        <row r="57">
          <cell r="FK57"/>
        </row>
        <row r="58">
          <cell r="FK58"/>
        </row>
        <row r="70">
          <cell r="FK70">
            <v>75789</v>
          </cell>
        </row>
        <row r="71">
          <cell r="FK71">
            <v>350</v>
          </cell>
        </row>
        <row r="73">
          <cell r="FK73"/>
        </row>
        <row r="74">
          <cell r="FK74"/>
        </row>
      </sheetData>
      <sheetData sheetId="19">
        <row r="4">
          <cell r="FK4">
            <v>359</v>
          </cell>
        </row>
        <row r="5">
          <cell r="FK5">
            <v>359</v>
          </cell>
        </row>
        <row r="8">
          <cell r="FK8"/>
        </row>
        <row r="9">
          <cell r="FK9"/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T19">
            <v>760</v>
          </cell>
          <cell r="EU19">
            <v>786</v>
          </cell>
          <cell r="EV19">
            <v>730</v>
          </cell>
          <cell r="EW19">
            <v>766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H19">
            <v>704</v>
          </cell>
          <cell r="FI19">
            <v>780</v>
          </cell>
          <cell r="FJ19">
            <v>742</v>
          </cell>
          <cell r="FK19">
            <v>718</v>
          </cell>
        </row>
        <row r="22">
          <cell r="FK22">
            <v>42549</v>
          </cell>
        </row>
        <row r="23">
          <cell r="FK23">
            <v>46886</v>
          </cell>
        </row>
        <row r="27">
          <cell r="FK27">
            <v>363</v>
          </cell>
        </row>
        <row r="28">
          <cell r="FK28">
            <v>338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T41">
            <v>94906</v>
          </cell>
          <cell r="EU41">
            <v>102710</v>
          </cell>
          <cell r="EV41">
            <v>87346</v>
          </cell>
          <cell r="EW41">
            <v>93073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H41">
            <v>93251</v>
          </cell>
          <cell r="FI41">
            <v>105443</v>
          </cell>
          <cell r="FJ41">
            <v>91625</v>
          </cell>
          <cell r="FK41">
            <v>89435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  <row r="70">
          <cell r="FK70"/>
        </row>
        <row r="71">
          <cell r="FK71"/>
        </row>
        <row r="73">
          <cell r="FK73"/>
        </row>
        <row r="74">
          <cell r="FK74"/>
        </row>
      </sheetData>
      <sheetData sheetId="20">
        <row r="4">
          <cell r="FK4">
            <v>829</v>
          </cell>
        </row>
        <row r="5">
          <cell r="FK5">
            <v>816</v>
          </cell>
        </row>
        <row r="8">
          <cell r="FK8">
            <v>57</v>
          </cell>
        </row>
        <row r="9">
          <cell r="FK9">
            <v>58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  <cell r="FD15">
            <v>25</v>
          </cell>
          <cell r="FE15">
            <v>8</v>
          </cell>
          <cell r="FF15">
            <v>8</v>
          </cell>
          <cell r="FG15">
            <v>5</v>
          </cell>
          <cell r="FH15">
            <v>6</v>
          </cell>
          <cell r="FI15">
            <v>22</v>
          </cell>
          <cell r="FJ15">
            <v>35</v>
          </cell>
          <cell r="FK15">
            <v>93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  <cell r="FD16">
            <v>21</v>
          </cell>
          <cell r="FE16">
            <v>8</v>
          </cell>
          <cell r="FF16">
            <v>7</v>
          </cell>
          <cell r="FG16">
            <v>7</v>
          </cell>
          <cell r="FH16">
            <v>6</v>
          </cell>
          <cell r="FI16">
            <v>25</v>
          </cell>
          <cell r="FJ16">
            <v>36</v>
          </cell>
          <cell r="FK16">
            <v>100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T19">
            <v>1296</v>
          </cell>
          <cell r="EU19">
            <v>1523</v>
          </cell>
          <cell r="EV19">
            <v>1585</v>
          </cell>
          <cell r="EW19">
            <v>1913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H19">
            <v>1285</v>
          </cell>
          <cell r="FI19">
            <v>1525</v>
          </cell>
          <cell r="FJ19">
            <v>1665</v>
          </cell>
          <cell r="FK19">
            <v>1953</v>
          </cell>
        </row>
        <row r="22">
          <cell r="FK22">
            <v>100525</v>
          </cell>
        </row>
        <row r="23">
          <cell r="FK23">
            <v>102955</v>
          </cell>
        </row>
        <row r="27">
          <cell r="FK27">
            <v>1883</v>
          </cell>
        </row>
        <row r="28">
          <cell r="FK28">
            <v>1850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  <cell r="FD32">
            <v>2814</v>
          </cell>
          <cell r="FE32">
            <v>1543</v>
          </cell>
          <cell r="FF32">
            <v>1054</v>
          </cell>
          <cell r="FG32">
            <v>847</v>
          </cell>
          <cell r="FH32">
            <v>371</v>
          </cell>
          <cell r="FI32">
            <v>1831</v>
          </cell>
          <cell r="FJ32">
            <v>3631</v>
          </cell>
          <cell r="FK32">
            <v>9590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  <cell r="FE33">
            <v>1588</v>
          </cell>
          <cell r="FF33">
            <v>945</v>
          </cell>
          <cell r="FG33">
            <v>1108</v>
          </cell>
          <cell r="FH33">
            <v>467</v>
          </cell>
          <cell r="FI33">
            <v>1931</v>
          </cell>
          <cell r="FJ33">
            <v>4390</v>
          </cell>
          <cell r="FK33">
            <v>14031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  <cell r="FD37">
            <v>34</v>
          </cell>
          <cell r="FE37">
            <v>2</v>
          </cell>
          <cell r="FF37">
            <v>9</v>
          </cell>
          <cell r="FG37">
            <v>9</v>
          </cell>
          <cell r="FH37"/>
          <cell r="FI37">
            <v>22</v>
          </cell>
          <cell r="FJ37">
            <v>65</v>
          </cell>
          <cell r="FK37">
            <v>65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  <cell r="FE38">
            <v>3</v>
          </cell>
          <cell r="FF38">
            <v>3</v>
          </cell>
          <cell r="FG38">
            <v>7</v>
          </cell>
          <cell r="FH38">
            <v>5</v>
          </cell>
          <cell r="FI38">
            <v>31</v>
          </cell>
          <cell r="FJ38">
            <v>68</v>
          </cell>
          <cell r="FK38">
            <v>68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T41">
            <v>138857</v>
          </cell>
          <cell r="EU41">
            <v>160111</v>
          </cell>
          <cell r="EV41">
            <v>170292</v>
          </cell>
          <cell r="EW41">
            <v>203168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H41">
            <v>136394</v>
          </cell>
          <cell r="FI41">
            <v>173849</v>
          </cell>
          <cell r="FJ41">
            <v>185455</v>
          </cell>
          <cell r="FK41">
            <v>227101</v>
          </cell>
        </row>
        <row r="47">
          <cell r="FK47">
            <v>180368</v>
          </cell>
        </row>
        <row r="48">
          <cell r="FK48">
            <v>959263</v>
          </cell>
        </row>
        <row r="52">
          <cell r="FK52">
            <v>113429</v>
          </cell>
        </row>
        <row r="53">
          <cell r="FK53">
            <v>713655</v>
          </cell>
        </row>
        <row r="57">
          <cell r="FK57"/>
        </row>
        <row r="58">
          <cell r="FK58"/>
        </row>
        <row r="70">
          <cell r="FK70">
            <v>99458</v>
          </cell>
        </row>
        <row r="71">
          <cell r="FK71">
            <v>3497</v>
          </cell>
        </row>
        <row r="73">
          <cell r="FK73">
            <v>13957</v>
          </cell>
        </row>
        <row r="74">
          <cell r="FK74">
            <v>74</v>
          </cell>
        </row>
      </sheetData>
      <sheetData sheetId="21">
        <row r="4">
          <cell r="FK4">
            <v>235</v>
          </cell>
        </row>
        <row r="5">
          <cell r="FK5">
            <v>235</v>
          </cell>
        </row>
        <row r="8">
          <cell r="FK8"/>
        </row>
        <row r="9">
          <cell r="FK9"/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T19">
            <v>816</v>
          </cell>
          <cell r="EU19">
            <v>854</v>
          </cell>
          <cell r="EV19">
            <v>756</v>
          </cell>
          <cell r="EW19">
            <v>604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H19">
            <v>844</v>
          </cell>
          <cell r="FI19">
            <v>730</v>
          </cell>
          <cell r="FJ19">
            <v>602</v>
          </cell>
          <cell r="FK19">
            <v>470</v>
          </cell>
        </row>
        <row r="22">
          <cell r="FK22">
            <v>29614</v>
          </cell>
        </row>
        <row r="23">
          <cell r="FK23">
            <v>29560</v>
          </cell>
        </row>
        <row r="27">
          <cell r="FK27">
            <v>854</v>
          </cell>
        </row>
        <row r="28">
          <cell r="FK28">
            <v>1041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T41">
            <v>105278</v>
          </cell>
          <cell r="EU41">
            <v>108109</v>
          </cell>
          <cell r="EV41">
            <v>86635</v>
          </cell>
          <cell r="EW41">
            <v>74473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H41">
            <v>99698</v>
          </cell>
          <cell r="FI41">
            <v>88591</v>
          </cell>
          <cell r="FJ41">
            <v>73084</v>
          </cell>
          <cell r="FK41">
            <v>59174</v>
          </cell>
        </row>
        <row r="47">
          <cell r="FK47">
            <v>28735</v>
          </cell>
        </row>
        <row r="48">
          <cell r="FK48">
            <v>37948</v>
          </cell>
        </row>
        <row r="52">
          <cell r="FK52">
            <v>9979</v>
          </cell>
        </row>
        <row r="53">
          <cell r="FK53">
            <v>84990</v>
          </cell>
        </row>
        <row r="57">
          <cell r="FK57"/>
        </row>
        <row r="58">
          <cell r="FK58"/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25"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  <cell r="FD15">
            <v>91</v>
          </cell>
          <cell r="FE15">
            <v>39</v>
          </cell>
          <cell r="FF15"/>
          <cell r="FG15"/>
          <cell r="FH15"/>
          <cell r="FI15"/>
          <cell r="FJ15"/>
          <cell r="FK15"/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  <cell r="FD16">
            <v>91</v>
          </cell>
          <cell r="FE16">
            <v>40</v>
          </cell>
          <cell r="FF16"/>
          <cell r="FG16"/>
          <cell r="FH16"/>
          <cell r="FI16"/>
          <cell r="FJ16"/>
          <cell r="FK16"/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T19">
            <v>230</v>
          </cell>
          <cell r="EU19">
            <v>244</v>
          </cell>
          <cell r="EV19">
            <v>170</v>
          </cell>
          <cell r="EW19">
            <v>168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  <cell r="FD32">
            <v>3760</v>
          </cell>
          <cell r="FE32">
            <v>1648</v>
          </cell>
          <cell r="FF32"/>
          <cell r="FG32"/>
          <cell r="FH32"/>
          <cell r="FI32"/>
          <cell r="FJ32"/>
          <cell r="FK32"/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  <cell r="FE33">
            <v>1877</v>
          </cell>
          <cell r="FF33"/>
          <cell r="FG33"/>
          <cell r="FH33"/>
          <cell r="FI33"/>
          <cell r="FJ33"/>
          <cell r="FK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T41">
            <v>9374</v>
          </cell>
          <cell r="EU41">
            <v>9718</v>
          </cell>
          <cell r="EV41">
            <v>6269</v>
          </cell>
          <cell r="EW41">
            <v>6556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26">
        <row r="4">
          <cell r="FK4"/>
        </row>
        <row r="5">
          <cell r="FK5"/>
        </row>
        <row r="8">
          <cell r="FK8"/>
        </row>
        <row r="9">
          <cell r="FK9"/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T19">
            <v>2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22">
          <cell r="FK22"/>
        </row>
        <row r="23">
          <cell r="FK23"/>
        </row>
        <row r="27">
          <cell r="FK27"/>
        </row>
        <row r="28">
          <cell r="FK28"/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T41">
            <v>62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  <row r="47">
          <cell r="FK47"/>
        </row>
        <row r="48">
          <cell r="FK48"/>
        </row>
        <row r="52">
          <cell r="BH52"/>
        </row>
        <row r="53">
          <cell r="FK53"/>
        </row>
        <row r="57">
          <cell r="BG57"/>
        </row>
        <row r="58">
          <cell r="BG58"/>
        </row>
      </sheetData>
      <sheetData sheetId="27">
        <row r="4">
          <cell r="FK4">
            <v>9</v>
          </cell>
        </row>
        <row r="5">
          <cell r="FK5">
            <v>9</v>
          </cell>
        </row>
        <row r="8">
          <cell r="FK8"/>
        </row>
        <row r="9">
          <cell r="FK9"/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T19">
            <v>20</v>
          </cell>
          <cell r="EU19">
            <v>26</v>
          </cell>
          <cell r="EV19">
            <v>18</v>
          </cell>
          <cell r="EW19">
            <v>12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H19">
            <v>0</v>
          </cell>
          <cell r="FI19">
            <v>6</v>
          </cell>
          <cell r="FJ19">
            <v>14</v>
          </cell>
          <cell r="FK19">
            <v>18</v>
          </cell>
        </row>
        <row r="22">
          <cell r="FK22">
            <v>541</v>
          </cell>
        </row>
        <row r="23">
          <cell r="FK23">
            <v>522</v>
          </cell>
        </row>
        <row r="27">
          <cell r="FK27">
            <v>32</v>
          </cell>
        </row>
        <row r="28">
          <cell r="FK28">
            <v>38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T41">
            <v>754</v>
          </cell>
          <cell r="EU41">
            <v>1336</v>
          </cell>
          <cell r="EV41">
            <v>914</v>
          </cell>
          <cell r="EW41">
            <v>512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H41">
            <v>0</v>
          </cell>
          <cell r="FI41">
            <v>374</v>
          </cell>
          <cell r="FJ41">
            <v>691</v>
          </cell>
          <cell r="FK41">
            <v>1063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28">
        <row r="4">
          <cell r="FK4">
            <v>92</v>
          </cell>
        </row>
        <row r="5">
          <cell r="FK5">
            <v>92</v>
          </cell>
        </row>
        <row r="8">
          <cell r="FK8"/>
        </row>
        <row r="9">
          <cell r="FK9"/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  <cell r="FD15">
            <v>30</v>
          </cell>
          <cell r="FE15">
            <v>11</v>
          </cell>
          <cell r="FF15">
            <v>1</v>
          </cell>
          <cell r="FG15"/>
          <cell r="FH15"/>
          <cell r="FI15"/>
          <cell r="FJ15"/>
          <cell r="FK15"/>
        </row>
        <row r="16">
          <cell r="EZ16">
            <v>1</v>
          </cell>
          <cell r="FA16"/>
          <cell r="FB16">
            <v>38</v>
          </cell>
          <cell r="FC16">
            <v>80</v>
          </cell>
          <cell r="FD16">
            <v>31</v>
          </cell>
          <cell r="FE16">
            <v>11</v>
          </cell>
          <cell r="FF16">
            <v>2</v>
          </cell>
          <cell r="FG16">
            <v>1</v>
          </cell>
          <cell r="FH16"/>
          <cell r="FI16"/>
          <cell r="FJ16"/>
          <cell r="FK16"/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T19">
            <v>693</v>
          </cell>
          <cell r="EU19">
            <v>773</v>
          </cell>
          <cell r="EV19">
            <v>980</v>
          </cell>
          <cell r="EW19">
            <v>778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H19">
            <v>119</v>
          </cell>
          <cell r="FI19">
            <v>145</v>
          </cell>
          <cell r="FJ19">
            <v>112</v>
          </cell>
          <cell r="FK19">
            <v>184</v>
          </cell>
        </row>
        <row r="22">
          <cell r="FK22">
            <v>5344</v>
          </cell>
        </row>
        <row r="23">
          <cell r="FK23">
            <v>5092</v>
          </cell>
        </row>
        <row r="27">
          <cell r="FK27">
            <v>121</v>
          </cell>
        </row>
        <row r="28">
          <cell r="FK28">
            <v>139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  <cell r="FD32">
            <v>2016</v>
          </cell>
          <cell r="FE32">
            <v>598</v>
          </cell>
          <cell r="FF32">
            <v>56</v>
          </cell>
          <cell r="FG32"/>
          <cell r="FH32"/>
          <cell r="FI32"/>
          <cell r="FJ32"/>
          <cell r="FK32"/>
        </row>
        <row r="33">
          <cell r="EZ33">
            <v>24</v>
          </cell>
          <cell r="FA33"/>
          <cell r="FB33">
            <v>2381</v>
          </cell>
          <cell r="FC33">
            <v>5124</v>
          </cell>
          <cell r="FD33">
            <v>2104</v>
          </cell>
          <cell r="FE33">
            <v>678</v>
          </cell>
          <cell r="FF33">
            <v>100</v>
          </cell>
          <cell r="FG33">
            <v>65</v>
          </cell>
          <cell r="FH33"/>
          <cell r="FI33"/>
          <cell r="FJ33"/>
          <cell r="FK33"/>
        </row>
        <row r="37">
          <cell r="EZ37"/>
          <cell r="FA37"/>
          <cell r="FB37">
            <v>52</v>
          </cell>
          <cell r="FC37">
            <v>108</v>
          </cell>
          <cell r="FD37">
            <v>11</v>
          </cell>
          <cell r="FE37">
            <v>10</v>
          </cell>
          <cell r="FF37">
            <v>3</v>
          </cell>
          <cell r="FG37"/>
          <cell r="FH37"/>
          <cell r="FI37"/>
          <cell r="FJ37"/>
          <cell r="FK37"/>
        </row>
        <row r="38">
          <cell r="EZ38">
            <v>4</v>
          </cell>
          <cell r="FA38"/>
          <cell r="FB38">
            <v>43</v>
          </cell>
          <cell r="FC38">
            <v>79</v>
          </cell>
          <cell r="FD38">
            <v>9</v>
          </cell>
          <cell r="FE38">
            <v>1</v>
          </cell>
          <cell r="FF38">
            <v>4</v>
          </cell>
          <cell r="FG38">
            <v>1</v>
          </cell>
          <cell r="FH38"/>
          <cell r="FI38"/>
          <cell r="FJ38"/>
          <cell r="FK38"/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T41">
            <v>41441</v>
          </cell>
          <cell r="EU41">
            <v>51917</v>
          </cell>
          <cell r="EV41">
            <v>55756</v>
          </cell>
          <cell r="EW41">
            <v>43477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H41">
            <v>5966</v>
          </cell>
          <cell r="FI41">
            <v>7685</v>
          </cell>
          <cell r="FJ41">
            <v>6319</v>
          </cell>
          <cell r="FK41">
            <v>10436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BG58"/>
        </row>
        <row r="70">
          <cell r="FK70">
            <v>2459</v>
          </cell>
        </row>
        <row r="71">
          <cell r="FK71">
            <v>2633</v>
          </cell>
        </row>
        <row r="73">
          <cell r="FK73"/>
        </row>
        <row r="74">
          <cell r="FK74"/>
        </row>
      </sheetData>
      <sheetData sheetId="29"/>
      <sheetData sheetId="30"/>
      <sheetData sheetId="31"/>
      <sheetData sheetId="32">
        <row r="4">
          <cell r="FK4"/>
        </row>
        <row r="5">
          <cell r="FK5"/>
        </row>
        <row r="8">
          <cell r="FK8"/>
        </row>
        <row r="9">
          <cell r="FK9"/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  <cell r="FD15">
            <v>34</v>
          </cell>
          <cell r="FE15">
            <v>82</v>
          </cell>
          <cell r="FF15">
            <v>111</v>
          </cell>
          <cell r="FG15">
            <v>111</v>
          </cell>
          <cell r="FH15">
            <v>61</v>
          </cell>
          <cell r="FI15"/>
          <cell r="FJ15"/>
          <cell r="FK15"/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  <cell r="FD16">
            <v>34</v>
          </cell>
          <cell r="FE16">
            <v>82</v>
          </cell>
          <cell r="FF16">
            <v>110</v>
          </cell>
          <cell r="FG16">
            <v>112</v>
          </cell>
          <cell r="FH16">
            <v>61</v>
          </cell>
          <cell r="FI16"/>
          <cell r="FJ16">
            <v>1</v>
          </cell>
          <cell r="FK16"/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T19">
            <v>1490</v>
          </cell>
          <cell r="EU19">
            <v>1577</v>
          </cell>
          <cell r="EV19">
            <v>1404</v>
          </cell>
          <cell r="EW19">
            <v>1202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H19">
            <v>744</v>
          </cell>
          <cell r="FI19">
            <v>348</v>
          </cell>
          <cell r="FJ19">
            <v>210</v>
          </cell>
          <cell r="FK19">
            <v>0</v>
          </cell>
        </row>
        <row r="22">
          <cell r="FK22"/>
        </row>
        <row r="23">
          <cell r="FK23"/>
        </row>
        <row r="27">
          <cell r="FK27"/>
        </row>
        <row r="28">
          <cell r="FK28"/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  <cell r="FD32">
            <v>2296</v>
          </cell>
          <cell r="FE32">
            <v>5091</v>
          </cell>
          <cell r="FF32">
            <v>7504</v>
          </cell>
          <cell r="FG32">
            <v>7825</v>
          </cell>
          <cell r="FH32">
            <v>4173</v>
          </cell>
          <cell r="FI32"/>
          <cell r="FJ32"/>
          <cell r="FK32"/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  <cell r="FD33">
            <v>2261</v>
          </cell>
          <cell r="FE33">
            <v>5266</v>
          </cell>
          <cell r="FF33">
            <v>7118</v>
          </cell>
          <cell r="FG33">
            <v>7576</v>
          </cell>
          <cell r="FH33">
            <v>4314</v>
          </cell>
          <cell r="FI33"/>
          <cell r="FJ33">
            <v>60</v>
          </cell>
          <cell r="FK33"/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  <cell r="FD37">
            <v>25</v>
          </cell>
          <cell r="FE37">
            <v>58</v>
          </cell>
          <cell r="FF37">
            <v>129</v>
          </cell>
          <cell r="FG37">
            <v>108</v>
          </cell>
          <cell r="FH37">
            <v>44</v>
          </cell>
          <cell r="FI37"/>
          <cell r="FJ37"/>
          <cell r="FK37"/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  <cell r="FD38">
            <v>32</v>
          </cell>
          <cell r="FE38">
            <v>67</v>
          </cell>
          <cell r="FF38">
            <v>135</v>
          </cell>
          <cell r="FG38">
            <v>112</v>
          </cell>
          <cell r="FH38">
            <v>41</v>
          </cell>
          <cell r="FI38"/>
          <cell r="FJ38">
            <v>2</v>
          </cell>
          <cell r="FK38"/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T41">
            <v>85581</v>
          </cell>
          <cell r="EU41">
            <v>95146</v>
          </cell>
          <cell r="EV41">
            <v>84317</v>
          </cell>
          <cell r="EW41">
            <v>69144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H41">
            <v>46429</v>
          </cell>
          <cell r="FI41">
            <v>22364</v>
          </cell>
          <cell r="FJ41">
            <v>12940</v>
          </cell>
          <cell r="FK41">
            <v>0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BG58"/>
        </row>
        <row r="70">
          <cell r="BG70">
            <v>26242</v>
          </cell>
          <cell r="FK70"/>
        </row>
        <row r="71">
          <cell r="BG71">
            <v>44562</v>
          </cell>
          <cell r="FK71"/>
        </row>
        <row r="73">
          <cell r="BG73">
            <v>1540</v>
          </cell>
          <cell r="FK73"/>
        </row>
        <row r="74">
          <cell r="BG74">
            <v>2614</v>
          </cell>
          <cell r="FK74"/>
        </row>
      </sheetData>
      <sheetData sheetId="33"/>
      <sheetData sheetId="34">
        <row r="4">
          <cell r="FK4">
            <v>8</v>
          </cell>
        </row>
        <row r="5">
          <cell r="FK5">
            <v>8</v>
          </cell>
        </row>
        <row r="8">
          <cell r="FK8"/>
        </row>
        <row r="9">
          <cell r="FK9"/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T19">
            <v>4</v>
          </cell>
          <cell r="EU19">
            <v>10</v>
          </cell>
          <cell r="EV19">
            <v>28</v>
          </cell>
          <cell r="EW19">
            <v>16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H19">
            <v>12</v>
          </cell>
          <cell r="FI19">
            <v>20</v>
          </cell>
          <cell r="FJ19">
            <v>2</v>
          </cell>
          <cell r="FK19">
            <v>16</v>
          </cell>
        </row>
        <row r="22">
          <cell r="FK22">
            <v>318</v>
          </cell>
        </row>
        <row r="23">
          <cell r="FK23">
            <v>325</v>
          </cell>
        </row>
        <row r="27">
          <cell r="FK27">
            <v>10</v>
          </cell>
        </row>
        <row r="28">
          <cell r="FK28">
            <v>9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T41">
            <v>184</v>
          </cell>
          <cell r="EU41">
            <v>337</v>
          </cell>
          <cell r="EV41">
            <v>1217</v>
          </cell>
          <cell r="EW41">
            <v>607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H41">
            <v>399</v>
          </cell>
          <cell r="FI41">
            <v>785</v>
          </cell>
          <cell r="FJ41">
            <v>98</v>
          </cell>
          <cell r="FK41">
            <v>643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BG58"/>
        </row>
      </sheetData>
      <sheetData sheetId="35"/>
      <sheetData sheetId="36">
        <row r="4">
          <cell r="FK4">
            <v>144</v>
          </cell>
        </row>
        <row r="5">
          <cell r="FK5">
            <v>143</v>
          </cell>
        </row>
        <row r="8">
          <cell r="FK8"/>
        </row>
        <row r="9">
          <cell r="FK9"/>
        </row>
        <row r="15">
          <cell r="EZ15">
            <v>54</v>
          </cell>
          <cell r="FA15">
            <v>63</v>
          </cell>
          <cell r="FB15">
            <v>48</v>
          </cell>
          <cell r="FC15"/>
          <cell r="FD15"/>
          <cell r="FF15">
            <v>8</v>
          </cell>
          <cell r="FG15">
            <v>13</v>
          </cell>
          <cell r="FH15">
            <v>1</v>
          </cell>
          <cell r="FI15"/>
          <cell r="FJ15"/>
          <cell r="FK15">
            <v>20</v>
          </cell>
        </row>
        <row r="16">
          <cell r="EZ16">
            <v>49</v>
          </cell>
          <cell r="FA16">
            <v>64</v>
          </cell>
          <cell r="FB16">
            <v>50</v>
          </cell>
          <cell r="FC16"/>
          <cell r="FD16"/>
          <cell r="FE16">
            <v>1</v>
          </cell>
          <cell r="FF16">
            <v>8</v>
          </cell>
          <cell r="FG16">
            <v>13</v>
          </cell>
          <cell r="FH16">
            <v>1</v>
          </cell>
          <cell r="FI16"/>
          <cell r="FJ16"/>
          <cell r="FK16">
            <v>21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T19">
            <v>116</v>
          </cell>
          <cell r="EU19">
            <v>126</v>
          </cell>
          <cell r="EV19">
            <v>250</v>
          </cell>
          <cell r="EW19">
            <v>482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H19">
            <v>284</v>
          </cell>
          <cell r="FI19">
            <v>121</v>
          </cell>
          <cell r="FJ19">
            <v>201</v>
          </cell>
          <cell r="FK19">
            <v>328</v>
          </cell>
        </row>
        <row r="22">
          <cell r="FK22">
            <v>8237</v>
          </cell>
        </row>
        <row r="23">
          <cell r="FK23">
            <v>8228</v>
          </cell>
        </row>
        <row r="27">
          <cell r="FK27">
            <v>258</v>
          </cell>
        </row>
        <row r="28">
          <cell r="FK28">
            <v>272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  <cell r="FD32"/>
          <cell r="FE32">
            <v>68</v>
          </cell>
          <cell r="FF32">
            <v>518</v>
          </cell>
          <cell r="FG32">
            <v>887</v>
          </cell>
          <cell r="FH32">
            <v>68</v>
          </cell>
          <cell r="FI32"/>
          <cell r="FJ32"/>
          <cell r="FK32">
            <v>1288</v>
          </cell>
        </row>
        <row r="33">
          <cell r="EZ33">
            <v>2602</v>
          </cell>
          <cell r="FA33">
            <v>3467</v>
          </cell>
          <cell r="FB33">
            <v>2945</v>
          </cell>
          <cell r="FC33"/>
          <cell r="FD33"/>
          <cell r="FE33">
            <v>68</v>
          </cell>
          <cell r="FF33">
            <v>407</v>
          </cell>
          <cell r="FG33">
            <v>856</v>
          </cell>
          <cell r="FH33">
            <v>58</v>
          </cell>
          <cell r="FI33"/>
          <cell r="FJ33"/>
          <cell r="FK33">
            <v>1191</v>
          </cell>
        </row>
        <row r="37">
          <cell r="EZ37">
            <v>33</v>
          </cell>
          <cell r="FA37">
            <v>59</v>
          </cell>
          <cell r="FB37">
            <v>47</v>
          </cell>
          <cell r="FC37"/>
          <cell r="FD37"/>
          <cell r="FE37"/>
          <cell r="FF37">
            <v>8</v>
          </cell>
          <cell r="FG37">
            <v>7</v>
          </cell>
          <cell r="FH37"/>
          <cell r="FI37"/>
          <cell r="FJ37"/>
          <cell r="FK37">
            <v>29</v>
          </cell>
        </row>
        <row r="38">
          <cell r="EZ38">
            <v>26</v>
          </cell>
          <cell r="FA38">
            <v>49</v>
          </cell>
          <cell r="FB38">
            <v>44</v>
          </cell>
          <cell r="FC38"/>
          <cell r="FD38"/>
          <cell r="FE38"/>
          <cell r="FF38">
            <v>3</v>
          </cell>
          <cell r="FG38">
            <v>9</v>
          </cell>
          <cell r="FH38"/>
          <cell r="FI38"/>
          <cell r="FJ38"/>
          <cell r="FK38">
            <v>32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T41">
            <v>7270</v>
          </cell>
          <cell r="EU41">
            <v>7969</v>
          </cell>
          <cell r="EV41">
            <v>15300</v>
          </cell>
          <cell r="EW41">
            <v>26902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H41">
            <v>16916</v>
          </cell>
          <cell r="FI41">
            <v>7353</v>
          </cell>
          <cell r="FJ41">
            <v>12041</v>
          </cell>
          <cell r="FK41">
            <v>18944</v>
          </cell>
        </row>
        <row r="47">
          <cell r="FK47">
            <v>116</v>
          </cell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BK58"/>
        </row>
        <row r="70">
          <cell r="FK70">
            <v>3176</v>
          </cell>
        </row>
        <row r="71">
          <cell r="FK71">
            <v>5052</v>
          </cell>
        </row>
        <row r="73">
          <cell r="FK73">
            <v>460</v>
          </cell>
        </row>
        <row r="74">
          <cell r="FK74">
            <v>731</v>
          </cell>
        </row>
      </sheetData>
      <sheetData sheetId="37">
        <row r="4">
          <cell r="FK4">
            <v>50</v>
          </cell>
        </row>
        <row r="5">
          <cell r="FK5">
            <v>50</v>
          </cell>
        </row>
        <row r="8">
          <cell r="FK8"/>
        </row>
        <row r="9">
          <cell r="FK9"/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T19">
            <v>2</v>
          </cell>
          <cell r="EU19">
            <v>6</v>
          </cell>
          <cell r="EV19">
            <v>2</v>
          </cell>
          <cell r="EW19">
            <v>64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H19">
            <v>10</v>
          </cell>
          <cell r="FI19">
            <v>14</v>
          </cell>
          <cell r="FJ19">
            <v>172</v>
          </cell>
          <cell r="FK19">
            <v>100</v>
          </cell>
        </row>
        <row r="22">
          <cell r="FK22">
            <v>3333</v>
          </cell>
        </row>
        <row r="23">
          <cell r="FK23">
            <v>3163</v>
          </cell>
        </row>
        <row r="27">
          <cell r="FK27">
            <v>76</v>
          </cell>
        </row>
        <row r="28">
          <cell r="FK28">
            <v>53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T41">
            <v>139</v>
          </cell>
          <cell r="EU41">
            <v>375</v>
          </cell>
          <cell r="EV41">
            <v>117</v>
          </cell>
          <cell r="EW41">
            <v>3659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H41">
            <v>634</v>
          </cell>
          <cell r="FI41">
            <v>934</v>
          </cell>
          <cell r="FJ41">
            <v>11532</v>
          </cell>
          <cell r="FK41">
            <v>6496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AJ57"/>
        </row>
        <row r="58">
          <cell r="AJ58"/>
        </row>
      </sheetData>
      <sheetData sheetId="38">
        <row r="4">
          <cell r="FK4">
            <v>80</v>
          </cell>
        </row>
        <row r="5">
          <cell r="FK5">
            <v>80</v>
          </cell>
        </row>
        <row r="8">
          <cell r="FK8"/>
        </row>
        <row r="9">
          <cell r="FK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52</v>
          </cell>
          <cell r="FK19">
            <v>160</v>
          </cell>
        </row>
        <row r="22">
          <cell r="FK22">
            <v>4459</v>
          </cell>
        </row>
        <row r="23">
          <cell r="FK23">
            <v>4592</v>
          </cell>
        </row>
        <row r="27">
          <cell r="FK27">
            <v>204</v>
          </cell>
        </row>
        <row r="28">
          <cell r="FK28">
            <v>129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2954</v>
          </cell>
          <cell r="FK41">
            <v>9051</v>
          </cell>
        </row>
        <row r="47">
          <cell r="FK47">
            <v>3285</v>
          </cell>
        </row>
        <row r="48">
          <cell r="FK48">
            <v>1105</v>
          </cell>
        </row>
        <row r="52">
          <cell r="FK52">
            <v>315</v>
          </cell>
        </row>
        <row r="53">
          <cell r="FK53">
            <v>528</v>
          </cell>
        </row>
        <row r="57">
          <cell r="FK57"/>
        </row>
        <row r="58">
          <cell r="BF58"/>
        </row>
      </sheetData>
      <sheetData sheetId="39">
        <row r="4">
          <cell r="FK4">
            <v>106</v>
          </cell>
        </row>
        <row r="5">
          <cell r="FK5">
            <v>106</v>
          </cell>
        </row>
        <row r="8">
          <cell r="FK8"/>
        </row>
        <row r="9">
          <cell r="FK9"/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T19">
            <v>408</v>
          </cell>
          <cell r="EU19">
            <v>354</v>
          </cell>
          <cell r="EV19">
            <v>392</v>
          </cell>
          <cell r="EW19">
            <v>288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H19">
            <v>288</v>
          </cell>
          <cell r="FI19">
            <v>318</v>
          </cell>
          <cell r="FJ19">
            <v>296</v>
          </cell>
          <cell r="FK19">
            <v>212</v>
          </cell>
        </row>
        <row r="22">
          <cell r="FK22">
            <v>6299</v>
          </cell>
        </row>
        <row r="23">
          <cell r="FK23">
            <v>6775</v>
          </cell>
        </row>
        <row r="27">
          <cell r="FK27">
            <v>215</v>
          </cell>
        </row>
        <row r="28">
          <cell r="FK28">
            <v>135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T41">
            <v>24476</v>
          </cell>
          <cell r="EU41">
            <v>21139</v>
          </cell>
          <cell r="EV41">
            <v>22649</v>
          </cell>
          <cell r="EW41">
            <v>18129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H41">
            <v>14348</v>
          </cell>
          <cell r="FI41">
            <v>18566</v>
          </cell>
          <cell r="FJ41">
            <v>17610</v>
          </cell>
          <cell r="FK41">
            <v>13074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40">
        <row r="4">
          <cell r="FK4"/>
        </row>
        <row r="5">
          <cell r="FK5"/>
        </row>
        <row r="8">
          <cell r="FK8"/>
        </row>
        <row r="9">
          <cell r="FK9"/>
        </row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22">
          <cell r="FK22"/>
        </row>
        <row r="23">
          <cell r="FK23"/>
        </row>
        <row r="27">
          <cell r="FK27"/>
        </row>
        <row r="28">
          <cell r="FK28"/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AJ57"/>
        </row>
        <row r="58">
          <cell r="AJ58"/>
        </row>
      </sheetData>
      <sheetData sheetId="41"/>
      <sheetData sheetId="42">
        <row r="4">
          <cell r="FK4">
            <v>1504</v>
          </cell>
        </row>
        <row r="5">
          <cell r="FK5">
            <v>1505</v>
          </cell>
        </row>
        <row r="8">
          <cell r="FK8">
            <v>1</v>
          </cell>
        </row>
        <row r="9">
          <cell r="FK9">
            <v>1</v>
          </cell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  <cell r="FD15">
            <v>33</v>
          </cell>
          <cell r="FE15">
            <v>66</v>
          </cell>
          <cell r="FF15">
            <v>76</v>
          </cell>
          <cell r="FG15">
            <v>57</v>
          </cell>
          <cell r="FH15">
            <v>51</v>
          </cell>
          <cell r="FI15">
            <v>91</v>
          </cell>
          <cell r="FJ15">
            <v>62</v>
          </cell>
          <cell r="FK15">
            <v>75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  <cell r="FD16">
            <v>31</v>
          </cell>
          <cell r="FE16">
            <v>66</v>
          </cell>
          <cell r="FF16">
            <v>76</v>
          </cell>
          <cell r="FG16">
            <v>67</v>
          </cell>
          <cell r="FH16">
            <v>52</v>
          </cell>
          <cell r="FI16">
            <v>90</v>
          </cell>
          <cell r="FJ16">
            <v>62</v>
          </cell>
          <cell r="FK16">
            <v>75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T19">
            <v>3938</v>
          </cell>
          <cell r="EU19">
            <v>3541</v>
          </cell>
          <cell r="EV19">
            <v>3368</v>
          </cell>
          <cell r="EW19">
            <v>3777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H19">
            <v>2650</v>
          </cell>
          <cell r="FI19">
            <v>2678</v>
          </cell>
          <cell r="FJ19">
            <v>2737</v>
          </cell>
          <cell r="FK19">
            <v>3161</v>
          </cell>
        </row>
        <row r="22">
          <cell r="FK22">
            <v>80938</v>
          </cell>
        </row>
        <row r="23">
          <cell r="FK23">
            <v>79370</v>
          </cell>
        </row>
        <row r="27">
          <cell r="FK27">
            <v>3187</v>
          </cell>
        </row>
        <row r="28">
          <cell r="FK28">
            <v>2976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  <cell r="FD32">
            <v>1820</v>
          </cell>
          <cell r="FE32">
            <v>4341</v>
          </cell>
          <cell r="FF32">
            <v>5230</v>
          </cell>
          <cell r="FG32">
            <v>3854</v>
          </cell>
          <cell r="FH32">
            <v>3415</v>
          </cell>
          <cell r="FI32">
            <v>5868</v>
          </cell>
          <cell r="FJ32">
            <v>4054</v>
          </cell>
          <cell r="FK32">
            <v>4901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  <cell r="FD33">
            <v>2119</v>
          </cell>
          <cell r="FE33">
            <v>4458</v>
          </cell>
          <cell r="FF33">
            <v>4721</v>
          </cell>
          <cell r="FG33">
            <v>4313</v>
          </cell>
          <cell r="FH33">
            <v>3586</v>
          </cell>
          <cell r="FI33">
            <v>6160</v>
          </cell>
          <cell r="FJ33">
            <v>4199</v>
          </cell>
          <cell r="FK33">
            <v>4890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  <cell r="FD37">
            <v>21</v>
          </cell>
          <cell r="FE37">
            <v>59</v>
          </cell>
          <cell r="FF37">
            <v>120</v>
          </cell>
          <cell r="FG37">
            <v>66</v>
          </cell>
          <cell r="FH37">
            <v>52</v>
          </cell>
          <cell r="FI37">
            <v>101</v>
          </cell>
          <cell r="FJ37">
            <v>46</v>
          </cell>
          <cell r="FK37">
            <v>69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  <cell r="FD38">
            <v>26</v>
          </cell>
          <cell r="FE38">
            <v>78</v>
          </cell>
          <cell r="FF38">
            <v>109</v>
          </cell>
          <cell r="FG38">
            <v>91</v>
          </cell>
          <cell r="FH38">
            <v>58</v>
          </cell>
          <cell r="FI38">
            <v>100</v>
          </cell>
          <cell r="FJ38">
            <v>42</v>
          </cell>
          <cell r="FK38">
            <v>60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T41">
            <v>199045</v>
          </cell>
          <cell r="EU41">
            <v>185292</v>
          </cell>
          <cell r="EV41">
            <v>172770</v>
          </cell>
          <cell r="EW41">
            <v>196471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H41">
            <v>129772</v>
          </cell>
          <cell r="FI41">
            <v>138892</v>
          </cell>
          <cell r="FJ41">
            <v>142252</v>
          </cell>
          <cell r="FK41">
            <v>170099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  <row r="70">
          <cell r="FK70">
            <v>29526</v>
          </cell>
        </row>
        <row r="71">
          <cell r="FK71">
            <v>49844</v>
          </cell>
        </row>
        <row r="73">
          <cell r="FK73">
            <v>1819</v>
          </cell>
        </row>
        <row r="74">
          <cell r="FK74">
            <v>3071</v>
          </cell>
        </row>
      </sheetData>
      <sheetData sheetId="43">
        <row r="4">
          <cell r="FK4">
            <v>31</v>
          </cell>
        </row>
        <row r="5">
          <cell r="FK5">
            <v>31</v>
          </cell>
        </row>
        <row r="8">
          <cell r="FK8"/>
        </row>
        <row r="9">
          <cell r="FK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T19">
            <v>8</v>
          </cell>
          <cell r="EU19">
            <v>10</v>
          </cell>
          <cell r="EV19">
            <v>6</v>
          </cell>
          <cell r="EW19">
            <v>6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H19">
            <v>68</v>
          </cell>
          <cell r="FI19">
            <v>113</v>
          </cell>
          <cell r="FJ19">
            <v>111</v>
          </cell>
          <cell r="FK19">
            <v>62</v>
          </cell>
        </row>
        <row r="22">
          <cell r="FK22">
            <v>1495</v>
          </cell>
        </row>
        <row r="23">
          <cell r="FK23">
            <v>1534</v>
          </cell>
        </row>
        <row r="27">
          <cell r="FK27">
            <v>68</v>
          </cell>
        </row>
        <row r="28">
          <cell r="FK28">
            <v>48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T41">
            <v>373</v>
          </cell>
          <cell r="EU41">
            <v>424</v>
          </cell>
          <cell r="EV41">
            <v>192</v>
          </cell>
          <cell r="EW41">
            <v>162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H41">
            <v>3192</v>
          </cell>
          <cell r="FI41">
            <v>5871</v>
          </cell>
          <cell r="FJ41">
            <v>6088</v>
          </cell>
          <cell r="FK41">
            <v>3029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BG58"/>
        </row>
      </sheetData>
      <sheetData sheetId="44">
        <row r="4">
          <cell r="FK4">
            <v>170</v>
          </cell>
        </row>
        <row r="5">
          <cell r="FK5">
            <v>171</v>
          </cell>
        </row>
        <row r="8">
          <cell r="FK8">
            <v>1</v>
          </cell>
        </row>
        <row r="9">
          <cell r="FK9">
            <v>1</v>
          </cell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T19">
            <v>354</v>
          </cell>
          <cell r="EU19">
            <v>316</v>
          </cell>
          <cell r="EV19">
            <v>345</v>
          </cell>
          <cell r="EW19">
            <v>306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H19">
            <v>374</v>
          </cell>
          <cell r="FI19">
            <v>349</v>
          </cell>
          <cell r="FJ19">
            <v>353</v>
          </cell>
          <cell r="FK19">
            <v>343</v>
          </cell>
        </row>
        <row r="22">
          <cell r="FK22">
            <v>9998</v>
          </cell>
        </row>
        <row r="23">
          <cell r="FK23">
            <v>10140</v>
          </cell>
        </row>
        <row r="27">
          <cell r="FK27">
            <v>469</v>
          </cell>
        </row>
        <row r="28">
          <cell r="FK28">
            <v>462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T41">
            <v>18056</v>
          </cell>
          <cell r="EU41">
            <v>15823</v>
          </cell>
          <cell r="EV41">
            <v>14964</v>
          </cell>
          <cell r="EW41">
            <v>13934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H41">
            <v>19091</v>
          </cell>
          <cell r="FI41">
            <v>19496</v>
          </cell>
          <cell r="FJ41">
            <v>20669</v>
          </cell>
          <cell r="FK41">
            <v>20138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45">
        <row r="4">
          <cell r="FK4">
            <v>229</v>
          </cell>
        </row>
        <row r="5">
          <cell r="FK5">
            <v>229</v>
          </cell>
        </row>
        <row r="8">
          <cell r="FK8"/>
        </row>
        <row r="9">
          <cell r="FK9"/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T19">
            <v>218</v>
          </cell>
          <cell r="EU19">
            <v>254</v>
          </cell>
          <cell r="EV19">
            <v>190</v>
          </cell>
          <cell r="EW19">
            <v>228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H19">
            <v>362</v>
          </cell>
          <cell r="FI19">
            <v>366</v>
          </cell>
          <cell r="FJ19">
            <v>388</v>
          </cell>
          <cell r="FK19">
            <v>458</v>
          </cell>
        </row>
        <row r="22">
          <cell r="FK22">
            <v>14713</v>
          </cell>
        </row>
        <row r="23">
          <cell r="FK23">
            <v>14492</v>
          </cell>
        </row>
        <row r="27">
          <cell r="FK27">
            <v>441</v>
          </cell>
        </row>
        <row r="28">
          <cell r="FK28">
            <v>448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T41">
            <v>12675</v>
          </cell>
          <cell r="EU41">
            <v>14247</v>
          </cell>
          <cell r="EV41">
            <v>10814</v>
          </cell>
          <cell r="EW41">
            <v>14180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H41">
            <v>18057</v>
          </cell>
          <cell r="FI41">
            <v>19962</v>
          </cell>
          <cell r="FJ41">
            <v>21543</v>
          </cell>
          <cell r="FK41">
            <v>29205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</sheetData>
      <sheetData sheetId="46">
        <row r="8">
          <cell r="FK8"/>
        </row>
        <row r="9">
          <cell r="FK9"/>
        </row>
        <row r="15">
          <cell r="EZ15"/>
          <cell r="FA15"/>
          <cell r="FB15"/>
          <cell r="FC15"/>
          <cell r="FD15"/>
          <cell r="FE15">
            <v>51</v>
          </cell>
          <cell r="FF15">
            <v>92</v>
          </cell>
          <cell r="FG15">
            <v>89</v>
          </cell>
          <cell r="FH15">
            <v>90</v>
          </cell>
          <cell r="FI15">
            <v>92</v>
          </cell>
          <cell r="FJ15">
            <v>78</v>
          </cell>
          <cell r="FK15">
            <v>81</v>
          </cell>
        </row>
        <row r="16">
          <cell r="EZ16"/>
          <cell r="FA16"/>
          <cell r="FB16"/>
          <cell r="FC16"/>
          <cell r="FD16"/>
          <cell r="FE16">
            <v>51</v>
          </cell>
          <cell r="FF16">
            <v>92</v>
          </cell>
          <cell r="FG16">
            <v>89</v>
          </cell>
          <cell r="FH16">
            <v>90</v>
          </cell>
          <cell r="FI16">
            <v>92</v>
          </cell>
          <cell r="FJ16">
            <v>78</v>
          </cell>
          <cell r="FK16">
            <v>81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H19">
            <v>180</v>
          </cell>
          <cell r="FI19">
            <v>184</v>
          </cell>
          <cell r="FJ19">
            <v>156</v>
          </cell>
          <cell r="FK19">
            <v>162</v>
          </cell>
        </row>
        <row r="32">
          <cell r="EZ32"/>
          <cell r="FA32"/>
          <cell r="FB32"/>
          <cell r="FC32"/>
          <cell r="FD32"/>
          <cell r="FE32">
            <v>3301</v>
          </cell>
          <cell r="FF32">
            <v>6029</v>
          </cell>
          <cell r="FG32">
            <v>5708</v>
          </cell>
          <cell r="FH32">
            <v>5098</v>
          </cell>
          <cell r="FI32">
            <v>5381</v>
          </cell>
          <cell r="FJ32">
            <v>4302</v>
          </cell>
          <cell r="FK32">
            <v>4230</v>
          </cell>
        </row>
        <row r="33">
          <cell r="EZ33"/>
          <cell r="FA33"/>
          <cell r="FB33"/>
          <cell r="FC33"/>
          <cell r="FD33"/>
          <cell r="FE33">
            <v>3307</v>
          </cell>
          <cell r="FF33">
            <v>5362</v>
          </cell>
          <cell r="FG33">
            <v>5406</v>
          </cell>
          <cell r="FH33">
            <v>5001</v>
          </cell>
          <cell r="FI33">
            <v>4854</v>
          </cell>
          <cell r="FJ33">
            <v>3997</v>
          </cell>
          <cell r="FK33">
            <v>4021</v>
          </cell>
        </row>
        <row r="37">
          <cell r="EZ37"/>
          <cell r="FA37"/>
          <cell r="FB37"/>
          <cell r="FC37"/>
          <cell r="FD37"/>
          <cell r="FE37">
            <v>15</v>
          </cell>
          <cell r="FF37">
            <v>75</v>
          </cell>
          <cell r="FG37">
            <v>60</v>
          </cell>
          <cell r="FH37">
            <v>45</v>
          </cell>
          <cell r="FI37">
            <v>62</v>
          </cell>
          <cell r="FJ37">
            <v>30</v>
          </cell>
          <cell r="FK37">
            <v>42</v>
          </cell>
        </row>
        <row r="38">
          <cell r="EZ38"/>
          <cell r="FA38"/>
          <cell r="FB38"/>
          <cell r="FC38"/>
          <cell r="FD38"/>
          <cell r="FE38">
            <v>22</v>
          </cell>
          <cell r="FF38">
            <v>72</v>
          </cell>
          <cell r="FG38">
            <v>62</v>
          </cell>
          <cell r="FH38">
            <v>57</v>
          </cell>
          <cell r="FI38">
            <v>50</v>
          </cell>
          <cell r="FJ38">
            <v>38</v>
          </cell>
          <cell r="FK38">
            <v>37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H41">
            <v>10099</v>
          </cell>
          <cell r="FI41">
            <v>10235</v>
          </cell>
          <cell r="FJ41">
            <v>8299</v>
          </cell>
          <cell r="FK41">
            <v>8251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</sheetData>
      <sheetData sheetId="47">
        <row r="4">
          <cell r="FK4">
            <v>3095</v>
          </cell>
        </row>
        <row r="5">
          <cell r="FK5">
            <v>3082</v>
          </cell>
        </row>
        <row r="8">
          <cell r="FK8"/>
        </row>
        <row r="9">
          <cell r="FK9">
            <v>11</v>
          </cell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  <cell r="FD15">
            <v>231</v>
          </cell>
          <cell r="FE15">
            <v>181</v>
          </cell>
          <cell r="FF15">
            <v>144</v>
          </cell>
          <cell r="FG15">
            <v>142</v>
          </cell>
          <cell r="FH15">
            <v>137</v>
          </cell>
          <cell r="FI15">
            <v>205</v>
          </cell>
          <cell r="FJ15">
            <v>193</v>
          </cell>
          <cell r="FK15">
            <v>222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  <cell r="FD16">
            <v>231</v>
          </cell>
          <cell r="FE16">
            <v>179</v>
          </cell>
          <cell r="FF16">
            <v>139</v>
          </cell>
          <cell r="FG16">
            <v>128</v>
          </cell>
          <cell r="FH16">
            <v>136</v>
          </cell>
          <cell r="FI16">
            <v>205</v>
          </cell>
          <cell r="FJ16">
            <v>189</v>
          </cell>
          <cell r="FK16">
            <v>222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T19">
            <v>4708</v>
          </cell>
          <cell r="EU19">
            <v>5654</v>
          </cell>
          <cell r="EV19">
            <v>4944</v>
          </cell>
          <cell r="EW19">
            <v>5054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H19">
            <v>5949</v>
          </cell>
          <cell r="FI19">
            <v>7052</v>
          </cell>
          <cell r="FJ19">
            <v>6474</v>
          </cell>
          <cell r="FK19">
            <v>6632</v>
          </cell>
        </row>
        <row r="22">
          <cell r="FK22">
            <v>140659</v>
          </cell>
        </row>
        <row r="23">
          <cell r="FK23">
            <v>137209</v>
          </cell>
        </row>
        <row r="27">
          <cell r="FK27">
            <v>5187</v>
          </cell>
        </row>
        <row r="28">
          <cell r="FK28">
            <v>5236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  <cell r="FD32">
            <v>14022</v>
          </cell>
          <cell r="FE32">
            <v>11083</v>
          </cell>
          <cell r="FF32">
            <v>9342</v>
          </cell>
          <cell r="FG32">
            <v>9716</v>
          </cell>
          <cell r="FH32">
            <v>8148</v>
          </cell>
          <cell r="FI32">
            <v>12775</v>
          </cell>
          <cell r="FJ32">
            <v>12103</v>
          </cell>
          <cell r="FK32">
            <v>13476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  <cell r="FD33">
            <v>14756</v>
          </cell>
          <cell r="FE33">
            <v>11381</v>
          </cell>
          <cell r="FF33">
            <v>8464</v>
          </cell>
          <cell r="FG33">
            <v>8358</v>
          </cell>
          <cell r="FH33">
            <v>8523</v>
          </cell>
          <cell r="FI33">
            <v>12291</v>
          </cell>
          <cell r="FJ33">
            <v>11336</v>
          </cell>
          <cell r="FK33">
            <v>13245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  <cell r="FD37">
            <v>151</v>
          </cell>
          <cell r="FE37">
            <v>119</v>
          </cell>
          <cell r="FF37">
            <v>178</v>
          </cell>
          <cell r="FG37">
            <v>113</v>
          </cell>
          <cell r="FH37">
            <v>86</v>
          </cell>
          <cell r="FI37">
            <v>114</v>
          </cell>
          <cell r="FJ37">
            <v>106</v>
          </cell>
          <cell r="FK37">
            <v>107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  <cell r="FD38">
            <v>9</v>
          </cell>
          <cell r="FE38">
            <v>176</v>
          </cell>
          <cell r="FF38">
            <v>136</v>
          </cell>
          <cell r="FG38">
            <v>105</v>
          </cell>
          <cell r="FH38">
            <v>83</v>
          </cell>
          <cell r="FI38">
            <v>93</v>
          </cell>
          <cell r="FJ38">
            <v>96</v>
          </cell>
          <cell r="FK38">
            <v>137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T41">
            <v>195393</v>
          </cell>
          <cell r="EU41">
            <v>271247</v>
          </cell>
          <cell r="EV41">
            <v>231903</v>
          </cell>
          <cell r="EW41">
            <v>239623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H41">
            <v>278404</v>
          </cell>
          <cell r="FI41">
            <v>341545</v>
          </cell>
          <cell r="FJ41">
            <v>308786</v>
          </cell>
          <cell r="FK41">
            <v>304589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  <row r="70">
          <cell r="FK70">
            <v>45691</v>
          </cell>
        </row>
        <row r="71">
          <cell r="FK71">
            <v>91518</v>
          </cell>
        </row>
        <row r="73">
          <cell r="FK73">
            <v>4411</v>
          </cell>
        </row>
        <row r="74">
          <cell r="FK74">
            <v>8834</v>
          </cell>
        </row>
      </sheetData>
      <sheetData sheetId="48">
        <row r="4">
          <cell r="FK4">
            <v>109</v>
          </cell>
        </row>
        <row r="5">
          <cell r="FK5">
            <v>109</v>
          </cell>
        </row>
        <row r="8">
          <cell r="FK8"/>
        </row>
        <row r="9">
          <cell r="FK9"/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T19">
            <v>296</v>
          </cell>
          <cell r="EU19">
            <v>322</v>
          </cell>
          <cell r="EV19">
            <v>280</v>
          </cell>
          <cell r="EW19">
            <v>236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H19">
            <v>180</v>
          </cell>
          <cell r="FI19">
            <v>380</v>
          </cell>
          <cell r="FJ19">
            <v>232</v>
          </cell>
          <cell r="FK19">
            <v>218</v>
          </cell>
        </row>
        <row r="22">
          <cell r="FK22">
            <v>6858</v>
          </cell>
        </row>
        <row r="23">
          <cell r="FK23">
            <v>6672</v>
          </cell>
        </row>
        <row r="27">
          <cell r="FK27">
            <v>166</v>
          </cell>
        </row>
        <row r="28">
          <cell r="FK28">
            <v>214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T41">
            <v>19969</v>
          </cell>
          <cell r="EU41">
            <v>22164</v>
          </cell>
          <cell r="EV41">
            <v>19157</v>
          </cell>
          <cell r="EW41">
            <v>15834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H41">
            <v>11573</v>
          </cell>
          <cell r="FI41">
            <v>24437</v>
          </cell>
          <cell r="FJ41">
            <v>15393</v>
          </cell>
          <cell r="FK41">
            <v>13530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</row>
      </sheetData>
      <sheetData sheetId="50">
        <row r="4">
          <cell r="FK4">
            <v>1</v>
          </cell>
        </row>
        <row r="5">
          <cell r="FK5">
            <v>1</v>
          </cell>
        </row>
        <row r="8">
          <cell r="FK8"/>
        </row>
        <row r="9">
          <cell r="FK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H19">
            <v>0</v>
          </cell>
          <cell r="FI19">
            <v>90</v>
          </cell>
          <cell r="FJ19">
            <v>14</v>
          </cell>
          <cell r="FK19">
            <v>2</v>
          </cell>
        </row>
        <row r="22">
          <cell r="FK22">
            <v>44</v>
          </cell>
        </row>
        <row r="23">
          <cell r="FK23"/>
        </row>
        <row r="27">
          <cell r="FK27">
            <v>2</v>
          </cell>
        </row>
        <row r="28">
          <cell r="FK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H41">
            <v>0</v>
          </cell>
          <cell r="FI41">
            <v>5887</v>
          </cell>
          <cell r="FJ41">
            <v>853</v>
          </cell>
          <cell r="FK41">
            <v>44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</sheetData>
      <sheetData sheetId="51">
        <row r="4">
          <cell r="FK4">
            <v>73</v>
          </cell>
        </row>
        <row r="5">
          <cell r="FK5">
            <v>73</v>
          </cell>
        </row>
        <row r="8">
          <cell r="FK8"/>
        </row>
        <row r="9">
          <cell r="FK9"/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T19">
            <v>60</v>
          </cell>
          <cell r="EU19">
            <v>62</v>
          </cell>
          <cell r="EV19">
            <v>60</v>
          </cell>
          <cell r="EW19">
            <v>60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H19">
            <v>180</v>
          </cell>
          <cell r="FI19">
            <v>184</v>
          </cell>
          <cell r="FJ19">
            <v>182</v>
          </cell>
          <cell r="FK19">
            <v>146</v>
          </cell>
        </row>
        <row r="22">
          <cell r="FK22">
            <v>4411</v>
          </cell>
        </row>
        <row r="23">
          <cell r="FK23">
            <v>4677</v>
          </cell>
        </row>
        <row r="27">
          <cell r="FK27">
            <v>120</v>
          </cell>
        </row>
        <row r="28">
          <cell r="FK28">
            <v>129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T41">
            <v>4155</v>
          </cell>
          <cell r="EU41">
            <v>4340</v>
          </cell>
          <cell r="EV41">
            <v>4124</v>
          </cell>
          <cell r="EW41">
            <v>3996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H41">
            <v>10732</v>
          </cell>
          <cell r="FI41">
            <v>11704</v>
          </cell>
          <cell r="FJ41">
            <v>11389</v>
          </cell>
          <cell r="FK41">
            <v>9088</v>
          </cell>
        </row>
        <row r="47">
          <cell r="FK47">
            <v>2018</v>
          </cell>
        </row>
        <row r="48">
          <cell r="FK48">
            <v>1225</v>
          </cell>
        </row>
        <row r="52">
          <cell r="FK52">
            <v>33</v>
          </cell>
        </row>
        <row r="53">
          <cell r="FK53">
            <v>334</v>
          </cell>
        </row>
        <row r="57">
          <cell r="FK57"/>
        </row>
        <row r="58">
          <cell r="FK58"/>
        </row>
      </sheetData>
      <sheetData sheetId="52">
        <row r="4">
          <cell r="FK4">
            <v>66</v>
          </cell>
        </row>
        <row r="5">
          <cell r="FK5">
            <v>66</v>
          </cell>
        </row>
        <row r="8">
          <cell r="FK8"/>
        </row>
        <row r="9">
          <cell r="FK9"/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T19">
            <v>160</v>
          </cell>
          <cell r="EU19">
            <v>186</v>
          </cell>
          <cell r="EV19">
            <v>170</v>
          </cell>
          <cell r="EW19">
            <v>356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132</v>
          </cell>
        </row>
        <row r="22">
          <cell r="FK22">
            <v>4146</v>
          </cell>
        </row>
        <row r="23">
          <cell r="FK23">
            <v>3864</v>
          </cell>
        </row>
        <row r="27">
          <cell r="FK27">
            <v>205</v>
          </cell>
        </row>
        <row r="28">
          <cell r="FK28">
            <v>179</v>
          </cell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T41">
            <v>10472</v>
          </cell>
          <cell r="EU41">
            <v>11986</v>
          </cell>
          <cell r="EV41">
            <v>10846</v>
          </cell>
          <cell r="EW41">
            <v>21317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8010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BH58"/>
        </row>
        <row r="70">
          <cell r="FK70">
            <v>2009</v>
          </cell>
        </row>
        <row r="71">
          <cell r="FK71">
            <v>1855</v>
          </cell>
        </row>
        <row r="73">
          <cell r="FK73"/>
        </row>
        <row r="74">
          <cell r="FK74"/>
        </row>
      </sheetData>
      <sheetData sheetId="53">
        <row r="4">
          <cell r="FK4"/>
        </row>
        <row r="5">
          <cell r="FK5"/>
        </row>
        <row r="8">
          <cell r="FK8"/>
        </row>
        <row r="9">
          <cell r="FK9"/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T19">
            <v>42</v>
          </cell>
          <cell r="EU19">
            <v>22</v>
          </cell>
          <cell r="EV19">
            <v>44</v>
          </cell>
          <cell r="EW19">
            <v>16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22">
          <cell r="FK22"/>
        </row>
        <row r="23">
          <cell r="FK23"/>
        </row>
        <row r="27">
          <cell r="FK27"/>
        </row>
        <row r="28">
          <cell r="FK28"/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T41">
            <v>1937</v>
          </cell>
          <cell r="EU41">
            <v>1256</v>
          </cell>
          <cell r="EV41">
            <v>2339</v>
          </cell>
          <cell r="EW41">
            <v>981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BG58"/>
        </row>
      </sheetData>
      <sheetData sheetId="54"/>
      <sheetData sheetId="55"/>
      <sheetData sheetId="56"/>
      <sheetData sheetId="57">
        <row r="4">
          <cell r="FK4"/>
        </row>
        <row r="5">
          <cell r="FK5"/>
        </row>
        <row r="15">
          <cell r="EZ15"/>
          <cell r="FA15"/>
          <cell r="FB15"/>
          <cell r="FC15"/>
          <cell r="FD15"/>
          <cell r="FF15"/>
          <cell r="FG15"/>
          <cell r="FH15"/>
          <cell r="FI15"/>
          <cell r="FJ15"/>
          <cell r="FK15"/>
        </row>
        <row r="16">
          <cell r="EZ16"/>
          <cell r="FA16"/>
          <cell r="FB16"/>
          <cell r="FC16"/>
          <cell r="FD16"/>
          <cell r="FF16"/>
          <cell r="FG16"/>
          <cell r="FH16"/>
          <cell r="FI16"/>
          <cell r="FJ16"/>
          <cell r="FK16"/>
        </row>
        <row r="22">
          <cell r="FK22"/>
        </row>
        <row r="23">
          <cell r="FK23"/>
        </row>
        <row r="32">
          <cell r="EZ32"/>
          <cell r="FA32"/>
          <cell r="FB32"/>
          <cell r="FC32"/>
          <cell r="FD32"/>
          <cell r="FE32"/>
          <cell r="FF32"/>
          <cell r="FG32"/>
          <cell r="FH32"/>
          <cell r="FI32"/>
          <cell r="FJ32"/>
          <cell r="FK32"/>
        </row>
        <row r="33">
          <cell r="EZ33"/>
          <cell r="FA33"/>
          <cell r="FB33"/>
          <cell r="FC33"/>
          <cell r="FD33"/>
          <cell r="FE33"/>
          <cell r="FF33"/>
          <cell r="FG33"/>
          <cell r="FH33"/>
          <cell r="FI33"/>
          <cell r="FJ33"/>
          <cell r="FK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</row>
      </sheetData>
      <sheetData sheetId="58">
        <row r="4">
          <cell r="FK4"/>
        </row>
        <row r="5">
          <cell r="FK5"/>
        </row>
        <row r="15">
          <cell r="FK15"/>
        </row>
        <row r="16">
          <cell r="FK16"/>
        </row>
        <row r="22">
          <cell r="FK22"/>
        </row>
        <row r="23">
          <cell r="FK23"/>
        </row>
        <row r="32">
          <cell r="FK32"/>
        </row>
        <row r="33">
          <cell r="FK33"/>
        </row>
      </sheetData>
      <sheetData sheetId="59">
        <row r="15">
          <cell r="EZ15"/>
          <cell r="FA15">
            <v>1</v>
          </cell>
          <cell r="FB15"/>
          <cell r="FC15"/>
          <cell r="FD15"/>
          <cell r="FF15"/>
          <cell r="FG15"/>
          <cell r="FH15">
            <v>2</v>
          </cell>
          <cell r="FI15"/>
          <cell r="FJ15"/>
          <cell r="FK15"/>
        </row>
        <row r="16">
          <cell r="EZ16"/>
          <cell r="FA16">
            <v>1</v>
          </cell>
          <cell r="FB16"/>
          <cell r="FC16"/>
          <cell r="FD16"/>
          <cell r="FF16"/>
          <cell r="FG16"/>
          <cell r="FH16">
            <v>1</v>
          </cell>
          <cell r="FI16"/>
          <cell r="FJ16"/>
          <cell r="FK16"/>
        </row>
        <row r="32">
          <cell r="EZ32"/>
          <cell r="FA32">
            <v>103</v>
          </cell>
          <cell r="FB32"/>
          <cell r="FC32"/>
          <cell r="FD32"/>
          <cell r="FE32"/>
          <cell r="FF32"/>
          <cell r="FG32"/>
          <cell r="FH32">
            <v>162</v>
          </cell>
          <cell r="FI32"/>
          <cell r="FJ32"/>
          <cell r="FK32"/>
        </row>
        <row r="33">
          <cell r="EZ33"/>
          <cell r="FA33">
            <v>102</v>
          </cell>
          <cell r="FB33"/>
          <cell r="FC33"/>
          <cell r="FD33"/>
          <cell r="FE33"/>
          <cell r="FF33"/>
          <cell r="FG33"/>
          <cell r="FH33">
            <v>180</v>
          </cell>
          <cell r="FI33"/>
          <cell r="FJ33"/>
          <cell r="FK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</row>
      </sheetData>
      <sheetData sheetId="60"/>
      <sheetData sheetId="61">
        <row r="4">
          <cell r="FK4">
            <v>1</v>
          </cell>
        </row>
        <row r="5">
          <cell r="FK5">
            <v>1</v>
          </cell>
        </row>
        <row r="15">
          <cell r="EZ15"/>
          <cell r="FA15"/>
          <cell r="FB15"/>
          <cell r="FC15"/>
          <cell r="FD15"/>
          <cell r="FE15">
            <v>1</v>
          </cell>
          <cell r="FF15">
            <v>1</v>
          </cell>
          <cell r="FG15"/>
          <cell r="FH15"/>
          <cell r="FI15"/>
          <cell r="FJ15"/>
          <cell r="FK15"/>
        </row>
        <row r="16">
          <cell r="EZ16"/>
          <cell r="FA16"/>
          <cell r="FB16"/>
          <cell r="FC16"/>
          <cell r="FD16">
            <v>1</v>
          </cell>
          <cell r="FE16">
            <v>2</v>
          </cell>
          <cell r="FF16">
            <v>1</v>
          </cell>
          <cell r="FG16"/>
          <cell r="FH16"/>
          <cell r="FI16"/>
          <cell r="FJ16"/>
          <cell r="FK16"/>
        </row>
        <row r="22">
          <cell r="FK22">
            <v>150</v>
          </cell>
        </row>
        <row r="23">
          <cell r="FK23">
            <v>150</v>
          </cell>
        </row>
        <row r="32">
          <cell r="EZ32"/>
          <cell r="FA32"/>
          <cell r="FB32"/>
          <cell r="FC32"/>
          <cell r="FD32"/>
          <cell r="FE32">
            <v>340</v>
          </cell>
          <cell r="FF32"/>
          <cell r="FG32">
            <v>105</v>
          </cell>
          <cell r="FH32"/>
          <cell r="FI32"/>
          <cell r="FJ32"/>
          <cell r="FK32"/>
        </row>
        <row r="33">
          <cell r="EZ33"/>
          <cell r="FA33"/>
          <cell r="FB33"/>
          <cell r="FC33"/>
          <cell r="FD33">
            <v>240</v>
          </cell>
          <cell r="FE33">
            <v>336</v>
          </cell>
          <cell r="FF33"/>
          <cell r="FG33"/>
          <cell r="FH33"/>
          <cell r="FI33"/>
          <cell r="FJ33"/>
          <cell r="FK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  <cell r="FJ37"/>
          <cell r="FK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</row>
      </sheetData>
      <sheetData sheetId="62"/>
      <sheetData sheetId="63">
        <row r="4">
          <cell r="FK4">
            <v>24</v>
          </cell>
        </row>
        <row r="5">
          <cell r="FK5">
            <v>24</v>
          </cell>
        </row>
        <row r="19">
          <cell r="EL19">
            <v>42</v>
          </cell>
          <cell r="EM19">
            <v>42</v>
          </cell>
          <cell r="EN19">
            <v>46</v>
          </cell>
          <cell r="EO19">
            <v>42</v>
          </cell>
          <cell r="EP19">
            <v>44</v>
          </cell>
          <cell r="EQ19">
            <v>44</v>
          </cell>
          <cell r="ER19">
            <v>44</v>
          </cell>
          <cell r="ES19">
            <v>46</v>
          </cell>
          <cell r="ET19">
            <v>40</v>
          </cell>
          <cell r="EU19">
            <v>42</v>
          </cell>
          <cell r="EV19">
            <v>40</v>
          </cell>
          <cell r="EW19">
            <v>46</v>
          </cell>
          <cell r="EZ19">
            <v>44</v>
          </cell>
          <cell r="FA19">
            <v>40</v>
          </cell>
          <cell r="FB19">
            <v>44</v>
          </cell>
          <cell r="FC19">
            <v>40</v>
          </cell>
          <cell r="FD19">
            <v>44</v>
          </cell>
          <cell r="FE19">
            <v>46</v>
          </cell>
          <cell r="FF19">
            <v>44</v>
          </cell>
          <cell r="FG19">
            <v>44</v>
          </cell>
          <cell r="FH19">
            <v>42</v>
          </cell>
          <cell r="FI19">
            <v>44</v>
          </cell>
          <cell r="FJ19">
            <v>50</v>
          </cell>
          <cell r="FK19">
            <v>48</v>
          </cell>
        </row>
        <row r="47">
          <cell r="FK47">
            <v>761777</v>
          </cell>
        </row>
        <row r="48">
          <cell r="FK48"/>
        </row>
        <row r="52">
          <cell r="FK52">
            <v>531434</v>
          </cell>
        </row>
        <row r="53">
          <cell r="FK53"/>
        </row>
        <row r="57">
          <cell r="FK57"/>
        </row>
        <row r="58">
          <cell r="FK58"/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P64">
            <v>1131610</v>
          </cell>
          <cell r="EQ64">
            <v>1229056</v>
          </cell>
          <cell r="ER64">
            <v>1109987</v>
          </cell>
          <cell r="ES64">
            <v>1192894</v>
          </cell>
          <cell r="ET64">
            <v>1113768</v>
          </cell>
          <cell r="EU64">
            <v>1199576</v>
          </cell>
          <cell r="EV64">
            <v>1140797</v>
          </cell>
          <cell r="EW64">
            <v>1284720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H64">
            <v>1236485</v>
          </cell>
          <cell r="FI64">
            <v>1254153</v>
          </cell>
          <cell r="FJ64">
            <v>1315598</v>
          </cell>
          <cell r="FK64">
            <v>1293211</v>
          </cell>
        </row>
      </sheetData>
      <sheetData sheetId="64">
        <row r="4">
          <cell r="FK4">
            <v>17</v>
          </cell>
        </row>
        <row r="5">
          <cell r="FK5">
            <v>19</v>
          </cell>
        </row>
        <row r="15">
          <cell r="FK15"/>
        </row>
        <row r="19">
          <cell r="EL19">
            <v>60</v>
          </cell>
          <cell r="EM19">
            <v>60</v>
          </cell>
          <cell r="EN19">
            <v>72</v>
          </cell>
          <cell r="EO19">
            <v>68</v>
          </cell>
          <cell r="EP19">
            <v>64</v>
          </cell>
          <cell r="EQ19">
            <v>70</v>
          </cell>
          <cell r="ER19">
            <v>62</v>
          </cell>
          <cell r="ES19">
            <v>68</v>
          </cell>
          <cell r="ET19">
            <v>70</v>
          </cell>
          <cell r="EU19">
            <v>58</v>
          </cell>
          <cell r="EV19">
            <v>64</v>
          </cell>
          <cell r="EW19">
            <v>73</v>
          </cell>
          <cell r="EZ19">
            <v>62</v>
          </cell>
          <cell r="FA19">
            <v>64</v>
          </cell>
          <cell r="FB19">
            <v>72</v>
          </cell>
          <cell r="FC19">
            <v>60</v>
          </cell>
          <cell r="FD19">
            <v>66</v>
          </cell>
          <cell r="FE19">
            <v>46</v>
          </cell>
          <cell r="FF19">
            <v>32</v>
          </cell>
          <cell r="FG19">
            <v>38</v>
          </cell>
          <cell r="FH19">
            <v>34</v>
          </cell>
          <cell r="FI19">
            <v>36</v>
          </cell>
          <cell r="FJ19">
            <v>32</v>
          </cell>
          <cell r="FK19">
            <v>36</v>
          </cell>
        </row>
        <row r="47">
          <cell r="FK47">
            <v>11431</v>
          </cell>
        </row>
        <row r="48">
          <cell r="FK48"/>
        </row>
        <row r="52">
          <cell r="FK52">
            <v>11085</v>
          </cell>
        </row>
        <row r="53">
          <cell r="FK53"/>
        </row>
        <row r="57">
          <cell r="FK57"/>
        </row>
        <row r="58">
          <cell r="FK58"/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P64">
            <v>94852</v>
          </cell>
          <cell r="EQ64">
            <v>92211</v>
          </cell>
          <cell r="ER64">
            <v>75539</v>
          </cell>
          <cell r="ES64">
            <v>103519</v>
          </cell>
          <cell r="ET64">
            <v>114274</v>
          </cell>
          <cell r="EU64">
            <v>91623</v>
          </cell>
          <cell r="EV64">
            <v>85571</v>
          </cell>
          <cell r="EW64">
            <v>99831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H64">
            <v>22194</v>
          </cell>
          <cell r="FI64">
            <v>17704</v>
          </cell>
          <cell r="FJ64">
            <v>16454</v>
          </cell>
          <cell r="FK64">
            <v>22516</v>
          </cell>
        </row>
      </sheetData>
      <sheetData sheetId="65">
        <row r="15">
          <cell r="FK15"/>
        </row>
        <row r="16">
          <cell r="FK16"/>
        </row>
        <row r="19">
          <cell r="EL19">
            <v>42</v>
          </cell>
          <cell r="EM19">
            <v>42</v>
          </cell>
          <cell r="EN19">
            <v>42</v>
          </cell>
          <cell r="EO19">
            <v>38</v>
          </cell>
          <cell r="EP19">
            <v>46</v>
          </cell>
          <cell r="EQ19">
            <v>44</v>
          </cell>
          <cell r="ER19">
            <v>40</v>
          </cell>
          <cell r="ES19">
            <v>46</v>
          </cell>
          <cell r="ET19">
            <v>36</v>
          </cell>
          <cell r="EU19">
            <v>44</v>
          </cell>
          <cell r="EV19">
            <v>46</v>
          </cell>
          <cell r="EW19">
            <v>38</v>
          </cell>
          <cell r="EZ19">
            <v>44</v>
          </cell>
          <cell r="FA19">
            <v>40</v>
          </cell>
          <cell r="FB19">
            <v>46</v>
          </cell>
          <cell r="FC19">
            <v>42</v>
          </cell>
          <cell r="FD19">
            <v>48</v>
          </cell>
          <cell r="FE19">
            <v>46</v>
          </cell>
          <cell r="FF19">
            <v>40</v>
          </cell>
          <cell r="FG19">
            <v>46</v>
          </cell>
          <cell r="FH19">
            <v>4</v>
          </cell>
          <cell r="FI19">
            <v>0</v>
          </cell>
          <cell r="FJ19">
            <v>0</v>
          </cell>
          <cell r="FK19">
            <v>0</v>
          </cell>
        </row>
        <row r="47">
          <cell r="FK47"/>
        </row>
        <row r="48">
          <cell r="FK48"/>
        </row>
        <row r="52">
          <cell r="FK52"/>
        </row>
        <row r="53">
          <cell r="FK53"/>
        </row>
        <row r="57">
          <cell r="FK57"/>
        </row>
        <row r="58">
          <cell r="FK58"/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P64">
            <v>98228</v>
          </cell>
          <cell r="EQ64">
            <v>96082</v>
          </cell>
          <cell r="ER64">
            <v>92987</v>
          </cell>
          <cell r="ES64">
            <v>98475</v>
          </cell>
          <cell r="ET64">
            <v>78507</v>
          </cell>
          <cell r="EU64">
            <v>99632</v>
          </cell>
          <cell r="EV64">
            <v>99943</v>
          </cell>
          <cell r="EW64">
            <v>91086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H64">
            <v>1488</v>
          </cell>
          <cell r="FI64">
            <v>0</v>
          </cell>
          <cell r="FJ64">
            <v>0</v>
          </cell>
          <cell r="FK64">
            <v>0</v>
          </cell>
        </row>
      </sheetData>
      <sheetData sheetId="66">
        <row r="4">
          <cell r="FK4">
            <v>151</v>
          </cell>
        </row>
        <row r="5">
          <cell r="FK5">
            <v>151</v>
          </cell>
        </row>
        <row r="15">
          <cell r="FK15"/>
        </row>
        <row r="19">
          <cell r="EL19">
            <v>168</v>
          </cell>
          <cell r="EM19">
            <v>158</v>
          </cell>
          <cell r="EN19">
            <v>186</v>
          </cell>
          <cell r="EO19">
            <v>166</v>
          </cell>
          <cell r="EP19">
            <v>164</v>
          </cell>
          <cell r="EQ19">
            <v>180</v>
          </cell>
          <cell r="ER19">
            <v>184</v>
          </cell>
          <cell r="ES19">
            <v>192</v>
          </cell>
          <cell r="ET19">
            <v>194</v>
          </cell>
          <cell r="EU19">
            <v>184</v>
          </cell>
          <cell r="EV19">
            <v>220</v>
          </cell>
          <cell r="EW19">
            <v>346</v>
          </cell>
          <cell r="EZ19">
            <v>176</v>
          </cell>
          <cell r="FA19">
            <v>168</v>
          </cell>
          <cell r="FB19">
            <v>198</v>
          </cell>
          <cell r="FC19">
            <v>176</v>
          </cell>
          <cell r="FD19">
            <v>173</v>
          </cell>
          <cell r="FE19">
            <v>176</v>
          </cell>
          <cell r="FF19">
            <v>120</v>
          </cell>
          <cell r="FG19">
            <v>280</v>
          </cell>
          <cell r="FH19">
            <v>250</v>
          </cell>
          <cell r="FI19">
            <v>262</v>
          </cell>
          <cell r="FJ19">
            <v>264</v>
          </cell>
          <cell r="FK19">
            <v>302</v>
          </cell>
        </row>
        <row r="47">
          <cell r="FK47">
            <v>8824752</v>
          </cell>
        </row>
        <row r="48">
          <cell r="FK48"/>
        </row>
        <row r="52">
          <cell r="FK52">
            <v>9191458</v>
          </cell>
        </row>
        <row r="53">
          <cell r="FK53"/>
        </row>
        <row r="57">
          <cell r="FK57"/>
        </row>
        <row r="58">
          <cell r="FK58"/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P64">
            <v>16172210</v>
          </cell>
          <cell r="EQ64">
            <v>17428529</v>
          </cell>
          <cell r="ER64">
            <v>15618759</v>
          </cell>
          <cell r="ES64">
            <v>16777347</v>
          </cell>
          <cell r="ET64">
            <v>17375347</v>
          </cell>
          <cell r="EU64">
            <v>17375913</v>
          </cell>
          <cell r="EV64">
            <v>17332967</v>
          </cell>
          <cell r="EW64">
            <v>18995074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H64">
            <v>17069539</v>
          </cell>
          <cell r="FI64">
            <v>17545340</v>
          </cell>
          <cell r="FJ64">
            <v>17525940</v>
          </cell>
          <cell r="FK64">
            <v>18016210</v>
          </cell>
        </row>
      </sheetData>
      <sheetData sheetId="67">
        <row r="4">
          <cell r="FK4">
            <v>167</v>
          </cell>
        </row>
        <row r="5">
          <cell r="FK5">
            <v>167</v>
          </cell>
        </row>
        <row r="15">
          <cell r="FK15">
            <v>11</v>
          </cell>
        </row>
        <row r="16">
          <cell r="FK16">
            <v>11</v>
          </cell>
        </row>
        <row r="19">
          <cell r="EL19">
            <v>194</v>
          </cell>
          <cell r="EM19">
            <v>188</v>
          </cell>
          <cell r="EN19">
            <v>216</v>
          </cell>
          <cell r="EO19">
            <v>196</v>
          </cell>
          <cell r="EP19">
            <v>170</v>
          </cell>
          <cell r="EQ19">
            <v>216</v>
          </cell>
          <cell r="ER19">
            <v>208</v>
          </cell>
          <cell r="ES19">
            <v>228</v>
          </cell>
          <cell r="ET19">
            <v>226</v>
          </cell>
          <cell r="EU19">
            <v>216</v>
          </cell>
          <cell r="EV19">
            <v>244</v>
          </cell>
          <cell r="EW19">
            <v>338</v>
          </cell>
          <cell r="EZ19">
            <v>210</v>
          </cell>
          <cell r="FA19">
            <v>196</v>
          </cell>
          <cell r="FB19">
            <v>240</v>
          </cell>
          <cell r="FC19">
            <v>212</v>
          </cell>
          <cell r="FD19">
            <v>230</v>
          </cell>
          <cell r="FE19">
            <v>232</v>
          </cell>
          <cell r="FF19">
            <v>186</v>
          </cell>
          <cell r="FG19">
            <v>248</v>
          </cell>
          <cell r="FH19">
            <v>216</v>
          </cell>
          <cell r="FI19">
            <v>228</v>
          </cell>
          <cell r="FJ19">
            <v>234</v>
          </cell>
          <cell r="FK19">
            <v>356</v>
          </cell>
        </row>
        <row r="47">
          <cell r="FK47">
            <v>7400412</v>
          </cell>
        </row>
        <row r="48">
          <cell r="FK48">
            <v>85</v>
          </cell>
        </row>
        <row r="52">
          <cell r="FK52">
            <v>6308156</v>
          </cell>
        </row>
        <row r="53">
          <cell r="FK53">
            <v>53463</v>
          </cell>
        </row>
        <row r="57">
          <cell r="FK57"/>
        </row>
        <row r="58">
          <cell r="FK58"/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P64">
            <v>9121506</v>
          </cell>
          <cell r="EQ64">
            <v>6118201</v>
          </cell>
          <cell r="ER64">
            <v>10134227</v>
          </cell>
          <cell r="ES64">
            <v>11616240</v>
          </cell>
          <cell r="ET64">
            <v>11134155</v>
          </cell>
          <cell r="EU64">
            <v>9575958</v>
          </cell>
          <cell r="EV64">
            <v>11357527</v>
          </cell>
          <cell r="EW64">
            <v>14403166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H64">
            <v>5901846</v>
          </cell>
          <cell r="FI64">
            <v>11845395</v>
          </cell>
          <cell r="FJ64">
            <v>10069854</v>
          </cell>
          <cell r="FK64">
            <v>13762116</v>
          </cell>
        </row>
      </sheetData>
      <sheetData sheetId="68"/>
      <sheetData sheetId="69"/>
      <sheetData sheetId="70"/>
      <sheetData sheetId="71">
        <row r="4">
          <cell r="FK4">
            <v>320</v>
          </cell>
        </row>
        <row r="5">
          <cell r="FK5">
            <v>320</v>
          </cell>
        </row>
        <row r="19">
          <cell r="EL19">
            <v>456</v>
          </cell>
          <cell r="EM19">
            <v>438</v>
          </cell>
          <cell r="EN19">
            <v>486</v>
          </cell>
          <cell r="EO19">
            <v>444</v>
          </cell>
          <cell r="EP19">
            <v>492</v>
          </cell>
          <cell r="EQ19">
            <v>514</v>
          </cell>
          <cell r="ER19">
            <v>494</v>
          </cell>
          <cell r="ES19">
            <v>540</v>
          </cell>
          <cell r="ET19">
            <v>522</v>
          </cell>
          <cell r="EU19">
            <v>498</v>
          </cell>
          <cell r="EV19">
            <v>514</v>
          </cell>
          <cell r="EW19">
            <v>612</v>
          </cell>
          <cell r="EZ19">
            <v>540</v>
          </cell>
          <cell r="FA19">
            <v>492</v>
          </cell>
          <cell r="FB19">
            <v>566</v>
          </cell>
          <cell r="FC19">
            <v>494</v>
          </cell>
          <cell r="FD19">
            <v>576</v>
          </cell>
          <cell r="FE19">
            <v>546</v>
          </cell>
          <cell r="FF19">
            <v>528</v>
          </cell>
          <cell r="FG19">
            <v>598</v>
          </cell>
          <cell r="FH19">
            <v>538</v>
          </cell>
          <cell r="FI19">
            <v>568</v>
          </cell>
          <cell r="FJ19">
            <v>590</v>
          </cell>
          <cell r="FK19">
            <v>640</v>
          </cell>
        </row>
      </sheetData>
      <sheetData sheetId="72">
        <row r="4">
          <cell r="FK4"/>
        </row>
        <row r="5">
          <cell r="FK5">
            <v>5</v>
          </cell>
        </row>
        <row r="19">
          <cell r="EL19">
            <v>42</v>
          </cell>
          <cell r="EM19">
            <v>40</v>
          </cell>
          <cell r="EN19">
            <v>48</v>
          </cell>
          <cell r="EO19">
            <v>42</v>
          </cell>
          <cell r="EP19">
            <v>46</v>
          </cell>
          <cell r="EQ19">
            <v>48</v>
          </cell>
          <cell r="ER19">
            <v>40</v>
          </cell>
          <cell r="ES19">
            <v>46</v>
          </cell>
          <cell r="ET19">
            <v>44</v>
          </cell>
          <cell r="EU19">
            <v>42</v>
          </cell>
          <cell r="EV19">
            <v>48</v>
          </cell>
          <cell r="EW19">
            <v>72</v>
          </cell>
          <cell r="EZ19">
            <v>40</v>
          </cell>
          <cell r="FA19">
            <v>42</v>
          </cell>
          <cell r="FB19">
            <v>48</v>
          </cell>
          <cell r="FC19">
            <v>40</v>
          </cell>
          <cell r="FD19">
            <v>48</v>
          </cell>
          <cell r="FE19">
            <v>4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6</v>
          </cell>
          <cell r="FK19">
            <v>5</v>
          </cell>
        </row>
        <row r="47">
          <cell r="FK47"/>
        </row>
        <row r="48">
          <cell r="FK48"/>
        </row>
        <row r="52">
          <cell r="FK52">
            <v>9344</v>
          </cell>
        </row>
        <row r="53">
          <cell r="FK53"/>
        </row>
        <row r="57">
          <cell r="FK57"/>
        </row>
        <row r="58">
          <cell r="FK58"/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P64">
            <v>63422</v>
          </cell>
          <cell r="EQ64">
            <v>65327</v>
          </cell>
          <cell r="ER64">
            <v>61337</v>
          </cell>
          <cell r="ES64">
            <v>76869</v>
          </cell>
          <cell r="ET64">
            <v>68042</v>
          </cell>
          <cell r="EU64">
            <v>63092</v>
          </cell>
          <cell r="EV64">
            <v>66957</v>
          </cell>
          <cell r="EW64">
            <v>74205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8840</v>
          </cell>
          <cell r="FK64">
            <v>9344</v>
          </cell>
        </row>
      </sheetData>
      <sheetData sheetId="73">
        <row r="4">
          <cell r="FK4">
            <v>20</v>
          </cell>
        </row>
        <row r="5">
          <cell r="FK5">
            <v>20</v>
          </cell>
        </row>
        <row r="19">
          <cell r="EL19">
            <v>42</v>
          </cell>
          <cell r="EM19">
            <v>38</v>
          </cell>
          <cell r="EN19">
            <v>46</v>
          </cell>
          <cell r="EO19">
            <v>42</v>
          </cell>
          <cell r="EP19">
            <v>40</v>
          </cell>
          <cell r="EQ19">
            <v>42</v>
          </cell>
          <cell r="ER19">
            <v>40</v>
          </cell>
          <cell r="ES19">
            <v>46</v>
          </cell>
          <cell r="ET19">
            <v>42</v>
          </cell>
          <cell r="EU19">
            <v>44</v>
          </cell>
          <cell r="EV19">
            <v>40</v>
          </cell>
          <cell r="EW19">
            <v>44</v>
          </cell>
          <cell r="EZ19">
            <v>40</v>
          </cell>
          <cell r="FA19">
            <v>34</v>
          </cell>
          <cell r="FB19">
            <v>46</v>
          </cell>
          <cell r="FC19">
            <v>42</v>
          </cell>
          <cell r="FD19">
            <v>42</v>
          </cell>
          <cell r="FE19">
            <v>44</v>
          </cell>
          <cell r="FF19">
            <v>34</v>
          </cell>
          <cell r="FG19">
            <v>46</v>
          </cell>
          <cell r="FH19">
            <v>46</v>
          </cell>
          <cell r="FI19">
            <v>44</v>
          </cell>
          <cell r="FJ19">
            <v>40</v>
          </cell>
          <cell r="FK19">
            <v>40</v>
          </cell>
        </row>
        <row r="47">
          <cell r="FK47">
            <v>56563</v>
          </cell>
        </row>
        <row r="48">
          <cell r="FK48"/>
        </row>
        <row r="52">
          <cell r="FK52">
            <v>135930</v>
          </cell>
        </row>
        <row r="53">
          <cell r="FK53"/>
        </row>
        <row r="57">
          <cell r="FK57"/>
        </row>
        <row r="58">
          <cell r="FK58"/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P64">
            <v>176293</v>
          </cell>
          <cell r="EQ64">
            <v>160643</v>
          </cell>
          <cell r="ER64">
            <v>179781</v>
          </cell>
          <cell r="ES64">
            <v>211555</v>
          </cell>
          <cell r="ET64">
            <v>215864</v>
          </cell>
          <cell r="EU64">
            <v>241697</v>
          </cell>
          <cell r="EV64">
            <v>179102</v>
          </cell>
          <cell r="EW64">
            <v>201118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H64">
            <v>205046</v>
          </cell>
          <cell r="FI64">
            <v>175883</v>
          </cell>
          <cell r="FJ64">
            <v>158106</v>
          </cell>
          <cell r="FK64">
            <v>192493</v>
          </cell>
        </row>
      </sheetData>
      <sheetData sheetId="74">
        <row r="4">
          <cell r="FK4">
            <v>41</v>
          </cell>
        </row>
        <row r="5">
          <cell r="FK5">
            <v>41</v>
          </cell>
        </row>
        <row r="8">
          <cell r="FK8"/>
        </row>
        <row r="9">
          <cell r="FK9"/>
        </row>
        <row r="19">
          <cell r="EL19">
            <v>40</v>
          </cell>
          <cell r="EM19">
            <v>42</v>
          </cell>
          <cell r="EN19">
            <v>46</v>
          </cell>
          <cell r="EO19">
            <v>42</v>
          </cell>
          <cell r="EP19">
            <v>42</v>
          </cell>
          <cell r="EQ19">
            <v>62</v>
          </cell>
          <cell r="ER19">
            <v>40</v>
          </cell>
          <cell r="ES19">
            <v>46</v>
          </cell>
          <cell r="ET19">
            <v>44</v>
          </cell>
          <cell r="EU19">
            <v>42</v>
          </cell>
          <cell r="EV19">
            <v>43</v>
          </cell>
          <cell r="EW19">
            <v>44</v>
          </cell>
          <cell r="EZ19">
            <v>43</v>
          </cell>
          <cell r="FA19">
            <v>40</v>
          </cell>
          <cell r="FB19">
            <v>46</v>
          </cell>
          <cell r="FC19">
            <v>40</v>
          </cell>
          <cell r="FD19">
            <v>46</v>
          </cell>
          <cell r="FE19">
            <v>44</v>
          </cell>
          <cell r="FF19">
            <v>42</v>
          </cell>
          <cell r="FG19">
            <v>50</v>
          </cell>
          <cell r="FH19">
            <v>41</v>
          </cell>
          <cell r="FI19">
            <v>44</v>
          </cell>
          <cell r="FJ19">
            <v>72</v>
          </cell>
          <cell r="FK19">
            <v>82</v>
          </cell>
        </row>
        <row r="47">
          <cell r="FK47">
            <v>62557</v>
          </cell>
        </row>
        <row r="48">
          <cell r="FK48"/>
        </row>
        <row r="52">
          <cell r="FK52">
            <v>31232</v>
          </cell>
        </row>
        <row r="53">
          <cell r="FK53"/>
        </row>
        <row r="57">
          <cell r="FK57"/>
        </row>
        <row r="58">
          <cell r="FK58"/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P64">
            <v>74510</v>
          </cell>
          <cell r="EQ64">
            <v>84472</v>
          </cell>
          <cell r="ER64">
            <v>68354</v>
          </cell>
          <cell r="ES64">
            <v>81010</v>
          </cell>
          <cell r="ET64">
            <v>74487</v>
          </cell>
          <cell r="EU64">
            <v>83827</v>
          </cell>
          <cell r="EV64">
            <v>82514</v>
          </cell>
          <cell r="EW64">
            <v>88536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H64">
            <v>88674</v>
          </cell>
          <cell r="FI64">
            <v>97935</v>
          </cell>
          <cell r="FJ64">
            <v>97344</v>
          </cell>
          <cell r="FK64">
            <v>93789</v>
          </cell>
        </row>
      </sheetData>
      <sheetData sheetId="75">
        <row r="4">
          <cell r="FK4">
            <v>46</v>
          </cell>
        </row>
        <row r="5">
          <cell r="FK5">
            <v>46</v>
          </cell>
        </row>
      </sheetData>
      <sheetData sheetId="76">
        <row r="4">
          <cell r="FK4">
            <v>833</v>
          </cell>
        </row>
        <row r="5">
          <cell r="FK5">
            <v>833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173394</v>
          </cell>
          <cell r="C23">
            <v>175057</v>
          </cell>
          <cell r="L23">
            <v>1700094</v>
          </cell>
          <cell r="M23">
            <v>1731587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133972</v>
          </cell>
          <cell r="C24">
            <v>117419</v>
          </cell>
          <cell r="L24">
            <v>1594995</v>
          </cell>
          <cell r="M24">
            <v>1500069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226655</v>
          </cell>
          <cell r="I24">
            <v>2776287</v>
          </cell>
          <cell r="N24">
            <v>3002942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109004</v>
          </cell>
          <cell r="C25">
            <v>116438</v>
          </cell>
          <cell r="L25">
            <v>1612456</v>
          </cell>
          <cell r="M25">
            <v>1593222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198145</v>
          </cell>
          <cell r="I25">
            <v>2966121</v>
          </cell>
          <cell r="N25">
            <v>3164266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122393</v>
          </cell>
          <cell r="C26">
            <v>126058</v>
          </cell>
          <cell r="L26">
            <v>1756844</v>
          </cell>
          <cell r="M26">
            <v>1738758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244833</v>
          </cell>
          <cell r="I26">
            <v>3212037</v>
          </cell>
          <cell r="N26">
            <v>3456870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138487</v>
          </cell>
          <cell r="C27">
            <v>125223</v>
          </cell>
          <cell r="L27">
            <v>1830047</v>
          </cell>
          <cell r="M27">
            <v>1831523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275365</v>
          </cell>
          <cell r="I27">
            <v>3371549</v>
          </cell>
          <cell r="N27">
            <v>3646914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137397</v>
          </cell>
          <cell r="C28">
            <v>129761</v>
          </cell>
          <cell r="L28">
            <v>1839057</v>
          </cell>
          <cell r="M28">
            <v>1829142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254609</v>
          </cell>
          <cell r="I28">
            <v>3290947</v>
          </cell>
          <cell r="N28">
            <v>3545556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110231</v>
          </cell>
          <cell r="C29">
            <v>109563</v>
          </cell>
          <cell r="L29">
            <v>1518676</v>
          </cell>
          <cell r="M29">
            <v>1522734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207189</v>
          </cell>
          <cell r="I29">
            <v>2871761</v>
          </cell>
          <cell r="N29">
            <v>3078950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106220</v>
          </cell>
          <cell r="C30">
            <v>97404</v>
          </cell>
          <cell r="L30">
            <v>1623196</v>
          </cell>
          <cell r="M30">
            <v>1627794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186370</v>
          </cell>
          <cell r="I30">
            <v>3011451</v>
          </cell>
          <cell r="N30">
            <v>3197821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145955</v>
          </cell>
          <cell r="I31">
            <v>2724393</v>
          </cell>
          <cell r="N31">
            <v>2870348</v>
          </cell>
        </row>
      </sheetData>
      <sheetData sheetId="6"/>
      <sheetData sheetId="7">
        <row r="5">
          <cell r="F5">
            <v>9037.2033755565099</v>
          </cell>
        </row>
        <row r="6">
          <cell r="F6">
            <v>739.36508853977</v>
          </cell>
        </row>
        <row r="10">
          <cell r="F10">
            <v>7712.2405583146001</v>
          </cell>
        </row>
        <row r="11">
          <cell r="F11">
            <v>1315.2822488813699</v>
          </cell>
        </row>
        <row r="15">
          <cell r="F15">
            <v>0</v>
          </cell>
        </row>
        <row r="16">
          <cell r="F16">
            <v>0</v>
          </cell>
        </row>
        <row r="20">
          <cell r="F20">
            <v>16749.443933871109</v>
          </cell>
        </row>
        <row r="21">
          <cell r="F21">
            <v>2054.64733742114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L13" sqref="L1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.1406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2">
        <v>43070</v>
      </c>
      <c r="B2" s="17"/>
      <c r="C2" s="17"/>
      <c r="D2" s="535" t="s">
        <v>197</v>
      </c>
      <c r="E2" s="535" t="s">
        <v>172</v>
      </c>
      <c r="F2" s="8"/>
      <c r="G2" s="8"/>
      <c r="H2" s="8"/>
      <c r="I2" s="8"/>
      <c r="J2" s="22"/>
    </row>
    <row r="3" spans="1:14" ht="13.5" thickBot="1" x14ac:dyDescent="0.25">
      <c r="A3" s="378"/>
      <c r="B3" s="8" t="s">
        <v>0</v>
      </c>
      <c r="C3" s="8" t="s">
        <v>1</v>
      </c>
      <c r="D3" s="536"/>
      <c r="E3" s="537"/>
      <c r="F3" s="8" t="s">
        <v>2</v>
      </c>
      <c r="G3" s="8" t="s">
        <v>198</v>
      </c>
      <c r="H3" s="8" t="s">
        <v>173</v>
      </c>
      <c r="I3" s="8" t="s">
        <v>2</v>
      </c>
      <c r="J3" s="19"/>
    </row>
    <row r="4" spans="1:14" ht="12.75" customHeight="1" x14ac:dyDescent="0.25">
      <c r="A4" s="61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4" t="s">
        <v>4</v>
      </c>
      <c r="B5" s="283">
        <f>'Major Airline Stats'!J4</f>
        <v>1092961</v>
      </c>
      <c r="C5" s="285">
        <f>'Major Airline Stats'!J5</f>
        <v>1113331</v>
      </c>
      <c r="D5" s="5">
        <f>'Major Airline Stats'!J6</f>
        <v>2206292</v>
      </c>
      <c r="E5" s="9">
        <f>'[1]Monthly Summary'!D5</f>
        <v>2120890</v>
      </c>
      <c r="F5" s="38">
        <f>(D5-E5)/E5</f>
        <v>4.0267057697476058E-2</v>
      </c>
      <c r="G5" s="9">
        <f>+D5+'[2]Monthly Summary'!G5</f>
        <v>29222280</v>
      </c>
      <c r="H5" s="9">
        <f>'[1]Monthly Summary'!G5</f>
        <v>28016965</v>
      </c>
      <c r="I5" s="82">
        <f>(G5-H5)/H5</f>
        <v>4.3020898230768392E-2</v>
      </c>
      <c r="J5" s="9"/>
    </row>
    <row r="6" spans="1:14" x14ac:dyDescent="0.2">
      <c r="A6" s="64" t="s">
        <v>5</v>
      </c>
      <c r="B6" s="283">
        <f>'Regional Major'!M5</f>
        <v>315688</v>
      </c>
      <c r="C6" s="283">
        <f>'Regional Major'!M6</f>
        <v>310002</v>
      </c>
      <c r="D6" s="5">
        <f>B6+C6</f>
        <v>625690</v>
      </c>
      <c r="E6" s="9">
        <f>'[1]Monthly Summary'!D6</f>
        <v>675484</v>
      </c>
      <c r="F6" s="38">
        <f>(D6-E6)/E6</f>
        <v>-7.3716031763890785E-2</v>
      </c>
      <c r="G6" s="9">
        <f>+D6+'[2]Monthly Summary'!G6</f>
        <v>7572015</v>
      </c>
      <c r="H6" s="9">
        <f>'[1]Monthly Summary'!G6</f>
        <v>8324599</v>
      </c>
      <c r="I6" s="82">
        <f>(G6-H6)/H6</f>
        <v>-9.0404835115781554E-2</v>
      </c>
      <c r="J6" s="19"/>
      <c r="K6" s="2"/>
    </row>
    <row r="7" spans="1:14" x14ac:dyDescent="0.2">
      <c r="A7" s="64" t="s">
        <v>6</v>
      </c>
      <c r="B7" s="9">
        <f>Charter!G5</f>
        <v>150</v>
      </c>
      <c r="C7" s="284">
        <f>Charter!G6</f>
        <v>150</v>
      </c>
      <c r="D7" s="5">
        <f>B7+C7</f>
        <v>300</v>
      </c>
      <c r="E7" s="9">
        <f>'[1]Monthly Summary'!D7</f>
        <v>402</v>
      </c>
      <c r="F7" s="38">
        <f>(D7-E7)/E7</f>
        <v>-0.2537313432835821</v>
      </c>
      <c r="G7" s="9">
        <f>+D7+'[2]Monthly Summary'!G7</f>
        <v>5683</v>
      </c>
      <c r="H7" s="9">
        <f>'[1]Monthly Summary'!G7</f>
        <v>5295</v>
      </c>
      <c r="I7" s="82">
        <f>(G7-H7)/H7</f>
        <v>7.3276676109537295E-2</v>
      </c>
      <c r="J7" s="19"/>
      <c r="K7" s="2"/>
    </row>
    <row r="8" spans="1:14" x14ac:dyDescent="0.2">
      <c r="A8" s="67" t="s">
        <v>7</v>
      </c>
      <c r="B8" s="141">
        <f>SUM(B5:B7)</f>
        <v>1408799</v>
      </c>
      <c r="C8" s="141">
        <f>SUM(C5:C7)</f>
        <v>1423483</v>
      </c>
      <c r="D8" s="141">
        <f>SUM(D5:D7)</f>
        <v>2832282</v>
      </c>
      <c r="E8" s="141">
        <f>SUM(E5:E7)</f>
        <v>2796776</v>
      </c>
      <c r="F8" s="89">
        <f>(D8-E8)/E8</f>
        <v>1.2695332053764764E-2</v>
      </c>
      <c r="G8" s="141">
        <f>SUM(G5:G7)</f>
        <v>36799978</v>
      </c>
      <c r="H8" s="141">
        <f>SUM(H5:H7)</f>
        <v>36346859</v>
      </c>
      <c r="I8" s="88">
        <f>(G8-H8)/H8</f>
        <v>1.2466524273803136E-2</v>
      </c>
      <c r="J8" s="19"/>
    </row>
    <row r="9" spans="1:14" x14ac:dyDescent="0.2">
      <c r="A9" s="64"/>
      <c r="B9" s="111"/>
      <c r="C9" s="111"/>
      <c r="D9" s="111"/>
      <c r="E9" s="139"/>
      <c r="F9" s="6"/>
      <c r="G9" s="139"/>
      <c r="H9" s="139"/>
      <c r="I9" s="82"/>
      <c r="J9" s="19"/>
    </row>
    <row r="10" spans="1:14" x14ac:dyDescent="0.2">
      <c r="A10" s="64" t="s">
        <v>8</v>
      </c>
      <c r="B10" s="501">
        <f>'Major Airline Stats'!J9+'Regional Major'!M10</f>
        <v>47420</v>
      </c>
      <c r="C10" s="502">
        <f>'Major Airline Stats'!J10+'Regional Major'!M11</f>
        <v>48088</v>
      </c>
      <c r="D10" s="503">
        <f>SUM(B10:C10)</f>
        <v>95508</v>
      </c>
      <c r="E10" s="503">
        <f>'[1]Monthly Summary'!D10</f>
        <v>89644</v>
      </c>
      <c r="F10" s="504">
        <f>(D10-E10)/E10</f>
        <v>6.5414305474989956E-2</v>
      </c>
      <c r="G10" s="505">
        <f>+D10+'[2]Monthly Summary'!G10</f>
        <v>1234363</v>
      </c>
      <c r="H10" s="503">
        <f>'[1]Monthly Summary'!G10</f>
        <v>1158662</v>
      </c>
      <c r="I10" s="506">
        <f>(G10-H10)/H10</f>
        <v>6.5334843120772063E-2</v>
      </c>
      <c r="J10" s="254"/>
    </row>
    <row r="11" spans="1:14" ht="15.75" thickBot="1" x14ac:dyDescent="0.3">
      <c r="A11" s="66" t="s">
        <v>13</v>
      </c>
      <c r="B11" s="263">
        <f>B10+B8</f>
        <v>1456219</v>
      </c>
      <c r="C11" s="263">
        <f>C10+C8</f>
        <v>1471571</v>
      </c>
      <c r="D11" s="263">
        <f>D10+D8</f>
        <v>2927790</v>
      </c>
      <c r="E11" s="263">
        <f>E10+E8</f>
        <v>2886420</v>
      </c>
      <c r="F11" s="90">
        <f>(D11-E11)/E11</f>
        <v>1.4332633504479598E-2</v>
      </c>
      <c r="G11" s="263">
        <f>G8+G10</f>
        <v>38034341</v>
      </c>
      <c r="H11" s="263">
        <f>H8+H10</f>
        <v>37505521</v>
      </c>
      <c r="I11" s="92">
        <f>(G11-H11)/H11</f>
        <v>1.4099790801466269E-2</v>
      </c>
      <c r="J11" s="7"/>
    </row>
    <row r="12" spans="1:14" ht="15" x14ac:dyDescent="0.25">
      <c r="A12" s="15"/>
      <c r="B12" s="117"/>
      <c r="C12" s="117"/>
      <c r="D12" s="117"/>
      <c r="E12" s="117"/>
      <c r="F12" s="265"/>
      <c r="G12" s="117"/>
      <c r="H12" s="117"/>
      <c r="I12" s="266"/>
      <c r="J12" s="7"/>
      <c r="K12" s="123"/>
      <c r="L12" s="123"/>
    </row>
    <row r="13" spans="1:14" ht="16.5" customHeight="1" x14ac:dyDescent="0.2">
      <c r="B13" s="17"/>
      <c r="C13" s="17"/>
      <c r="D13" s="535" t="s">
        <v>197</v>
      </c>
      <c r="E13" s="535" t="s">
        <v>172</v>
      </c>
      <c r="F13" s="447"/>
      <c r="G13" s="447"/>
      <c r="H13" s="447"/>
      <c r="I13" s="447"/>
    </row>
    <row r="14" spans="1:14" ht="13.5" thickBot="1" x14ac:dyDescent="0.25">
      <c r="A14" s="16"/>
      <c r="B14" s="447" t="s">
        <v>223</v>
      </c>
      <c r="C14" s="447" t="s">
        <v>224</v>
      </c>
      <c r="D14" s="536"/>
      <c r="E14" s="537"/>
      <c r="F14" s="447" t="s">
        <v>2</v>
      </c>
      <c r="G14" s="447" t="s">
        <v>198</v>
      </c>
      <c r="H14" s="447" t="s">
        <v>173</v>
      </c>
      <c r="I14" s="447" t="s">
        <v>2</v>
      </c>
    </row>
    <row r="15" spans="1:14" ht="15" x14ac:dyDescent="0.25">
      <c r="A15" s="58" t="s">
        <v>9</v>
      </c>
      <c r="B15" s="44"/>
      <c r="C15" s="44"/>
      <c r="D15" s="44"/>
      <c r="E15" s="44"/>
      <c r="F15" s="45"/>
      <c r="G15" s="44"/>
      <c r="H15" s="44"/>
      <c r="I15" s="252"/>
    </row>
    <row r="16" spans="1:14" x14ac:dyDescent="0.2">
      <c r="A16" s="65" t="s">
        <v>4</v>
      </c>
      <c r="B16" s="294">
        <f>'Major Airline Stats'!J15+'Major Airline Stats'!J19</f>
        <v>8860</v>
      </c>
      <c r="C16" s="294">
        <f>'Major Airline Stats'!J16+'Major Airline Stats'!J20</f>
        <v>8855</v>
      </c>
      <c r="D16" s="46">
        <f t="shared" ref="D16:D21" si="0">SUM(B16:C16)</f>
        <v>17715</v>
      </c>
      <c r="E16" s="9">
        <f>'[1]Monthly Summary'!D16</f>
        <v>16913</v>
      </c>
      <c r="F16" s="91">
        <f t="shared" ref="F16:F22" si="1">(D16-E16)/E16</f>
        <v>4.7419145036362562E-2</v>
      </c>
      <c r="G16" s="9">
        <f>+D16+'[2]Monthly Summary'!G16</f>
        <v>228393</v>
      </c>
      <c r="H16" s="9">
        <f>'[1]Monthly Summary'!G16</f>
        <v>213682</v>
      </c>
      <c r="I16" s="253">
        <f t="shared" ref="I16:I22" si="2">(G16-H16)/H16</f>
        <v>6.8845293473479285E-2</v>
      </c>
      <c r="N16" s="123"/>
    </row>
    <row r="17" spans="1:12" x14ac:dyDescent="0.2">
      <c r="A17" s="65" t="s">
        <v>5</v>
      </c>
      <c r="B17" s="46">
        <f>'Regional Major'!M15+'Regional Major'!M18</f>
        <v>6167</v>
      </c>
      <c r="C17" s="46">
        <f>'Regional Major'!M16+'Regional Major'!M19</f>
        <v>6167</v>
      </c>
      <c r="D17" s="46">
        <f>SUM(B17:C17)</f>
        <v>12334</v>
      </c>
      <c r="E17" s="9">
        <f>'[1]Monthly Summary'!D17</f>
        <v>13049</v>
      </c>
      <c r="F17" s="91">
        <f t="shared" si="1"/>
        <v>-5.4793470764043221E-2</v>
      </c>
      <c r="G17" s="9">
        <f>+D17+'[2]Monthly Summary'!G17</f>
        <v>149879</v>
      </c>
      <c r="H17" s="9">
        <f>'[1]Monthly Summary'!G17</f>
        <v>161359</v>
      </c>
      <c r="I17" s="253">
        <f t="shared" si="2"/>
        <v>-7.1145706158317792E-2</v>
      </c>
    </row>
    <row r="18" spans="1:12" x14ac:dyDescent="0.2">
      <c r="A18" s="65" t="s">
        <v>10</v>
      </c>
      <c r="B18" s="46">
        <f>Charter!G10</f>
        <v>1</v>
      </c>
      <c r="C18" s="46">
        <f>Charter!G11</f>
        <v>1</v>
      </c>
      <c r="D18" s="46">
        <f t="shared" si="0"/>
        <v>2</v>
      </c>
      <c r="E18" s="9">
        <f>'[1]Monthly Summary'!D18</f>
        <v>1</v>
      </c>
      <c r="F18" s="91">
        <f t="shared" si="1"/>
        <v>1</v>
      </c>
      <c r="G18" s="9">
        <f>+D18+'[2]Monthly Summary'!G18</f>
        <v>45</v>
      </c>
      <c r="H18" s="9">
        <f>'[1]Monthly Summary'!G18</f>
        <v>68</v>
      </c>
      <c r="I18" s="253">
        <f t="shared" si="2"/>
        <v>-0.33823529411764708</v>
      </c>
    </row>
    <row r="19" spans="1:12" x14ac:dyDescent="0.2">
      <c r="A19" s="65" t="s">
        <v>11</v>
      </c>
      <c r="B19" s="46">
        <f>Cargo!M4</f>
        <v>751</v>
      </c>
      <c r="C19" s="46">
        <f>Cargo!M5</f>
        <v>758</v>
      </c>
      <c r="D19" s="46">
        <f t="shared" si="0"/>
        <v>1509</v>
      </c>
      <c r="E19" s="9">
        <f>'[1]Monthly Summary'!D19</f>
        <v>1613</v>
      </c>
      <c r="F19" s="91">
        <f t="shared" si="1"/>
        <v>-6.4476131432114073E-2</v>
      </c>
      <c r="G19" s="9">
        <f>+D19+'[2]Monthly Summary'!G19</f>
        <v>14911</v>
      </c>
      <c r="H19" s="9">
        <f>'[1]Monthly Summary'!G19</f>
        <v>14400</v>
      </c>
      <c r="I19" s="253">
        <f t="shared" si="2"/>
        <v>3.5486111111111114E-2</v>
      </c>
    </row>
    <row r="20" spans="1:12" x14ac:dyDescent="0.2">
      <c r="A20" s="65" t="s">
        <v>153</v>
      </c>
      <c r="B20" s="46">
        <f>'[3]General Avation'!$FK$4</f>
        <v>833</v>
      </c>
      <c r="C20" s="46">
        <f>'[3]General Avation'!$FK$5</f>
        <v>833</v>
      </c>
      <c r="D20" s="46">
        <f t="shared" si="0"/>
        <v>1666</v>
      </c>
      <c r="E20" s="9">
        <f>'[1]Monthly Summary'!D20</f>
        <v>1539</v>
      </c>
      <c r="F20" s="91">
        <f t="shared" si="1"/>
        <v>8.2521117608836903E-2</v>
      </c>
      <c r="G20" s="9">
        <f>+D20+'[2]Monthly Summary'!G20</f>
        <v>22226</v>
      </c>
      <c r="H20" s="9">
        <f>'[1]Monthly Summary'!G20</f>
        <v>22454.5</v>
      </c>
      <c r="I20" s="253">
        <f t="shared" si="2"/>
        <v>-1.0176133959785344E-2</v>
      </c>
    </row>
    <row r="21" spans="1:12" ht="12.75" customHeight="1" x14ac:dyDescent="0.2">
      <c r="A21" s="65" t="s">
        <v>12</v>
      </c>
      <c r="B21" s="507">
        <f>'[3]Military '!$FK$4</f>
        <v>46</v>
      </c>
      <c r="C21" s="508">
        <f>'[3]Military '!$FK$5</f>
        <v>46</v>
      </c>
      <c r="D21" s="508">
        <f t="shared" si="0"/>
        <v>92</v>
      </c>
      <c r="E21" s="503">
        <f>'[1]Monthly Summary'!D21</f>
        <v>102</v>
      </c>
      <c r="F21" s="509">
        <f t="shared" si="1"/>
        <v>-9.8039215686274508E-2</v>
      </c>
      <c r="G21" s="505">
        <f>+D21+'[2]Monthly Summary'!G21</f>
        <v>759</v>
      </c>
      <c r="H21" s="503">
        <f>'[1]Monthly Summary'!G21</f>
        <v>1315</v>
      </c>
      <c r="I21" s="510">
        <f t="shared" si="2"/>
        <v>-0.42281368821292775</v>
      </c>
    </row>
    <row r="22" spans="1:12" ht="15.75" thickBot="1" x14ac:dyDescent="0.3">
      <c r="A22" s="66" t="s">
        <v>28</v>
      </c>
      <c r="B22" s="264">
        <f>SUM(B16:B21)</f>
        <v>16658</v>
      </c>
      <c r="C22" s="264">
        <f>SUM(C16:C21)</f>
        <v>16660</v>
      </c>
      <c r="D22" s="264">
        <f>SUM(D16:D21)</f>
        <v>33318</v>
      </c>
      <c r="E22" s="264">
        <f>SUM(E16:E21)</f>
        <v>33217</v>
      </c>
      <c r="F22" s="260">
        <f t="shared" si="1"/>
        <v>3.0406117349549931E-3</v>
      </c>
      <c r="G22" s="264">
        <f>SUM(G16:G21)</f>
        <v>416213</v>
      </c>
      <c r="H22" s="264">
        <f>SUM(H16:H21)</f>
        <v>413278.5</v>
      </c>
      <c r="I22" s="261">
        <f t="shared" si="2"/>
        <v>7.1005387408248919E-3</v>
      </c>
    </row>
    <row r="23" spans="1:12" x14ac:dyDescent="0.2">
      <c r="B23" s="123"/>
      <c r="C23" s="123"/>
      <c r="D23" s="7"/>
      <c r="L23" s="2"/>
    </row>
    <row r="24" spans="1:12" ht="12.75" customHeight="1" x14ac:dyDescent="0.2">
      <c r="B24" s="17"/>
      <c r="C24" s="17"/>
      <c r="D24" s="535" t="s">
        <v>197</v>
      </c>
      <c r="E24" s="535" t="s">
        <v>172</v>
      </c>
      <c r="F24" s="447"/>
      <c r="G24" s="447"/>
      <c r="H24" s="447"/>
      <c r="I24" s="447"/>
    </row>
    <row r="25" spans="1:12" ht="13.5" thickBot="1" x14ac:dyDescent="0.25">
      <c r="B25" s="447" t="s">
        <v>0</v>
      </c>
      <c r="C25" s="447" t="s">
        <v>1</v>
      </c>
      <c r="D25" s="536"/>
      <c r="E25" s="537"/>
      <c r="F25" s="447" t="s">
        <v>2</v>
      </c>
      <c r="G25" s="447" t="s">
        <v>198</v>
      </c>
      <c r="H25" s="447" t="s">
        <v>173</v>
      </c>
      <c r="I25" s="447" t="s">
        <v>2</v>
      </c>
    </row>
    <row r="26" spans="1:12" ht="15" x14ac:dyDescent="0.25">
      <c r="A26" s="62" t="s">
        <v>130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59" t="s">
        <v>15</v>
      </c>
      <c r="B27" s="21">
        <f>(Cargo!M16+'Major Airline Stats'!J28+'Regional Major'!M25)*0.00045359237</f>
        <v>10158.32631764412</v>
      </c>
      <c r="C27" s="21">
        <f>(Cargo!M21+'Major Airline Stats'!J33+'Regional Major'!M30)*0.00045359237</f>
        <v>8640.4152852363495</v>
      </c>
      <c r="D27" s="21">
        <f>(SUM(B27:C27)+('Cargo Summary'!E17*0.00045359237))</f>
        <v>18798.741602880469</v>
      </c>
      <c r="E27" s="9">
        <f>'[1]Monthly Summary'!D27</f>
        <v>19159.450502498461</v>
      </c>
      <c r="F27" s="93">
        <f>(D27-E27)/E27</f>
        <v>-1.8826682924489621E-2</v>
      </c>
      <c r="G27" s="9">
        <f>+D27+'[2]Monthly Summary'!G27</f>
        <v>203856.72384288366</v>
      </c>
      <c r="H27" s="9">
        <f>'[1]Monthly Summary'!G27</f>
        <v>190408.67440976226</v>
      </c>
      <c r="I27" s="94">
        <f>(G27-H27)/H27</f>
        <v>7.0627294028532545E-2</v>
      </c>
    </row>
    <row r="28" spans="1:12" x14ac:dyDescent="0.2">
      <c r="A28" s="59" t="s">
        <v>16</v>
      </c>
      <c r="B28" s="513">
        <f>(Cargo!M17+'Major Airline Stats'!J29+'Regional Major'!M26)*0.00045359237</f>
        <v>1247.91198853475</v>
      </c>
      <c r="C28" s="514">
        <f>(Cargo!M22+'Major Airline Stats'!J34+'Regional Major'!M31)*0.00045359237</f>
        <v>1397.17109380695</v>
      </c>
      <c r="D28" s="514">
        <f>SUM(B28:C28)</f>
        <v>2645.0830823417</v>
      </c>
      <c r="E28" s="505">
        <f>'[1]Monthly Summary'!D28</f>
        <v>2180.6276286725702</v>
      </c>
      <c r="F28" s="515">
        <f>(D28-E28)/E28</f>
        <v>0.21299163945375732</v>
      </c>
      <c r="G28" s="505">
        <f>+D28+'[2]Monthly Summary'!G28</f>
        <v>25583.629797240123</v>
      </c>
      <c r="H28" s="505">
        <f>'[1]Monthly Summary'!G28</f>
        <v>16533.405846771835</v>
      </c>
      <c r="I28" s="516">
        <f>(G28-H28)/H28</f>
        <v>0.54739017685429603</v>
      </c>
    </row>
    <row r="29" spans="1:12" ht="15.75" thickBot="1" x14ac:dyDescent="0.3">
      <c r="A29" s="60" t="s">
        <v>63</v>
      </c>
      <c r="B29" s="511">
        <f>SUM(B27:B28)</f>
        <v>11406.23830617887</v>
      </c>
      <c r="C29" s="511">
        <f>SUM(C27:C28)</f>
        <v>10037.5863790433</v>
      </c>
      <c r="D29" s="511">
        <f>SUM(D27:D28)</f>
        <v>21443.824685222171</v>
      </c>
      <c r="E29" s="511">
        <f>SUM(E27:E28)</f>
        <v>21340.078131171031</v>
      </c>
      <c r="F29" s="90">
        <f>(D29-E29)/E29</f>
        <v>4.8615826715085794E-3</v>
      </c>
      <c r="G29" s="511">
        <f>SUM(G27:G28)</f>
        <v>229440.35364012379</v>
      </c>
      <c r="H29" s="511">
        <f>SUM(H27:H28)</f>
        <v>206942.0802565341</v>
      </c>
      <c r="I29" s="512">
        <f>(G29-H29)/H29</f>
        <v>0.10871773085348271</v>
      </c>
    </row>
    <row r="30" spans="1:12" s="7" customFormat="1" ht="4.5" customHeight="1" thickBot="1" x14ac:dyDescent="0.3">
      <c r="A30" s="56"/>
      <c r="B30" s="380"/>
      <c r="C30" s="380"/>
      <c r="D30" s="380"/>
      <c r="E30" s="380"/>
      <c r="F30" s="265"/>
      <c r="G30" s="380"/>
      <c r="H30" s="380"/>
      <c r="I30" s="265"/>
    </row>
    <row r="31" spans="1:12" ht="13.5" thickBot="1" x14ac:dyDescent="0.25">
      <c r="B31" s="534" t="s">
        <v>149</v>
      </c>
      <c r="C31" s="533"/>
      <c r="D31" s="534" t="s">
        <v>156</v>
      </c>
      <c r="E31" s="533"/>
      <c r="F31" s="403"/>
      <c r="G31" s="404"/>
      <c r="H31" s="402"/>
      <c r="I31" s="402"/>
    </row>
    <row r="32" spans="1:12" x14ac:dyDescent="0.2">
      <c r="A32" s="384" t="s">
        <v>150</v>
      </c>
      <c r="B32" s="385">
        <f>C8-B33</f>
        <v>897705</v>
      </c>
      <c r="C32" s="386">
        <f>B32/C8</f>
        <v>0.63063977581748432</v>
      </c>
      <c r="D32" s="387">
        <f>+B32+'[2]Monthly Summary'!D32</f>
        <v>11032337</v>
      </c>
      <c r="E32" s="388">
        <f>+D32/D34</f>
        <v>0.60006769592465747</v>
      </c>
      <c r="G32" s="410"/>
      <c r="H32" s="402"/>
      <c r="I32" s="401"/>
    </row>
    <row r="33" spans="1:14" ht="13.5" thickBot="1" x14ac:dyDescent="0.25">
      <c r="A33" s="389" t="s">
        <v>151</v>
      </c>
      <c r="B33" s="390">
        <f>'Major Airline Stats'!J51+'Regional Major'!M45</f>
        <v>525778</v>
      </c>
      <c r="C33" s="391">
        <f>+B33/C8</f>
        <v>0.36936022418251568</v>
      </c>
      <c r="D33" s="392">
        <f>+B33+'[2]Monthly Summary'!D33</f>
        <v>7352817</v>
      </c>
      <c r="E33" s="393">
        <f>+D33/D34</f>
        <v>0.39993230407534253</v>
      </c>
      <c r="G33" s="402"/>
      <c r="H33" s="402"/>
      <c r="I33" s="401"/>
    </row>
    <row r="34" spans="1:14" ht="13.5" thickBot="1" x14ac:dyDescent="0.25">
      <c r="B34" s="298"/>
      <c r="D34" s="394">
        <f>SUM(D32:D33)</f>
        <v>18385154</v>
      </c>
    </row>
    <row r="35" spans="1:14" ht="13.5" thickBot="1" x14ac:dyDescent="0.25">
      <c r="B35" s="532" t="s">
        <v>229</v>
      </c>
      <c r="C35" s="533"/>
      <c r="D35" s="534" t="s">
        <v>199</v>
      </c>
      <c r="E35" s="533"/>
    </row>
    <row r="36" spans="1:14" x14ac:dyDescent="0.2">
      <c r="A36" s="384" t="s">
        <v>150</v>
      </c>
      <c r="B36" s="385">
        <f>'[1]Monthly Summary'!$B$32</f>
        <v>874567</v>
      </c>
      <c r="C36" s="386">
        <f>+B36/B38</f>
        <v>0.61951686345180113</v>
      </c>
      <c r="D36" s="387">
        <f>'[1]Monthly Summary'!$D$32</f>
        <v>10500930</v>
      </c>
      <c r="E36" s="388">
        <f>+D36/D38</f>
        <v>0.5782211000954145</v>
      </c>
    </row>
    <row r="37" spans="1:14" ht="13.5" thickBot="1" x14ac:dyDescent="0.25">
      <c r="A37" s="389" t="s">
        <v>151</v>
      </c>
      <c r="B37" s="390">
        <f>'[1]Monthly Summary'!$B$33</f>
        <v>537125</v>
      </c>
      <c r="C37" s="393">
        <f>+B37/B38</f>
        <v>0.38048313654819887</v>
      </c>
      <c r="D37" s="392">
        <f>'[1]Monthly Summary'!$D$33</f>
        <v>7659822</v>
      </c>
      <c r="E37" s="393">
        <f>+D37/D38</f>
        <v>0.42177889990458545</v>
      </c>
    </row>
    <row r="38" spans="1:14" x14ac:dyDescent="0.2">
      <c r="B38" s="409">
        <f>+SUM(B36:B37)</f>
        <v>1411692</v>
      </c>
      <c r="D38" s="394">
        <f>SUM(D36:D37)</f>
        <v>18160752</v>
      </c>
    </row>
    <row r="39" spans="1:14" x14ac:dyDescent="0.2">
      <c r="A39" s="398" t="s">
        <v>152</v>
      </c>
    </row>
    <row r="40" spans="1:14" x14ac:dyDescent="0.2">
      <c r="A40" s="222" t="s">
        <v>154</v>
      </c>
      <c r="I40" s="2"/>
    </row>
    <row r="41" spans="1:14" x14ac:dyDescent="0.2">
      <c r="N41" s="399"/>
    </row>
    <row r="42" spans="1:14" x14ac:dyDescent="0.2">
      <c r="G42" s="2"/>
      <c r="N42" s="399"/>
    </row>
    <row r="43" spans="1:14" x14ac:dyDescent="0.2">
      <c r="J43" s="2"/>
      <c r="N43" s="399"/>
    </row>
    <row r="44" spans="1:14" x14ac:dyDescent="0.2">
      <c r="N44" s="399"/>
    </row>
    <row r="45" spans="1:14" x14ac:dyDescent="0.2">
      <c r="J45" s="2"/>
      <c r="N45" s="399"/>
    </row>
    <row r="46" spans="1:14" x14ac:dyDescent="0.2">
      <c r="B46" s="2"/>
      <c r="F46" s="298"/>
    </row>
    <row r="47" spans="1:14" x14ac:dyDescent="0.2">
      <c r="N47" s="399"/>
    </row>
    <row r="51" spans="12:12" x14ac:dyDescent="0.2">
      <c r="L51" s="400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H1" sqref="H1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72">
        <v>43070</v>
      </c>
      <c r="B1" s="529" t="s">
        <v>17</v>
      </c>
      <c r="C1" s="529" t="s">
        <v>18</v>
      </c>
      <c r="D1" s="529" t="s">
        <v>19</v>
      </c>
      <c r="E1" s="529" t="s">
        <v>161</v>
      </c>
      <c r="F1" s="529" t="s">
        <v>168</v>
      </c>
      <c r="G1" s="529" t="s">
        <v>162</v>
      </c>
      <c r="H1" s="529" t="s">
        <v>222</v>
      </c>
      <c r="I1" s="529" t="s">
        <v>20</v>
      </c>
      <c r="J1" s="530" t="s">
        <v>21</v>
      </c>
    </row>
    <row r="2" spans="1:19" ht="15.75" thickTop="1" x14ac:dyDescent="0.25">
      <c r="A2" s="61" t="s">
        <v>3</v>
      </c>
      <c r="B2" s="521"/>
      <c r="C2" s="521"/>
      <c r="D2" s="521"/>
      <c r="E2" s="521"/>
      <c r="F2" s="521"/>
      <c r="G2" s="521"/>
      <c r="H2" s="521"/>
      <c r="I2" s="521"/>
      <c r="J2" s="522"/>
    </row>
    <row r="3" spans="1:19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53"/>
    </row>
    <row r="4" spans="1:19" x14ac:dyDescent="0.2">
      <c r="A4" s="59" t="s">
        <v>30</v>
      </c>
      <c r="B4" s="20">
        <f>[3]American!$FK$22</f>
        <v>79014</v>
      </c>
      <c r="C4" s="20">
        <f>[3]Delta!$FK$22+[3]Delta!$FK$32</f>
        <v>721226</v>
      </c>
      <c r="D4" s="20">
        <f>[3]United!$FK$22</f>
        <v>29614</v>
      </c>
      <c r="E4" s="20">
        <f>[3]Spirit!$FK$22</f>
        <v>42549</v>
      </c>
      <c r="F4" s="20">
        <f>[3]Condor!$FK$32</f>
        <v>0</v>
      </c>
      <c r="G4" s="20">
        <f>'[3]Air France'!$FK$32</f>
        <v>0</v>
      </c>
      <c r="H4" s="20">
        <f>[3]KLM!$FK$22+[3]KLM!$FK$32</f>
        <v>2820</v>
      </c>
      <c r="I4" s="20">
        <f>'Other Major Airline Stats'!J5</f>
        <v>217738</v>
      </c>
      <c r="J4" s="270">
        <f>SUM(B4:I4)</f>
        <v>1092961</v>
      </c>
    </row>
    <row r="5" spans="1:19" x14ac:dyDescent="0.2">
      <c r="A5" s="59" t="s">
        <v>31</v>
      </c>
      <c r="B5" s="14">
        <f>[3]American!$FK$23</f>
        <v>77281</v>
      </c>
      <c r="C5" s="14">
        <f>[3]Delta!$FK$23+[3]Delta!$FK$33</f>
        <v>731264</v>
      </c>
      <c r="D5" s="14">
        <f>[3]United!$FK$23</f>
        <v>29560</v>
      </c>
      <c r="E5" s="14">
        <f>[3]Spirit!$FK$23</f>
        <v>46886</v>
      </c>
      <c r="F5" s="14">
        <f>[3]Condor!$FK$33</f>
        <v>0</v>
      </c>
      <c r="G5" s="14">
        <f>'[3]Air France'!$FK$33</f>
        <v>0</v>
      </c>
      <c r="H5" s="14">
        <f>[3]KLM!$FK$23+[3]KLM!$FK$33</f>
        <v>2948</v>
      </c>
      <c r="I5" s="14">
        <f>'Other Major Airline Stats'!J6</f>
        <v>225392</v>
      </c>
      <c r="J5" s="271">
        <f>SUM(B5:I5)</f>
        <v>1113331</v>
      </c>
      <c r="L5" s="298"/>
      <c r="M5" s="298"/>
      <c r="N5" s="298"/>
      <c r="O5" s="298"/>
      <c r="P5" s="298"/>
      <c r="Q5" s="298"/>
      <c r="R5" s="298"/>
      <c r="S5" s="298"/>
    </row>
    <row r="6" spans="1:19" ht="15" x14ac:dyDescent="0.25">
      <c r="A6" s="57" t="s">
        <v>7</v>
      </c>
      <c r="B6" s="33">
        <f t="shared" ref="B6:I6" si="0">SUM(B4:B5)</f>
        <v>156295</v>
      </c>
      <c r="C6" s="33">
        <f t="shared" si="0"/>
        <v>1452490</v>
      </c>
      <c r="D6" s="33">
        <f t="shared" si="0"/>
        <v>59174</v>
      </c>
      <c r="E6" s="33">
        <f t="shared" si="0"/>
        <v>89435</v>
      </c>
      <c r="F6" s="33">
        <f t="shared" ref="F6:H6" si="1">SUM(F4:F5)</f>
        <v>0</v>
      </c>
      <c r="G6" s="33">
        <f t="shared" si="1"/>
        <v>0</v>
      </c>
      <c r="H6" s="33">
        <f t="shared" si="1"/>
        <v>5768</v>
      </c>
      <c r="I6" s="33">
        <f t="shared" si="0"/>
        <v>443130</v>
      </c>
      <c r="J6" s="272">
        <f>SUM(B6:I6)</f>
        <v>2206292</v>
      </c>
    </row>
    <row r="7" spans="1:19" x14ac:dyDescent="0.2">
      <c r="A7" s="59"/>
      <c r="B7" s="20"/>
      <c r="C7" s="20"/>
      <c r="D7" s="20"/>
      <c r="E7" s="20"/>
      <c r="F7" s="20"/>
      <c r="G7" s="20"/>
      <c r="H7" s="20"/>
      <c r="I7" s="20"/>
      <c r="J7" s="270"/>
    </row>
    <row r="8" spans="1:19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70">
        <f>SUM(B8:I8)</f>
        <v>0</v>
      </c>
    </row>
    <row r="9" spans="1:19" x14ac:dyDescent="0.2">
      <c r="A9" s="59" t="s">
        <v>30</v>
      </c>
      <c r="B9" s="20">
        <f>[3]American!$FK$27</f>
        <v>3028</v>
      </c>
      <c r="C9" s="20">
        <f>[3]Delta!$FK$27+[3]Delta!$FK$37</f>
        <v>28358</v>
      </c>
      <c r="D9" s="20">
        <f>[3]United!$FK$27</f>
        <v>854</v>
      </c>
      <c r="E9" s="20">
        <f>[3]Spirit!$FK$27</f>
        <v>363</v>
      </c>
      <c r="F9" s="20">
        <f>[3]Condor!$FK$37</f>
        <v>0</v>
      </c>
      <c r="G9" s="20">
        <f>'[3]Air France'!$FK$37</f>
        <v>0</v>
      </c>
      <c r="H9" s="20">
        <f>[3]KLM!$FK$27+[3]KLM!$FK$37</f>
        <v>22</v>
      </c>
      <c r="I9" s="20">
        <f>'Other Major Airline Stats'!J10</f>
        <v>3787</v>
      </c>
      <c r="J9" s="270">
        <f>SUM(B9:I9)</f>
        <v>36412</v>
      </c>
    </row>
    <row r="10" spans="1:19" x14ac:dyDescent="0.2">
      <c r="A10" s="59" t="s">
        <v>33</v>
      </c>
      <c r="B10" s="14">
        <f>[3]American!$FK$28</f>
        <v>3258</v>
      </c>
      <c r="C10" s="14">
        <f>[3]Delta!$FK$28+[3]Delta!$FK$38</f>
        <v>28803</v>
      </c>
      <c r="D10" s="14">
        <f>[3]United!$FK$28</f>
        <v>1041</v>
      </c>
      <c r="E10" s="14">
        <f>[3]Spirit!$FK$28</f>
        <v>338</v>
      </c>
      <c r="F10" s="14">
        <f>[3]Condor!$FK$38</f>
        <v>0</v>
      </c>
      <c r="G10" s="14">
        <f>'[3]Air France'!$FK$38</f>
        <v>0</v>
      </c>
      <c r="H10" s="14">
        <f>[3]KLM!$FK$28+[3]KLM!$FK$38</f>
        <v>19</v>
      </c>
      <c r="I10" s="14">
        <f>'Other Major Airline Stats'!J11</f>
        <v>3896</v>
      </c>
      <c r="J10" s="271">
        <f>SUM(B10:I10)</f>
        <v>37355</v>
      </c>
    </row>
    <row r="11" spans="1:19" ht="15.75" thickBot="1" x14ac:dyDescent="0.3">
      <c r="A11" s="60" t="s">
        <v>34</v>
      </c>
      <c r="B11" s="273">
        <f t="shared" ref="B11:I11" si="2">SUM(B9:B10)</f>
        <v>6286</v>
      </c>
      <c r="C11" s="273">
        <f t="shared" si="2"/>
        <v>57161</v>
      </c>
      <c r="D11" s="273">
        <f t="shared" si="2"/>
        <v>1895</v>
      </c>
      <c r="E11" s="273">
        <f t="shared" si="2"/>
        <v>701</v>
      </c>
      <c r="F11" s="273">
        <f t="shared" ref="F11:H11" si="3">SUM(F9:F10)</f>
        <v>0</v>
      </c>
      <c r="G11" s="273">
        <f t="shared" si="3"/>
        <v>0</v>
      </c>
      <c r="H11" s="273">
        <f t="shared" si="3"/>
        <v>41</v>
      </c>
      <c r="I11" s="273">
        <f t="shared" si="2"/>
        <v>7683</v>
      </c>
      <c r="J11" s="274">
        <f>SUM(B11:I11)</f>
        <v>73767</v>
      </c>
    </row>
    <row r="13" spans="1:19" ht="13.5" thickBot="1" x14ac:dyDescent="0.25"/>
    <row r="14" spans="1:19" ht="15.75" thickTop="1" x14ac:dyDescent="0.25">
      <c r="A14" s="58" t="s">
        <v>9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9" x14ac:dyDescent="0.2">
      <c r="A15" s="59" t="s">
        <v>22</v>
      </c>
      <c r="B15" s="20">
        <f>[3]American!$FK$4</f>
        <v>636</v>
      </c>
      <c r="C15" s="20">
        <f>[3]Delta!$FK$4+[3]Delta!$FK$15</f>
        <v>5605</v>
      </c>
      <c r="D15" s="20">
        <f>[3]United!$FK$4</f>
        <v>235</v>
      </c>
      <c r="E15" s="20">
        <f>[3]Spirit!$FK$4</f>
        <v>359</v>
      </c>
      <c r="F15" s="20">
        <f>[3]Condor!$FK$15</f>
        <v>0</v>
      </c>
      <c r="G15" s="20">
        <f>'[3]Air France'!$FK$15</f>
        <v>0</v>
      </c>
      <c r="H15" s="20">
        <f>[3]KLM!$FK$4+[3]KLM!$FK$15</f>
        <v>14</v>
      </c>
      <c r="I15" s="20">
        <f>'Other Major Airline Stats'!J16</f>
        <v>1942</v>
      </c>
      <c r="J15" s="26">
        <f>SUM(B15:I15)</f>
        <v>8791</v>
      </c>
    </row>
    <row r="16" spans="1:19" x14ac:dyDescent="0.2">
      <c r="A16" s="59" t="s">
        <v>23</v>
      </c>
      <c r="B16" s="14">
        <f>[3]American!$FK$5</f>
        <v>634</v>
      </c>
      <c r="C16" s="14">
        <f>[3]Delta!$FK$5+[3]Delta!$FK$16</f>
        <v>5606</v>
      </c>
      <c r="D16" s="14">
        <f>[3]United!$FK$5</f>
        <v>235</v>
      </c>
      <c r="E16" s="14">
        <f>[3]Spirit!$FK$5</f>
        <v>359</v>
      </c>
      <c r="F16" s="14">
        <f>[3]Condor!$FK$16</f>
        <v>0</v>
      </c>
      <c r="G16" s="14">
        <f>'[3]Air France'!$FK$16</f>
        <v>0</v>
      </c>
      <c r="H16" s="14">
        <f>[3]KLM!$FK$5+[3]KLM!$FK$16</f>
        <v>14</v>
      </c>
      <c r="I16" s="14">
        <f>'Other Major Airline Stats'!J17</f>
        <v>1937</v>
      </c>
      <c r="J16" s="32">
        <f>SUM(B16:I16)</f>
        <v>8785</v>
      </c>
    </row>
    <row r="17" spans="1:10" x14ac:dyDescent="0.2">
      <c r="A17" s="59" t="s">
        <v>24</v>
      </c>
      <c r="B17" s="277">
        <f t="shared" ref="B17:I17" si="4">SUM(B15:B16)</f>
        <v>1270</v>
      </c>
      <c r="C17" s="275">
        <f t="shared" si="4"/>
        <v>11211</v>
      </c>
      <c r="D17" s="275">
        <f t="shared" si="4"/>
        <v>470</v>
      </c>
      <c r="E17" s="275">
        <f t="shared" si="4"/>
        <v>718</v>
      </c>
      <c r="F17" s="275">
        <f t="shared" ref="F17:H17" si="5">SUM(F15:F16)</f>
        <v>0</v>
      </c>
      <c r="G17" s="275">
        <f t="shared" si="5"/>
        <v>0</v>
      </c>
      <c r="H17" s="275">
        <f t="shared" si="5"/>
        <v>28</v>
      </c>
      <c r="I17" s="275">
        <f t="shared" si="4"/>
        <v>3879</v>
      </c>
      <c r="J17" s="276">
        <f>SUM(B17:I17)</f>
        <v>17576</v>
      </c>
    </row>
    <row r="18" spans="1:10" x14ac:dyDescent="0.2">
      <c r="A18" s="59"/>
      <c r="B18" s="20"/>
      <c r="C18" s="20"/>
      <c r="D18" s="20"/>
      <c r="E18" s="20"/>
      <c r="F18" s="20"/>
      <c r="G18" s="20"/>
      <c r="H18" s="20"/>
      <c r="I18" s="20"/>
      <c r="J18" s="26"/>
    </row>
    <row r="19" spans="1:10" x14ac:dyDescent="0.2">
      <c r="A19" s="59" t="s">
        <v>25</v>
      </c>
      <c r="B19" s="20">
        <f>[3]American!$FK$8</f>
        <v>1</v>
      </c>
      <c r="C19" s="20">
        <f>[3]Delta!$FK$8</f>
        <v>7</v>
      </c>
      <c r="D19" s="20">
        <f>[3]United!$FK$8</f>
        <v>0</v>
      </c>
      <c r="E19" s="20">
        <f>[3]Spirit!$FK$8</f>
        <v>0</v>
      </c>
      <c r="F19" s="20">
        <f>[3]Condor!$FK$8</f>
        <v>0</v>
      </c>
      <c r="G19" s="20">
        <f>'[3]Air France'!$FK$8</f>
        <v>0</v>
      </c>
      <c r="H19" s="20">
        <f>[3]KLM!$FK$8</f>
        <v>0</v>
      </c>
      <c r="I19" s="20">
        <f>'Other Major Airline Stats'!J20</f>
        <v>61</v>
      </c>
      <c r="J19" s="26">
        <f>SUM(B19:I19)</f>
        <v>69</v>
      </c>
    </row>
    <row r="20" spans="1:10" x14ac:dyDescent="0.2">
      <c r="A20" s="59" t="s">
        <v>26</v>
      </c>
      <c r="B20" s="14">
        <f>[3]American!$FK$9</f>
        <v>1</v>
      </c>
      <c r="C20" s="14">
        <f>[3]Delta!$FK$9</f>
        <v>10</v>
      </c>
      <c r="D20" s="14">
        <f>[3]United!$FK$9</f>
        <v>0</v>
      </c>
      <c r="E20" s="14">
        <f>[3]Spirit!$FK$9</f>
        <v>0</v>
      </c>
      <c r="F20" s="14">
        <f>[3]Condor!$FK$9</f>
        <v>0</v>
      </c>
      <c r="G20" s="14">
        <f>'[3]Air France'!$FK$9</f>
        <v>0</v>
      </c>
      <c r="H20" s="14">
        <f>[3]KLM!$FK$9</f>
        <v>0</v>
      </c>
      <c r="I20" s="14">
        <f>'Other Major Airline Stats'!J21</f>
        <v>59</v>
      </c>
      <c r="J20" s="32">
        <f>SUM(B20:I20)</f>
        <v>70</v>
      </c>
    </row>
    <row r="21" spans="1:10" x14ac:dyDescent="0.2">
      <c r="A21" s="59" t="s">
        <v>27</v>
      </c>
      <c r="B21" s="277">
        <f t="shared" ref="B21:I21" si="6">SUM(B19:B20)</f>
        <v>2</v>
      </c>
      <c r="C21" s="275">
        <f t="shared" si="6"/>
        <v>17</v>
      </c>
      <c r="D21" s="275">
        <f t="shared" si="6"/>
        <v>0</v>
      </c>
      <c r="E21" s="275">
        <f t="shared" si="6"/>
        <v>0</v>
      </c>
      <c r="F21" s="275">
        <f t="shared" ref="F21:H21" si="7">SUM(F19:F20)</f>
        <v>0</v>
      </c>
      <c r="G21" s="275">
        <f t="shared" si="7"/>
        <v>0</v>
      </c>
      <c r="H21" s="275">
        <f t="shared" si="7"/>
        <v>0</v>
      </c>
      <c r="I21" s="275">
        <f t="shared" si="6"/>
        <v>120</v>
      </c>
      <c r="J21" s="169">
        <f>SUM(B21:I21)</f>
        <v>139</v>
      </c>
    </row>
    <row r="22" spans="1:10" x14ac:dyDescent="0.2">
      <c r="A22" s="59"/>
      <c r="B22" s="20"/>
      <c r="C22" s="20"/>
      <c r="D22" s="20"/>
      <c r="E22" s="20"/>
      <c r="F22" s="20"/>
      <c r="G22" s="20"/>
      <c r="H22" s="20"/>
      <c r="I22" s="20"/>
      <c r="J22" s="26"/>
    </row>
    <row r="23" spans="1:10" ht="15.75" thickBot="1" x14ac:dyDescent="0.3">
      <c r="A23" s="60" t="s">
        <v>28</v>
      </c>
      <c r="B23" s="27">
        <f t="shared" ref="B23:I23" si="8">B17+B21</f>
        <v>1272</v>
      </c>
      <c r="C23" s="27">
        <f t="shared" si="8"/>
        <v>11228</v>
      </c>
      <c r="D23" s="27">
        <f t="shared" si="8"/>
        <v>470</v>
      </c>
      <c r="E23" s="27">
        <f>E17+E21</f>
        <v>718</v>
      </c>
      <c r="F23" s="27">
        <f t="shared" ref="F23:H23" si="9">F17+F21</f>
        <v>0</v>
      </c>
      <c r="G23" s="27">
        <f t="shared" si="9"/>
        <v>0</v>
      </c>
      <c r="H23" s="27">
        <f t="shared" si="9"/>
        <v>28</v>
      </c>
      <c r="I23" s="27">
        <f t="shared" si="8"/>
        <v>3999</v>
      </c>
      <c r="J23" s="28">
        <f>SUM(B23:I23)</f>
        <v>17715</v>
      </c>
    </row>
    <row r="25" spans="1:10" ht="13.5" thickBot="1" x14ac:dyDescent="0.25">
      <c r="B25" s="407"/>
      <c r="C25" s="407"/>
      <c r="D25" s="407"/>
      <c r="E25" s="407"/>
      <c r="F25" s="407"/>
      <c r="G25" s="407"/>
      <c r="H25" s="407"/>
      <c r="I25" s="407"/>
    </row>
    <row r="26" spans="1:10" ht="15.75" thickTop="1" x14ac:dyDescent="0.25">
      <c r="A26" s="62" t="s">
        <v>35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2">
      <c r="A27" s="59" t="s">
        <v>36</v>
      </c>
      <c r="B27" s="1"/>
      <c r="C27" s="1"/>
      <c r="D27" s="1"/>
      <c r="E27" s="1"/>
      <c r="F27" s="1"/>
      <c r="G27" s="1"/>
      <c r="H27" s="1"/>
      <c r="I27" s="1"/>
      <c r="J27" s="29"/>
    </row>
    <row r="28" spans="1:10" x14ac:dyDescent="0.2">
      <c r="A28" s="59" t="s">
        <v>37</v>
      </c>
      <c r="B28" s="20">
        <f>[3]American!$FK$47</f>
        <v>31641</v>
      </c>
      <c r="C28" s="20">
        <f>[3]Delta!$FK$47</f>
        <v>4370526</v>
      </c>
      <c r="D28" s="20">
        <f>[3]United!$FK$47</f>
        <v>28735</v>
      </c>
      <c r="E28" s="20">
        <f>[3]Spirit!$FK$47</f>
        <v>0</v>
      </c>
      <c r="F28" s="20">
        <f>[3]Condor!$FK$47</f>
        <v>0</v>
      </c>
      <c r="G28" s="20">
        <f>'[3]Air France'!$FK$47</f>
        <v>0</v>
      </c>
      <c r="H28" s="20">
        <f>[3]KLM!$FK$47</f>
        <v>393188</v>
      </c>
      <c r="I28" s="20">
        <f>'Other Major Airline Stats'!J28</f>
        <v>448275</v>
      </c>
      <c r="J28" s="26">
        <f>SUM(B28:I28)</f>
        <v>5272365</v>
      </c>
    </row>
    <row r="29" spans="1:10" x14ac:dyDescent="0.2">
      <c r="A29" s="59" t="s">
        <v>38</v>
      </c>
      <c r="B29" s="14">
        <f>[3]American!$FK$48</f>
        <v>50997</v>
      </c>
      <c r="C29" s="14">
        <f>[3]Delta!$FK$48</f>
        <v>1692021</v>
      </c>
      <c r="D29" s="14">
        <f>[3]United!$FK$48</f>
        <v>37948</v>
      </c>
      <c r="E29" s="14">
        <f>[3]Spirit!$FK$48</f>
        <v>0</v>
      </c>
      <c r="F29" s="14">
        <f>[3]Condor!$FK$48</f>
        <v>0</v>
      </c>
      <c r="G29" s="14">
        <f>'[3]Air France'!$FK$48</f>
        <v>0</v>
      </c>
      <c r="H29" s="14">
        <f>[3]KLM!$FK$48</f>
        <v>0</v>
      </c>
      <c r="I29" s="14">
        <f>'Other Major Airline Stats'!J29</f>
        <v>967794</v>
      </c>
      <c r="J29" s="32">
        <f>SUM(B29:I29)</f>
        <v>2748760</v>
      </c>
    </row>
    <row r="30" spans="1:10" x14ac:dyDescent="0.2">
      <c r="A30" s="63" t="s">
        <v>39</v>
      </c>
      <c r="B30" s="277">
        <f t="shared" ref="B30:I30" si="10">SUM(B28:B29)</f>
        <v>82638</v>
      </c>
      <c r="C30" s="277">
        <f t="shared" si="10"/>
        <v>6062547</v>
      </c>
      <c r="D30" s="277">
        <f t="shared" si="10"/>
        <v>66683</v>
      </c>
      <c r="E30" s="277">
        <f t="shared" si="10"/>
        <v>0</v>
      </c>
      <c r="F30" s="277">
        <f t="shared" ref="F30:H30" si="11">SUM(F28:F29)</f>
        <v>0</v>
      </c>
      <c r="G30" s="277">
        <f t="shared" si="11"/>
        <v>0</v>
      </c>
      <c r="H30" s="277">
        <f t="shared" si="11"/>
        <v>393188</v>
      </c>
      <c r="I30" s="277">
        <f t="shared" si="10"/>
        <v>1416069</v>
      </c>
      <c r="J30" s="26">
        <f>SUM(B30:I30)</f>
        <v>8021125</v>
      </c>
    </row>
    <row r="31" spans="1:10" x14ac:dyDescent="0.2">
      <c r="A31" s="59"/>
      <c r="B31" s="20"/>
      <c r="C31" s="20"/>
      <c r="D31" s="20"/>
      <c r="E31" s="20"/>
      <c r="F31" s="20"/>
      <c r="G31" s="20"/>
      <c r="H31" s="20"/>
      <c r="I31" s="20"/>
      <c r="J31" s="26"/>
    </row>
    <row r="32" spans="1:10" x14ac:dyDescent="0.2">
      <c r="A32" s="59" t="s">
        <v>40</v>
      </c>
      <c r="B32" s="20"/>
      <c r="C32" s="20"/>
      <c r="D32" s="20"/>
      <c r="E32" s="20"/>
      <c r="F32" s="20"/>
      <c r="G32" s="20"/>
      <c r="H32" s="20"/>
      <c r="I32" s="20"/>
      <c r="J32" s="26">
        <f t="shared" ref="J32:J40" si="12">SUM(B32:I32)</f>
        <v>0</v>
      </c>
    </row>
    <row r="33" spans="1:10" x14ac:dyDescent="0.2">
      <c r="A33" s="59" t="s">
        <v>37</v>
      </c>
      <c r="B33" s="20">
        <f>[3]American!$FK$52</f>
        <v>11698</v>
      </c>
      <c r="C33" s="20">
        <f>[3]Delta!$FK$52</f>
        <v>2407048</v>
      </c>
      <c r="D33" s="20">
        <f>[3]United!$FK$52</f>
        <v>9979</v>
      </c>
      <c r="E33" s="20">
        <f>[3]Spirit!$FK$52</f>
        <v>0</v>
      </c>
      <c r="F33" s="20">
        <f>[3]Condor!$FK$52</f>
        <v>0</v>
      </c>
      <c r="G33" s="20">
        <f>'[3]Air France'!$FK$52</f>
        <v>0</v>
      </c>
      <c r="H33" s="20">
        <f>[3]KLM!$FK$52</f>
        <v>238396</v>
      </c>
      <c r="I33" s="20">
        <f>'Other Major Airline Stats'!J33</f>
        <v>162747</v>
      </c>
      <c r="J33" s="26">
        <f t="shared" si="12"/>
        <v>2829868</v>
      </c>
    </row>
    <row r="34" spans="1:10" x14ac:dyDescent="0.2">
      <c r="A34" s="59" t="s">
        <v>38</v>
      </c>
      <c r="B34" s="14">
        <f>[3]American!$FK$53</f>
        <v>81196</v>
      </c>
      <c r="C34" s="14">
        <f>[3]Delta!$FK$53</f>
        <v>2146069</v>
      </c>
      <c r="D34" s="14">
        <f>[3]United!$FK$53</f>
        <v>84990</v>
      </c>
      <c r="E34" s="14">
        <f>[3]Spirit!$FK$53</f>
        <v>0</v>
      </c>
      <c r="F34" s="14">
        <f>[3]Condor!$FK$53</f>
        <v>0</v>
      </c>
      <c r="G34" s="14">
        <f>'[3]Air France'!$FK$53</f>
        <v>0</v>
      </c>
      <c r="H34" s="14">
        <f>[3]KLM!$FK$53</f>
        <v>0</v>
      </c>
      <c r="I34" s="14">
        <f>'Other Major Airline Stats'!J34</f>
        <v>713655</v>
      </c>
      <c r="J34" s="32">
        <f t="shared" si="12"/>
        <v>3025910</v>
      </c>
    </row>
    <row r="35" spans="1:10" x14ac:dyDescent="0.2">
      <c r="A35" s="63" t="s">
        <v>41</v>
      </c>
      <c r="B35" s="277">
        <f t="shared" ref="B35:I35" si="13">SUM(B33:B34)</f>
        <v>92894</v>
      </c>
      <c r="C35" s="277">
        <f t="shared" si="13"/>
        <v>4553117</v>
      </c>
      <c r="D35" s="277">
        <f t="shared" si="13"/>
        <v>94969</v>
      </c>
      <c r="E35" s="277">
        <f t="shared" si="13"/>
        <v>0</v>
      </c>
      <c r="F35" s="277">
        <f t="shared" ref="F35:H35" si="14">SUM(F33:F34)</f>
        <v>0</v>
      </c>
      <c r="G35" s="277">
        <f t="shared" si="14"/>
        <v>0</v>
      </c>
      <c r="H35" s="277">
        <f t="shared" si="14"/>
        <v>238396</v>
      </c>
      <c r="I35" s="277">
        <f t="shared" si="13"/>
        <v>876402</v>
      </c>
      <c r="J35" s="26">
        <f t="shared" si="12"/>
        <v>5855778</v>
      </c>
    </row>
    <row r="36" spans="1:10" hidden="1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6">
        <f t="shared" si="12"/>
        <v>0</v>
      </c>
    </row>
    <row r="37" spans="1:10" hidden="1" x14ac:dyDescent="0.2">
      <c r="A37" s="59" t="s">
        <v>42</v>
      </c>
      <c r="B37" s="20"/>
      <c r="C37" s="20"/>
      <c r="D37" s="20"/>
      <c r="E37" s="20"/>
      <c r="F37" s="20"/>
      <c r="G37" s="20"/>
      <c r="H37" s="20"/>
      <c r="I37" s="20"/>
      <c r="J37" s="26">
        <f t="shared" si="12"/>
        <v>0</v>
      </c>
    </row>
    <row r="38" spans="1:10" hidden="1" x14ac:dyDescent="0.2">
      <c r="A38" s="59" t="s">
        <v>37</v>
      </c>
      <c r="B38" s="20">
        <f>[3]American!$FK$57</f>
        <v>0</v>
      </c>
      <c r="C38" s="20">
        <f>[3]Delta!$FK$57</f>
        <v>0</v>
      </c>
      <c r="D38" s="20">
        <f>[3]United!$FK$57</f>
        <v>0</v>
      </c>
      <c r="E38" s="20">
        <f>[3]Spirit!$FK$57</f>
        <v>0</v>
      </c>
      <c r="F38" s="20">
        <f>[3]Condor!$FK$57</f>
        <v>0</v>
      </c>
      <c r="G38" s="20">
        <f>'[3]Air France'!$FK$57</f>
        <v>0</v>
      </c>
      <c r="H38" s="20">
        <f>[3]KLM!$FK$57</f>
        <v>0</v>
      </c>
      <c r="I38" s="20">
        <f>'Other Major Airline Stats'!J38</f>
        <v>0</v>
      </c>
      <c r="J38" s="26">
        <f t="shared" si="12"/>
        <v>0</v>
      </c>
    </row>
    <row r="39" spans="1:10" hidden="1" x14ac:dyDescent="0.2">
      <c r="A39" s="59" t="s">
        <v>38</v>
      </c>
      <c r="B39" s="14">
        <f>[3]American!$FK$58</f>
        <v>0</v>
      </c>
      <c r="C39" s="14">
        <f>[3]Delta!$FK$58</f>
        <v>0</v>
      </c>
      <c r="D39" s="14">
        <f>[3]United!$FK$58</f>
        <v>0</v>
      </c>
      <c r="E39" s="14">
        <f>[3]Spirit!$FK$58</f>
        <v>0</v>
      </c>
      <c r="F39" s="14">
        <f>[3]Condor!$FK$58</f>
        <v>0</v>
      </c>
      <c r="G39" s="14">
        <f>'[3]Air France'!$FK$58</f>
        <v>0</v>
      </c>
      <c r="H39" s="14">
        <f>[3]KLM!$FK$58</f>
        <v>0</v>
      </c>
      <c r="I39" s="14">
        <f>'Other Major Airline Stats'!J39</f>
        <v>0</v>
      </c>
      <c r="J39" s="32">
        <f t="shared" si="12"/>
        <v>0</v>
      </c>
    </row>
    <row r="40" spans="1:10" hidden="1" x14ac:dyDescent="0.2">
      <c r="A40" s="63" t="s">
        <v>43</v>
      </c>
      <c r="B40" s="277">
        <f t="shared" ref="B40:I40" si="15">SUM(B38:B39)</f>
        <v>0</v>
      </c>
      <c r="C40" s="277">
        <f t="shared" si="15"/>
        <v>0</v>
      </c>
      <c r="D40" s="277">
        <f t="shared" si="15"/>
        <v>0</v>
      </c>
      <c r="E40" s="277">
        <f t="shared" si="15"/>
        <v>0</v>
      </c>
      <c r="F40" s="277">
        <f t="shared" ref="F40:H40" si="16">SUM(F38:F39)</f>
        <v>0</v>
      </c>
      <c r="G40" s="277">
        <f t="shared" si="16"/>
        <v>0</v>
      </c>
      <c r="H40" s="277">
        <f t="shared" si="16"/>
        <v>0</v>
      </c>
      <c r="I40" s="277">
        <f t="shared" si="15"/>
        <v>0</v>
      </c>
      <c r="J40" s="26">
        <f t="shared" si="12"/>
        <v>0</v>
      </c>
    </row>
    <row r="41" spans="1:10" x14ac:dyDescent="0.2">
      <c r="A41" s="59"/>
      <c r="B41" s="20"/>
      <c r="C41" s="20"/>
      <c r="D41" s="20"/>
      <c r="E41" s="20"/>
      <c r="F41" s="20"/>
      <c r="G41" s="20"/>
      <c r="H41" s="20"/>
      <c r="I41" s="20"/>
      <c r="J41" s="26"/>
    </row>
    <row r="42" spans="1:10" x14ac:dyDescent="0.2">
      <c r="A42" s="59" t="s">
        <v>44</v>
      </c>
      <c r="B42" s="20"/>
      <c r="C42" s="20"/>
      <c r="D42" s="20"/>
      <c r="E42" s="20"/>
      <c r="F42" s="20"/>
      <c r="G42" s="20"/>
      <c r="H42" s="20"/>
      <c r="I42" s="20"/>
      <c r="J42" s="26">
        <f>SUM(B42:I42)</f>
        <v>0</v>
      </c>
    </row>
    <row r="43" spans="1:10" x14ac:dyDescent="0.2">
      <c r="A43" s="59" t="s">
        <v>45</v>
      </c>
      <c r="B43" s="20">
        <f t="shared" ref="B43:I44" si="17">B28+B33+B38</f>
        <v>43339</v>
      </c>
      <c r="C43" s="20">
        <f t="shared" si="17"/>
        <v>6777574</v>
      </c>
      <c r="D43" s="20">
        <f t="shared" si="17"/>
        <v>38714</v>
      </c>
      <c r="E43" s="20">
        <f>E28+E33+E38</f>
        <v>0</v>
      </c>
      <c r="F43" s="20">
        <f t="shared" ref="F43:H43" si="18">F28+F33+F38</f>
        <v>0</v>
      </c>
      <c r="G43" s="20">
        <f t="shared" si="18"/>
        <v>0</v>
      </c>
      <c r="H43" s="20">
        <f t="shared" si="18"/>
        <v>631584</v>
      </c>
      <c r="I43" s="20">
        <f t="shared" si="17"/>
        <v>611022</v>
      </c>
      <c r="J43" s="26">
        <f>SUM(B43:I43)</f>
        <v>8102233</v>
      </c>
    </row>
    <row r="44" spans="1:10" x14ac:dyDescent="0.2">
      <c r="A44" s="59" t="s">
        <v>38</v>
      </c>
      <c r="B44" s="14">
        <f t="shared" si="17"/>
        <v>132193</v>
      </c>
      <c r="C44" s="14">
        <f t="shared" si="17"/>
        <v>3838090</v>
      </c>
      <c r="D44" s="14">
        <f t="shared" si="17"/>
        <v>122938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1681449</v>
      </c>
      <c r="J44" s="26">
        <f>SUM(B44:I44)</f>
        <v>5774670</v>
      </c>
    </row>
    <row r="45" spans="1:10" ht="15.75" thickBot="1" x14ac:dyDescent="0.3">
      <c r="A45" s="60" t="s">
        <v>46</v>
      </c>
      <c r="B45" s="278">
        <f t="shared" ref="B45:I45" si="20">SUM(B43:B44)</f>
        <v>175532</v>
      </c>
      <c r="C45" s="278">
        <f t="shared" si="20"/>
        <v>10615664</v>
      </c>
      <c r="D45" s="278">
        <f t="shared" si="20"/>
        <v>161652</v>
      </c>
      <c r="E45" s="278">
        <f t="shared" si="20"/>
        <v>0</v>
      </c>
      <c r="F45" s="278">
        <f t="shared" ref="F45:H45" si="21">SUM(F43:F44)</f>
        <v>0</v>
      </c>
      <c r="G45" s="278">
        <f t="shared" si="21"/>
        <v>0</v>
      </c>
      <c r="H45" s="278">
        <f t="shared" si="21"/>
        <v>631584</v>
      </c>
      <c r="I45" s="278">
        <f t="shared" si="20"/>
        <v>2292471</v>
      </c>
      <c r="J45" s="279">
        <f>SUM(B45:I45)</f>
        <v>13876903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69" t="s">
        <v>125</v>
      </c>
      <c r="C47" s="308">
        <f>[3]Delta!$FK$70+[3]Delta!$FK$73</f>
        <v>372945</v>
      </c>
      <c r="D47" s="295"/>
      <c r="E47" s="295"/>
      <c r="F47" s="295"/>
      <c r="G47" s="295"/>
      <c r="H47" s="295"/>
      <c r="I47" s="295"/>
      <c r="J47" s="296">
        <f>SUM(B47:I47)</f>
        <v>372945</v>
      </c>
    </row>
    <row r="48" spans="1:10" hidden="1" x14ac:dyDescent="0.2">
      <c r="A48" s="370" t="s">
        <v>126</v>
      </c>
      <c r="C48" s="308">
        <f>[3]Delta!$FK$71+[3]Delta!$FK$74</f>
        <v>358319</v>
      </c>
      <c r="D48" s="295"/>
      <c r="E48" s="295"/>
      <c r="F48" s="295"/>
      <c r="G48" s="295"/>
      <c r="H48" s="295"/>
      <c r="I48" s="295"/>
      <c r="J48" s="296">
        <f>SUM(B48:I48)</f>
        <v>358319</v>
      </c>
    </row>
    <row r="49" spans="1:10" hidden="1" x14ac:dyDescent="0.2">
      <c r="A49" s="371" t="s">
        <v>127</v>
      </c>
      <c r="C49" s="309">
        <f>SUM(C47:C48)</f>
        <v>731264</v>
      </c>
      <c r="J49" s="296">
        <f>SUM(B49:I49)</f>
        <v>731264</v>
      </c>
    </row>
    <row r="50" spans="1:10" x14ac:dyDescent="0.2">
      <c r="A50" s="369" t="s">
        <v>125</v>
      </c>
      <c r="B50" s="381"/>
      <c r="C50" s="311">
        <f>[3]Delta!$FK$70+[3]Delta!$FK$73</f>
        <v>372945</v>
      </c>
      <c r="D50" s="381"/>
      <c r="E50" s="311">
        <f>[3]Spirit!$FK$70+[3]Spirit!$FK$73</f>
        <v>0</v>
      </c>
      <c r="F50" s="381"/>
      <c r="G50" s="381"/>
      <c r="H50" s="381"/>
      <c r="I50" s="310">
        <f>'Other Major Airline Stats'!J48</f>
        <v>189204</v>
      </c>
      <c r="J50" s="299">
        <f>SUM(B50:I50)</f>
        <v>562149</v>
      </c>
    </row>
    <row r="51" spans="1:10" x14ac:dyDescent="0.2">
      <c r="A51" s="383" t="s">
        <v>126</v>
      </c>
      <c r="B51" s="381"/>
      <c r="C51" s="311">
        <f>[3]Delta!$FK$71+[3]Delta!$FK$74</f>
        <v>358319</v>
      </c>
      <c r="D51" s="381"/>
      <c r="E51" s="311">
        <f>[3]Spirit!$FK$71+[3]Spirit!$FK$74</f>
        <v>0</v>
      </c>
      <c r="F51" s="381"/>
      <c r="G51" s="381"/>
      <c r="H51" s="381"/>
      <c r="I51" s="310">
        <f>+'Other Major Airline Stats'!J49</f>
        <v>3921</v>
      </c>
      <c r="J51" s="299">
        <f>SUM(B51:I51)</f>
        <v>362240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B1" zoomScaleNormal="100" workbookViewId="0">
      <selection activeCell="D6" sqref="D6:E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2">
        <v>43070</v>
      </c>
      <c r="B2" s="433" t="s">
        <v>47</v>
      </c>
      <c r="C2" s="433" t="s">
        <v>159</v>
      </c>
      <c r="D2" s="432" t="s">
        <v>206</v>
      </c>
      <c r="E2" s="432" t="s">
        <v>207</v>
      </c>
      <c r="F2" s="433" t="s">
        <v>48</v>
      </c>
      <c r="G2" s="432" t="s">
        <v>133</v>
      </c>
      <c r="H2" s="432" t="s">
        <v>49</v>
      </c>
      <c r="I2" s="432" t="s">
        <v>132</v>
      </c>
      <c r="J2" s="528" t="s">
        <v>62</v>
      </c>
      <c r="K2" s="7"/>
    </row>
    <row r="3" spans="1:13" ht="15.75" thickTop="1" x14ac:dyDescent="0.25">
      <c r="A3" s="61" t="s">
        <v>3</v>
      </c>
      <c r="B3" s="118"/>
      <c r="C3" s="118"/>
      <c r="D3" s="118"/>
      <c r="E3" s="118"/>
      <c r="F3" s="118"/>
      <c r="G3" s="118"/>
      <c r="H3" s="118"/>
      <c r="I3" s="118"/>
      <c r="J3" s="145"/>
    </row>
    <row r="4" spans="1:13" x14ac:dyDescent="0.2">
      <c r="A4" s="59" t="s">
        <v>29</v>
      </c>
      <c r="B4" s="111"/>
      <c r="C4" s="111"/>
      <c r="D4" s="111"/>
      <c r="E4" s="111"/>
      <c r="F4" s="111"/>
      <c r="G4" s="111"/>
      <c r="H4" s="111"/>
      <c r="I4" s="111"/>
      <c r="J4" s="146"/>
    </row>
    <row r="5" spans="1:13" x14ac:dyDescent="0.2">
      <c r="A5" s="59" t="s">
        <v>30</v>
      </c>
      <c r="B5" s="139">
        <f>[3]Frontier!$FK$22</f>
        <v>21304</v>
      </c>
      <c r="C5" s="139">
        <f>'[3]Great Lakes'!$FK$22</f>
        <v>0</v>
      </c>
      <c r="D5" s="111">
        <f>'[3]Air Choice One'!$FK$22</f>
        <v>492</v>
      </c>
      <c r="E5" s="111">
        <f>'[3]Boutique Air'!$FK$22</f>
        <v>436</v>
      </c>
      <c r="F5" s="139">
        <f>[3]Icelandair!$FK$32</f>
        <v>2133</v>
      </c>
      <c r="G5" s="111">
        <f>[3]Southwest!$FK$22</f>
        <v>76603</v>
      </c>
      <c r="H5" s="111">
        <f>'[3]Sun Country'!$FK$22+'[3]Sun Country'!$FK$32</f>
        <v>110115</v>
      </c>
      <c r="I5" s="111">
        <f>[3]Alaska!$FK$22</f>
        <v>6655</v>
      </c>
      <c r="J5" s="140">
        <f>SUM(B5:I5)</f>
        <v>217738</v>
      </c>
      <c r="M5" s="123"/>
    </row>
    <row r="6" spans="1:13" x14ac:dyDescent="0.2">
      <c r="A6" s="59" t="s">
        <v>31</v>
      </c>
      <c r="B6" s="139">
        <f>[3]Frontier!$FK$23</f>
        <v>22163</v>
      </c>
      <c r="C6" s="139">
        <f>'[3]Great Lakes'!$FK$23</f>
        <v>0</v>
      </c>
      <c r="D6" s="111">
        <f>'[3]Air Choice One'!$FK$23</f>
        <v>436</v>
      </c>
      <c r="E6" s="111">
        <f>'[3]Boutique Air'!$FK$23</f>
        <v>433</v>
      </c>
      <c r="F6" s="139">
        <f>[3]Icelandair!$FK$33</f>
        <v>2333</v>
      </c>
      <c r="G6" s="111">
        <f>[3]Southwest!$FK$23</f>
        <v>76139</v>
      </c>
      <c r="H6" s="111">
        <f>'[3]Sun Country'!$FK$23+'[3]Sun Country'!$FK$33</f>
        <v>116986</v>
      </c>
      <c r="I6" s="111">
        <f>[3]Alaska!$FK$23</f>
        <v>6902</v>
      </c>
      <c r="J6" s="140">
        <f>SUM(B6:I6)</f>
        <v>225392</v>
      </c>
    </row>
    <row r="7" spans="1:13" ht="15" x14ac:dyDescent="0.25">
      <c r="A7" s="57" t="s">
        <v>7</v>
      </c>
      <c r="B7" s="148">
        <f t="shared" ref="B7:I7" si="0">SUM(B5:B6)</f>
        <v>43467</v>
      </c>
      <c r="C7" s="148">
        <f t="shared" si="0"/>
        <v>0</v>
      </c>
      <c r="D7" s="148">
        <f t="shared" ref="D7:E7" si="1">SUM(D5:D6)</f>
        <v>928</v>
      </c>
      <c r="E7" s="148">
        <f t="shared" si="1"/>
        <v>869</v>
      </c>
      <c r="F7" s="148">
        <f t="shared" si="0"/>
        <v>4466</v>
      </c>
      <c r="G7" s="148">
        <f t="shared" si="0"/>
        <v>152742</v>
      </c>
      <c r="H7" s="148">
        <f>SUM(H5:H6)</f>
        <v>227101</v>
      </c>
      <c r="I7" s="148">
        <f t="shared" si="0"/>
        <v>13557</v>
      </c>
      <c r="J7" s="149">
        <f>SUM(B7:I7)</f>
        <v>443130</v>
      </c>
    </row>
    <row r="8" spans="1:13" x14ac:dyDescent="0.2">
      <c r="A8" s="59"/>
      <c r="B8" s="147"/>
      <c r="C8" s="147"/>
      <c r="D8" s="147"/>
      <c r="E8" s="147"/>
      <c r="F8" s="147"/>
      <c r="G8" s="147"/>
      <c r="H8" s="147"/>
      <c r="I8" s="147"/>
      <c r="J8" s="140"/>
    </row>
    <row r="9" spans="1:13" x14ac:dyDescent="0.2">
      <c r="A9" s="59" t="s">
        <v>32</v>
      </c>
      <c r="B9" s="147"/>
      <c r="C9" s="147"/>
      <c r="D9" s="147"/>
      <c r="E9" s="147"/>
      <c r="F9" s="147"/>
      <c r="G9" s="147"/>
      <c r="H9" s="147"/>
      <c r="I9" s="147"/>
      <c r="J9" s="140"/>
    </row>
    <row r="10" spans="1:13" x14ac:dyDescent="0.2">
      <c r="A10" s="59" t="s">
        <v>30</v>
      </c>
      <c r="B10" s="147">
        <f>[3]Frontier!$FK$27</f>
        <v>185</v>
      </c>
      <c r="C10" s="147">
        <f>'[3]Great Lakes'!$FK$27</f>
        <v>0</v>
      </c>
      <c r="D10" s="147">
        <f>'[3]Air Choice One'!$FK$27</f>
        <v>0</v>
      </c>
      <c r="E10" s="147">
        <f>'[3]Boutique Air'!$FK$27</f>
        <v>0</v>
      </c>
      <c r="F10" s="147">
        <f>[3]Icelandair!$FK$37</f>
        <v>72</v>
      </c>
      <c r="G10" s="147">
        <f>[3]Southwest!$FK$27</f>
        <v>1342</v>
      </c>
      <c r="H10" s="147">
        <f>'[3]Sun Country'!$FK$27+'[3]Sun Country'!$FK$37</f>
        <v>1948</v>
      </c>
      <c r="I10" s="147">
        <f>[3]Alaska!$FK$27</f>
        <v>240</v>
      </c>
      <c r="J10" s="140">
        <f>SUM(B10:I10)</f>
        <v>3787</v>
      </c>
    </row>
    <row r="11" spans="1:13" x14ac:dyDescent="0.2">
      <c r="A11" s="59" t="s">
        <v>33</v>
      </c>
      <c r="B11" s="150">
        <f>[3]Frontier!$FK$28</f>
        <v>170</v>
      </c>
      <c r="C11" s="150">
        <f>'[3]Great Lakes'!$FK$28</f>
        <v>0</v>
      </c>
      <c r="D11" s="150">
        <f>'[3]Air Choice One'!$FK$28</f>
        <v>0</v>
      </c>
      <c r="E11" s="150">
        <f>'[3]Boutique Air'!$FK$28</f>
        <v>0</v>
      </c>
      <c r="F11" s="150">
        <f>[3]Icelandair!$FK$38</f>
        <v>82</v>
      </c>
      <c r="G11" s="150">
        <f>[3]Southwest!$FK$28</f>
        <v>1404</v>
      </c>
      <c r="H11" s="150">
        <f>'[3]Sun Country'!$FK$28+'[3]Sun Country'!$FK$38</f>
        <v>1918</v>
      </c>
      <c r="I11" s="150">
        <f>[3]Alaska!$FK$28</f>
        <v>322</v>
      </c>
      <c r="J11" s="140">
        <f>SUM(B11:I11)</f>
        <v>3896</v>
      </c>
    </row>
    <row r="12" spans="1:13" ht="15.75" thickBot="1" x14ac:dyDescent="0.3">
      <c r="A12" s="60" t="s">
        <v>34</v>
      </c>
      <c r="B12" s="143">
        <f t="shared" ref="B12:I12" si="2">SUM(B10:B11)</f>
        <v>355</v>
      </c>
      <c r="C12" s="143">
        <f t="shared" si="2"/>
        <v>0</v>
      </c>
      <c r="D12" s="143">
        <f t="shared" ref="D12:E12" si="3">SUM(D10:D11)</f>
        <v>0</v>
      </c>
      <c r="E12" s="143">
        <f t="shared" si="3"/>
        <v>0</v>
      </c>
      <c r="F12" s="143">
        <f t="shared" si="2"/>
        <v>154</v>
      </c>
      <c r="G12" s="143">
        <f t="shared" si="2"/>
        <v>2746</v>
      </c>
      <c r="H12" s="143">
        <f>SUM(H10:H11)</f>
        <v>3866</v>
      </c>
      <c r="I12" s="143">
        <f t="shared" si="2"/>
        <v>562</v>
      </c>
      <c r="J12" s="151">
        <f>SUM(B12:I12)</f>
        <v>7683</v>
      </c>
      <c r="M12" s="123"/>
    </row>
    <row r="13" spans="1:13" ht="15" x14ac:dyDescent="0.25">
      <c r="A13" s="56"/>
      <c r="B13" s="281"/>
      <c r="C13" s="281"/>
      <c r="D13" s="281"/>
      <c r="E13" s="281"/>
      <c r="F13" s="281"/>
      <c r="G13" s="281"/>
      <c r="H13" s="281"/>
      <c r="I13" s="281"/>
      <c r="J13" s="282"/>
    </row>
    <row r="14" spans="1:13" ht="13.5" thickBot="1" x14ac:dyDescent="0.25"/>
    <row r="15" spans="1:13" ht="15.75" thickTop="1" x14ac:dyDescent="0.25">
      <c r="A15" s="58" t="s">
        <v>9</v>
      </c>
      <c r="B15" s="137"/>
      <c r="C15" s="137"/>
      <c r="D15" s="137"/>
      <c r="E15" s="137"/>
      <c r="F15" s="137"/>
      <c r="G15" s="137"/>
      <c r="H15" s="137"/>
      <c r="I15" s="137"/>
      <c r="J15" s="138"/>
    </row>
    <row r="16" spans="1:13" x14ac:dyDescent="0.2">
      <c r="A16" s="59" t="s">
        <v>22</v>
      </c>
      <c r="B16" s="139">
        <f>[3]Frontier!$FK$4</f>
        <v>124</v>
      </c>
      <c r="C16" s="139">
        <f>'[3]Great Lakes'!$FK$4</f>
        <v>0</v>
      </c>
      <c r="D16" s="99">
        <f>'[3]Air Choice One'!$FK$4</f>
        <v>130</v>
      </c>
      <c r="E16" s="99">
        <f>'[3]Boutique Air'!$FK$4</f>
        <v>77</v>
      </c>
      <c r="F16" s="139">
        <f>[3]Icelandair!$FK$15</f>
        <v>16</v>
      </c>
      <c r="G16" s="99">
        <f>[3]Southwest!$FK$4</f>
        <v>625</v>
      </c>
      <c r="H16" s="111">
        <f>'[3]Sun Country'!$FK$4+'[3]Sun Country'!$FK$15</f>
        <v>922</v>
      </c>
      <c r="I16" s="111">
        <f>[3]Alaska!$FK$4</f>
        <v>48</v>
      </c>
      <c r="J16" s="140">
        <f>SUM(B16:I16)</f>
        <v>1942</v>
      </c>
    </row>
    <row r="17" spans="1:257" x14ac:dyDescent="0.2">
      <c r="A17" s="59" t="s">
        <v>23</v>
      </c>
      <c r="B17" s="139">
        <f>[3]Frontier!$FK$5</f>
        <v>124</v>
      </c>
      <c r="C17" s="139">
        <f>'[3]Great Lakes'!$FK$5</f>
        <v>0</v>
      </c>
      <c r="D17" s="99">
        <f>'[3]Air Choice One'!$FK$5</f>
        <v>130</v>
      </c>
      <c r="E17" s="99">
        <f>'[3]Boutique Air'!$FK$5</f>
        <v>77</v>
      </c>
      <c r="F17" s="139">
        <f>[3]Icelandair!$FK$16</f>
        <v>16</v>
      </c>
      <c r="G17" s="99">
        <f>[3]Southwest!$FK$5</f>
        <v>626</v>
      </c>
      <c r="H17" s="111">
        <f>'[3]Sun Country'!$FK$5+'[3]Sun Country'!$FK$16</f>
        <v>916</v>
      </c>
      <c r="I17" s="111">
        <f>[3]Alaska!$FK$5</f>
        <v>48</v>
      </c>
      <c r="J17" s="140">
        <f>SUM(B17:I17)</f>
        <v>1937</v>
      </c>
      <c r="N17" s="499"/>
    </row>
    <row r="18" spans="1:257" x14ac:dyDescent="0.2">
      <c r="A18" s="63" t="s">
        <v>24</v>
      </c>
      <c r="B18" s="141">
        <f t="shared" ref="B18:I18" si="4">SUM(B16:B17)</f>
        <v>248</v>
      </c>
      <c r="C18" s="141">
        <f t="shared" si="4"/>
        <v>0</v>
      </c>
      <c r="D18" s="141">
        <f t="shared" ref="D18:E18" si="5">SUM(D16:D17)</f>
        <v>260</v>
      </c>
      <c r="E18" s="141">
        <f t="shared" si="5"/>
        <v>154</v>
      </c>
      <c r="F18" s="141">
        <f t="shared" si="4"/>
        <v>32</v>
      </c>
      <c r="G18" s="141">
        <f t="shared" si="4"/>
        <v>1251</v>
      </c>
      <c r="H18" s="141">
        <f t="shared" si="4"/>
        <v>1838</v>
      </c>
      <c r="I18" s="141">
        <f t="shared" si="4"/>
        <v>96</v>
      </c>
      <c r="J18" s="142">
        <f>SUM(B18:I18)</f>
        <v>3879</v>
      </c>
    </row>
    <row r="19" spans="1:257" x14ac:dyDescent="0.2">
      <c r="A19" s="63"/>
      <c r="B19" s="109"/>
      <c r="C19" s="109"/>
      <c r="D19" s="109"/>
      <c r="E19" s="109"/>
      <c r="F19" s="109"/>
      <c r="G19" s="109"/>
      <c r="H19" s="109"/>
      <c r="I19" s="109"/>
      <c r="J19" s="140"/>
    </row>
    <row r="20" spans="1:257" x14ac:dyDescent="0.2">
      <c r="A20" s="59" t="s">
        <v>25</v>
      </c>
      <c r="B20" s="139">
        <f>[3]Frontier!$FK$8</f>
        <v>0</v>
      </c>
      <c r="C20" s="139">
        <f>'[3]Great Lakes'!$FK$8</f>
        <v>0</v>
      </c>
      <c r="D20" s="111">
        <f>'[3]Air Choice One'!$FK$8</f>
        <v>0</v>
      </c>
      <c r="E20" s="111">
        <f>'[3]Boutique Air'!$FK$8</f>
        <v>0</v>
      </c>
      <c r="F20" s="139">
        <f>[3]Icelandair!$FK$8</f>
        <v>0</v>
      </c>
      <c r="G20" s="111">
        <f>[3]Southwest!$FK$8</f>
        <v>4</v>
      </c>
      <c r="H20" s="111">
        <f>'[3]Sun Country'!$FK$8</f>
        <v>57</v>
      </c>
      <c r="I20" s="111">
        <f>[3]Alaska!$FK$8</f>
        <v>0</v>
      </c>
      <c r="J20" s="140">
        <f>SUM(B20:I20)</f>
        <v>61</v>
      </c>
    </row>
    <row r="21" spans="1:257" x14ac:dyDescent="0.2">
      <c r="A21" s="59" t="s">
        <v>26</v>
      </c>
      <c r="B21" s="139">
        <f>[3]Frontier!$FK$9</f>
        <v>0</v>
      </c>
      <c r="C21" s="139">
        <f>'[3]Great Lakes'!$FK$9</f>
        <v>0</v>
      </c>
      <c r="D21" s="111">
        <f>'[3]Air Choice One'!$FK$9</f>
        <v>0</v>
      </c>
      <c r="E21" s="111">
        <f>'[3]Boutique Air'!$FK$9</f>
        <v>0</v>
      </c>
      <c r="F21" s="139">
        <f>[3]Icelandair!$FK$9</f>
        <v>0</v>
      </c>
      <c r="G21" s="111">
        <f>[3]Southwest!$FK$9</f>
        <v>1</v>
      </c>
      <c r="H21" s="111">
        <f>'[3]Sun Country'!$FK$9</f>
        <v>58</v>
      </c>
      <c r="I21" s="111">
        <f>[3]Alaska!$FK$9</f>
        <v>0</v>
      </c>
      <c r="J21" s="140">
        <f>SUM(B21:I21)</f>
        <v>59</v>
      </c>
    </row>
    <row r="22" spans="1:257" x14ac:dyDescent="0.2">
      <c r="A22" s="63" t="s">
        <v>27</v>
      </c>
      <c r="B22" s="141">
        <f t="shared" ref="B22:I22" si="6">SUM(B20:B21)</f>
        <v>0</v>
      </c>
      <c r="C22" s="141">
        <f t="shared" si="6"/>
        <v>0</v>
      </c>
      <c r="D22" s="141">
        <f t="shared" ref="D22:E22" si="7">SUM(D20:D21)</f>
        <v>0</v>
      </c>
      <c r="E22" s="141">
        <f t="shared" si="7"/>
        <v>0</v>
      </c>
      <c r="F22" s="141">
        <f t="shared" si="6"/>
        <v>0</v>
      </c>
      <c r="G22" s="141">
        <f t="shared" si="6"/>
        <v>5</v>
      </c>
      <c r="H22" s="141">
        <f t="shared" si="6"/>
        <v>115</v>
      </c>
      <c r="I22" s="141">
        <f t="shared" si="6"/>
        <v>0</v>
      </c>
      <c r="J22" s="142">
        <f>SUM(B22:I22)</f>
        <v>120</v>
      </c>
    </row>
    <row r="23" spans="1:257" ht="15.75" thickBot="1" x14ac:dyDescent="0.3">
      <c r="A23" s="60" t="s">
        <v>28</v>
      </c>
      <c r="B23" s="143">
        <f t="shared" ref="B23:I23" si="8">B22+B18</f>
        <v>248</v>
      </c>
      <c r="C23" s="143">
        <f t="shared" si="8"/>
        <v>0</v>
      </c>
      <c r="D23" s="143">
        <f t="shared" ref="D23:E23" si="9">D22+D18</f>
        <v>260</v>
      </c>
      <c r="E23" s="143">
        <f t="shared" si="9"/>
        <v>154</v>
      </c>
      <c r="F23" s="143">
        <f t="shared" si="8"/>
        <v>32</v>
      </c>
      <c r="G23" s="143">
        <f t="shared" si="8"/>
        <v>1256</v>
      </c>
      <c r="H23" s="143">
        <f t="shared" si="8"/>
        <v>1953</v>
      </c>
      <c r="I23" s="143">
        <f t="shared" si="8"/>
        <v>96</v>
      </c>
      <c r="J23" s="144">
        <f>SUM(B23:I23)</f>
        <v>3999</v>
      </c>
    </row>
    <row r="24" spans="1:257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</row>
    <row r="25" spans="1:257" ht="13.5" thickBot="1" x14ac:dyDescent="0.25">
      <c r="B25" s="407"/>
      <c r="C25" s="407"/>
      <c r="D25" s="407"/>
      <c r="E25" s="407"/>
      <c r="F25" s="407"/>
      <c r="G25" s="407"/>
      <c r="H25" s="407"/>
      <c r="I25" s="407"/>
      <c r="J25" s="123"/>
    </row>
    <row r="26" spans="1:257" ht="15.75" thickTop="1" x14ac:dyDescent="0.25">
      <c r="A26" s="62" t="s">
        <v>35</v>
      </c>
      <c r="B26" s="152"/>
      <c r="C26" s="152"/>
      <c r="D26" s="152"/>
      <c r="E26" s="152"/>
      <c r="F26" s="152"/>
      <c r="G26" s="152"/>
      <c r="H26" s="152"/>
      <c r="I26" s="152"/>
      <c r="J26" s="153"/>
    </row>
    <row r="27" spans="1:257" x14ac:dyDescent="0.2">
      <c r="A27" s="59" t="s">
        <v>36</v>
      </c>
      <c r="B27" s="154"/>
      <c r="C27" s="154"/>
      <c r="D27" s="154"/>
      <c r="E27" s="154"/>
      <c r="F27" s="154"/>
      <c r="G27" s="154"/>
      <c r="H27" s="154"/>
      <c r="I27" s="154"/>
      <c r="J27" s="146"/>
    </row>
    <row r="28" spans="1:257" x14ac:dyDescent="0.2">
      <c r="A28" s="59" t="s">
        <v>37</v>
      </c>
      <c r="B28" s="139">
        <f>[3]Frontier!$FK$47</f>
        <v>0</v>
      </c>
      <c r="C28" s="139">
        <f>'[3]Great Lakes'!$FK$47</f>
        <v>0</v>
      </c>
      <c r="D28" s="111">
        <f>'[3]Air Choice One'!$FK$47</f>
        <v>0</v>
      </c>
      <c r="E28" s="111">
        <f>'[3]Boutique Air'!$FK$47</f>
        <v>0</v>
      </c>
      <c r="F28" s="139">
        <f>[3]Icelandair!$FK$47</f>
        <v>52133</v>
      </c>
      <c r="G28" s="111">
        <f>[3]Southwest!$FK$47</f>
        <v>214050</v>
      </c>
      <c r="H28" s="111">
        <f>'[3]Sun Country'!$FK$47</f>
        <v>180368</v>
      </c>
      <c r="I28" s="111">
        <f>[3]Alaska!$FK$47</f>
        <v>1724</v>
      </c>
      <c r="J28" s="140">
        <f>SUM(B28:I28)</f>
        <v>448275</v>
      </c>
    </row>
    <row r="29" spans="1:257" x14ac:dyDescent="0.2">
      <c r="A29" s="59" t="s">
        <v>38</v>
      </c>
      <c r="B29" s="139">
        <f>[3]Frontier!$FK$48</f>
        <v>0</v>
      </c>
      <c r="C29" s="139">
        <f>'[3]Great Lakes'!$FK$48</f>
        <v>0</v>
      </c>
      <c r="D29" s="111">
        <f>'[3]Air Choice One'!$FK$48</f>
        <v>0</v>
      </c>
      <c r="E29" s="111">
        <f>'[3]Boutique Air'!$FK$48</f>
        <v>0</v>
      </c>
      <c r="F29" s="139">
        <f>[3]Icelandair!$FK$48</f>
        <v>0</v>
      </c>
      <c r="G29" s="111">
        <f>[3]Southwest!$FK$48</f>
        <v>0</v>
      </c>
      <c r="H29" s="111">
        <f>'[3]Sun Country'!$FK$48</f>
        <v>959263</v>
      </c>
      <c r="I29" s="111">
        <f>[3]Alaska!$FK$48</f>
        <v>8531</v>
      </c>
      <c r="J29" s="140">
        <f>SUM(B29:I29)</f>
        <v>967794</v>
      </c>
    </row>
    <row r="30" spans="1:257" x14ac:dyDescent="0.2">
      <c r="A30" s="63" t="s">
        <v>39</v>
      </c>
      <c r="B30" s="155">
        <f t="shared" ref="B30:I30" si="10">SUM(B28:B29)</f>
        <v>0</v>
      </c>
      <c r="C30" s="155">
        <f t="shared" si="10"/>
        <v>0</v>
      </c>
      <c r="D30" s="155">
        <f t="shared" ref="D30:E30" si="11">SUM(D28:D29)</f>
        <v>0</v>
      </c>
      <c r="E30" s="155">
        <f t="shared" si="11"/>
        <v>0</v>
      </c>
      <c r="F30" s="155">
        <f t="shared" si="10"/>
        <v>52133</v>
      </c>
      <c r="G30" s="155">
        <f t="shared" si="10"/>
        <v>214050</v>
      </c>
      <c r="H30" s="155">
        <f t="shared" si="10"/>
        <v>1139631</v>
      </c>
      <c r="I30" s="155">
        <f t="shared" si="10"/>
        <v>10255</v>
      </c>
      <c r="J30" s="158">
        <f>SUM(B30:I30)</f>
        <v>1416069</v>
      </c>
    </row>
    <row r="31" spans="1:257" x14ac:dyDescent="0.2">
      <c r="A31" s="59"/>
      <c r="B31" s="147"/>
      <c r="C31" s="147"/>
      <c r="D31" s="147"/>
      <c r="E31" s="147"/>
      <c r="F31" s="147"/>
      <c r="G31" s="147"/>
      <c r="H31" s="147"/>
      <c r="I31" s="147"/>
      <c r="J31" s="140"/>
    </row>
    <row r="32" spans="1:257" x14ac:dyDescent="0.2">
      <c r="A32" s="59" t="s">
        <v>40</v>
      </c>
      <c r="B32" s="139"/>
      <c r="C32" s="139"/>
      <c r="D32" s="111"/>
      <c r="E32" s="111"/>
      <c r="F32" s="139"/>
      <c r="G32" s="111"/>
      <c r="H32" s="111"/>
      <c r="I32" s="111"/>
      <c r="J32" s="140"/>
    </row>
    <row r="33" spans="1:10" x14ac:dyDescent="0.2">
      <c r="A33" s="59" t="s">
        <v>37</v>
      </c>
      <c r="B33" s="139">
        <f>[3]Frontier!$FK$52</f>
        <v>0</v>
      </c>
      <c r="C33" s="139">
        <f>'[3]Great Lakes'!$FK$52</f>
        <v>0</v>
      </c>
      <c r="D33" s="111">
        <f>'[3]Air Choice One'!$FK$52</f>
        <v>0</v>
      </c>
      <c r="E33" s="111">
        <f>'[3]Boutique Air'!$FK$52</f>
        <v>0</v>
      </c>
      <c r="F33" s="139">
        <f>[3]Icelandair!$FK$52</f>
        <v>0</v>
      </c>
      <c r="G33" s="111">
        <f>[3]Southwest!$FK$52</f>
        <v>41791</v>
      </c>
      <c r="H33" s="111">
        <f>'[3]Sun Country'!$FK$52</f>
        <v>113429</v>
      </c>
      <c r="I33" s="111">
        <f>[3]Alaska!$FK$52</f>
        <v>7527</v>
      </c>
      <c r="J33" s="140">
        <f>SUM(B33:I33)</f>
        <v>162747</v>
      </c>
    </row>
    <row r="34" spans="1:10" x14ac:dyDescent="0.2">
      <c r="A34" s="59" t="s">
        <v>38</v>
      </c>
      <c r="B34" s="139">
        <f>[3]Frontier!$FK$53</f>
        <v>0</v>
      </c>
      <c r="C34" s="139">
        <f>'[3]Great Lakes'!$FK$53</f>
        <v>0</v>
      </c>
      <c r="D34" s="111">
        <f>'[3]Air Choice One'!$FK$53</f>
        <v>0</v>
      </c>
      <c r="E34" s="111">
        <f>'[3]Boutique Air'!$FK$53</f>
        <v>0</v>
      </c>
      <c r="F34" s="139">
        <f>[3]Icelandair!$FK$53</f>
        <v>0</v>
      </c>
      <c r="G34" s="111">
        <f>[3]Southwest!$FK$53</f>
        <v>0</v>
      </c>
      <c r="H34" s="111">
        <f>'[3]Sun Country'!$FK$53</f>
        <v>713655</v>
      </c>
      <c r="I34" s="111">
        <f>[3]Alaska!$FK$53</f>
        <v>0</v>
      </c>
      <c r="J34" s="156">
        <f>SUM(B34:I34)</f>
        <v>713655</v>
      </c>
    </row>
    <row r="35" spans="1:10" x14ac:dyDescent="0.2">
      <c r="A35" s="63" t="s">
        <v>41</v>
      </c>
      <c r="B35" s="157">
        <f t="shared" ref="B35:I35" si="12">SUM(B33:B34)</f>
        <v>0</v>
      </c>
      <c r="C35" s="157">
        <f t="shared" si="12"/>
        <v>0</v>
      </c>
      <c r="D35" s="157">
        <f t="shared" ref="D35:E35" si="13">SUM(D33:D34)</f>
        <v>0</v>
      </c>
      <c r="E35" s="157">
        <f t="shared" si="13"/>
        <v>0</v>
      </c>
      <c r="F35" s="157">
        <f t="shared" si="12"/>
        <v>0</v>
      </c>
      <c r="G35" s="157">
        <f t="shared" si="12"/>
        <v>41791</v>
      </c>
      <c r="H35" s="157">
        <f t="shared" si="12"/>
        <v>827084</v>
      </c>
      <c r="I35" s="157">
        <f t="shared" si="12"/>
        <v>7527</v>
      </c>
      <c r="J35" s="158">
        <f>SUM(B35:I35)</f>
        <v>876402</v>
      </c>
    </row>
    <row r="36" spans="1:10" hidden="1" x14ac:dyDescent="0.2">
      <c r="A36" s="59"/>
      <c r="B36" s="147"/>
      <c r="C36" s="147"/>
      <c r="D36" s="147"/>
      <c r="E36" s="147"/>
      <c r="F36" s="147"/>
      <c r="G36" s="147"/>
      <c r="H36" s="147"/>
      <c r="I36" s="147"/>
      <c r="J36" s="140"/>
    </row>
    <row r="37" spans="1:10" hidden="1" x14ac:dyDescent="0.2">
      <c r="A37" s="59" t="s">
        <v>42</v>
      </c>
      <c r="B37" s="147"/>
      <c r="C37" s="147"/>
      <c r="D37" s="147"/>
      <c r="E37" s="147"/>
      <c r="F37" s="147"/>
      <c r="G37" s="147"/>
      <c r="H37" s="147"/>
      <c r="I37" s="147"/>
      <c r="J37" s="140"/>
    </row>
    <row r="38" spans="1:10" hidden="1" x14ac:dyDescent="0.2">
      <c r="A38" s="59" t="s">
        <v>37</v>
      </c>
      <c r="B38" s="147">
        <f>[3]Frontier!$FK$57</f>
        <v>0</v>
      </c>
      <c r="C38" s="147">
        <f>'[3]Great Lakes'!$FK$57</f>
        <v>0</v>
      </c>
      <c r="D38" s="147">
        <f>'[3]Air Choice One'!$FK$57</f>
        <v>0</v>
      </c>
      <c r="E38" s="147">
        <f>'[3]Boutique Air'!$FK$57</f>
        <v>0</v>
      </c>
      <c r="F38" s="147">
        <f>[3]Icelandair!$FK$57</f>
        <v>0</v>
      </c>
      <c r="G38" s="147">
        <f>[3]Southwest!$FK$57</f>
        <v>0</v>
      </c>
      <c r="H38" s="147">
        <f>'[3]Sun Country'!$FK$57</f>
        <v>0</v>
      </c>
      <c r="I38" s="147">
        <f>[3]Alaska!$FK$57</f>
        <v>0</v>
      </c>
      <c r="J38" s="140">
        <f>SUM(B38:H38)</f>
        <v>0</v>
      </c>
    </row>
    <row r="39" spans="1:10" hidden="1" x14ac:dyDescent="0.2">
      <c r="A39" s="59" t="s">
        <v>38</v>
      </c>
      <c r="B39" s="150">
        <f>[3]Frontier!$FK$58</f>
        <v>0</v>
      </c>
      <c r="C39" s="150">
        <f>'[3]Great Lakes'!$FK$58</f>
        <v>0</v>
      </c>
      <c r="D39" s="150">
        <f>'[3]Air Choice One'!$FK$58</f>
        <v>0</v>
      </c>
      <c r="E39" s="150">
        <f>'[3]Boutique Air'!$FK$58</f>
        <v>0</v>
      </c>
      <c r="F39" s="150">
        <f>[3]Icelandair!$FK$58</f>
        <v>0</v>
      </c>
      <c r="G39" s="150">
        <f>[3]Southwest!$FK$58</f>
        <v>0</v>
      </c>
      <c r="H39" s="150">
        <f>'[3]Sun Country'!$FK$58</f>
        <v>0</v>
      </c>
      <c r="I39" s="150">
        <f>[3]Alaska!$FK$58</f>
        <v>0</v>
      </c>
      <c r="J39" s="156">
        <f>SUM(B39:H39)</f>
        <v>0</v>
      </c>
    </row>
    <row r="40" spans="1:10" hidden="1" x14ac:dyDescent="0.2">
      <c r="A40" s="63" t="s">
        <v>43</v>
      </c>
      <c r="B40" s="159">
        <f t="shared" ref="B40:I40" si="14">SUM(B38:B39)</f>
        <v>0</v>
      </c>
      <c r="C40" s="159">
        <f t="shared" si="14"/>
        <v>0</v>
      </c>
      <c r="D40" s="159">
        <f t="shared" ref="D40:E40" si="15">SUM(D38:D39)</f>
        <v>0</v>
      </c>
      <c r="E40" s="159">
        <f t="shared" si="15"/>
        <v>0</v>
      </c>
      <c r="F40" s="159">
        <f t="shared" si="14"/>
        <v>0</v>
      </c>
      <c r="G40" s="159">
        <f t="shared" si="14"/>
        <v>0</v>
      </c>
      <c r="H40" s="159">
        <f t="shared" si="14"/>
        <v>0</v>
      </c>
      <c r="I40" s="159">
        <f t="shared" si="14"/>
        <v>0</v>
      </c>
      <c r="J40" s="140">
        <f>SUM(B40:H40)</f>
        <v>0</v>
      </c>
    </row>
    <row r="41" spans="1:10" x14ac:dyDescent="0.2">
      <c r="A41" s="59"/>
      <c r="B41" s="147"/>
      <c r="C41" s="147"/>
      <c r="D41" s="147"/>
      <c r="E41" s="147"/>
      <c r="F41" s="147"/>
      <c r="G41" s="147"/>
      <c r="H41" s="147"/>
      <c r="I41" s="147"/>
      <c r="J41" s="140"/>
    </row>
    <row r="42" spans="1:10" x14ac:dyDescent="0.2">
      <c r="A42" s="59" t="s">
        <v>44</v>
      </c>
      <c r="B42" s="147"/>
      <c r="C42" s="147"/>
      <c r="D42" s="147"/>
      <c r="E42" s="147"/>
      <c r="F42" s="147"/>
      <c r="G42" s="147"/>
      <c r="H42" s="147"/>
      <c r="I42" s="147"/>
      <c r="J42" s="140"/>
    </row>
    <row r="43" spans="1:10" x14ac:dyDescent="0.2">
      <c r="A43" s="59" t="s">
        <v>45</v>
      </c>
      <c r="B43" s="147">
        <f t="shared" ref="B43:I43" si="16">B28+B33+B38</f>
        <v>0</v>
      </c>
      <c r="C43" s="147">
        <f>C28+C33+C38</f>
        <v>0</v>
      </c>
      <c r="D43" s="147">
        <f t="shared" ref="D43:E43" si="17">D28+D33+D38</f>
        <v>0</v>
      </c>
      <c r="E43" s="147">
        <f t="shared" si="17"/>
        <v>0</v>
      </c>
      <c r="F43" s="147">
        <f t="shared" si="16"/>
        <v>52133</v>
      </c>
      <c r="G43" s="147">
        <f t="shared" si="16"/>
        <v>255841</v>
      </c>
      <c r="H43" s="147">
        <f t="shared" si="16"/>
        <v>293797</v>
      </c>
      <c r="I43" s="147">
        <f t="shared" si="16"/>
        <v>9251</v>
      </c>
      <c r="J43" s="140">
        <f>SUM(B43:I43)</f>
        <v>611022</v>
      </c>
    </row>
    <row r="44" spans="1:10" x14ac:dyDescent="0.2">
      <c r="A44" s="59" t="s">
        <v>38</v>
      </c>
      <c r="B44" s="150">
        <f t="shared" ref="B44:I44" si="18">+B39+B34+B29</f>
        <v>0</v>
      </c>
      <c r="C44" s="150">
        <f>+C39+C34+C29</f>
        <v>0</v>
      </c>
      <c r="D44" s="150">
        <f t="shared" ref="D44:E44" si="19">+D39+D34+D29</f>
        <v>0</v>
      </c>
      <c r="E44" s="150">
        <f t="shared" si="19"/>
        <v>0</v>
      </c>
      <c r="F44" s="150">
        <f t="shared" si="18"/>
        <v>0</v>
      </c>
      <c r="G44" s="150">
        <f t="shared" si="18"/>
        <v>0</v>
      </c>
      <c r="H44" s="150">
        <f t="shared" si="18"/>
        <v>1672918</v>
      </c>
      <c r="I44" s="150">
        <f t="shared" si="18"/>
        <v>8531</v>
      </c>
      <c r="J44" s="140">
        <f>SUM(B44:I44)</f>
        <v>1681449</v>
      </c>
    </row>
    <row r="45" spans="1:10" ht="15.75" thickBot="1" x14ac:dyDescent="0.3">
      <c r="A45" s="60" t="s">
        <v>46</v>
      </c>
      <c r="B45" s="160">
        <f t="shared" ref="B45:I45" si="20">B43+B44</f>
        <v>0</v>
      </c>
      <c r="C45" s="160">
        <f t="shared" si="20"/>
        <v>0</v>
      </c>
      <c r="D45" s="160">
        <f t="shared" ref="D45:E45" si="21">D43+D44</f>
        <v>0</v>
      </c>
      <c r="E45" s="160">
        <f t="shared" si="21"/>
        <v>0</v>
      </c>
      <c r="F45" s="160">
        <f t="shared" si="20"/>
        <v>52133</v>
      </c>
      <c r="G45" s="160">
        <f t="shared" si="20"/>
        <v>255841</v>
      </c>
      <c r="H45" s="160">
        <f t="shared" si="20"/>
        <v>1966715</v>
      </c>
      <c r="I45" s="160">
        <f t="shared" si="20"/>
        <v>17782</v>
      </c>
      <c r="J45" s="161">
        <f>SUM(B45:I45)</f>
        <v>2292471</v>
      </c>
    </row>
    <row r="48" spans="1:10" x14ac:dyDescent="0.2">
      <c r="A48" s="369" t="s">
        <v>125</v>
      </c>
      <c r="B48" s="381"/>
      <c r="C48" s="381"/>
      <c r="D48" s="381"/>
      <c r="E48" s="381"/>
      <c r="G48" s="311">
        <f>[3]Southwest!$FK$70+[3]Southwest!$FK$73</f>
        <v>75789</v>
      </c>
      <c r="H48" s="311">
        <f>'[3]Sun Country'!$FK$70+'[3]Sun Country'!$FK$73</f>
        <v>113415</v>
      </c>
      <c r="I48" s="381"/>
      <c r="J48" s="299">
        <f>SUM(B48:I48)</f>
        <v>189204</v>
      </c>
    </row>
    <row r="49" spans="1:10" x14ac:dyDescent="0.2">
      <c r="A49" s="383" t="s">
        <v>126</v>
      </c>
      <c r="B49" s="381"/>
      <c r="C49" s="381"/>
      <c r="D49" s="381"/>
      <c r="E49" s="381"/>
      <c r="G49" s="311">
        <f>[3]Southwest!$FK$71+[3]Southwest!$FK$74</f>
        <v>350</v>
      </c>
      <c r="H49" s="311">
        <f>'[3]Sun Country'!$FK$71+'[3]Sun Country'!$FK$74</f>
        <v>3571</v>
      </c>
      <c r="I49" s="381"/>
      <c r="J49" s="299">
        <f>SUM(B49:I49)</f>
        <v>3921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December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Normal="100" workbookViewId="0">
      <selection activeCell="G15" sqref="G1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s="7" customFormat="1" x14ac:dyDescent="0.2">
      <c r="A1" s="379"/>
    </row>
    <row r="2" spans="1:16" s="7" customFormat="1" ht="51.75" thickBot="1" x14ac:dyDescent="0.25">
      <c r="A2" s="372">
        <v>43070</v>
      </c>
      <c r="B2" s="431" t="s">
        <v>163</v>
      </c>
      <c r="C2" s="431" t="s">
        <v>166</v>
      </c>
      <c r="D2" s="431" t="s">
        <v>185</v>
      </c>
      <c r="E2" s="431" t="s">
        <v>184</v>
      </c>
      <c r="F2" s="431" t="s">
        <v>186</v>
      </c>
      <c r="G2" s="431" t="s">
        <v>221</v>
      </c>
      <c r="H2" s="431" t="s">
        <v>190</v>
      </c>
      <c r="I2" s="431" t="s">
        <v>208</v>
      </c>
      <c r="J2" s="431" t="s">
        <v>226</v>
      </c>
      <c r="K2" s="431" t="s">
        <v>189</v>
      </c>
      <c r="L2" s="18" t="s">
        <v>119</v>
      </c>
      <c r="M2" s="18" t="s">
        <v>21</v>
      </c>
    </row>
    <row r="3" spans="1:16" ht="15.75" thickTop="1" x14ac:dyDescent="0.25">
      <c r="A3" s="269" t="s">
        <v>3</v>
      </c>
      <c r="B3" s="118"/>
      <c r="C3" s="119"/>
      <c r="D3" s="118"/>
      <c r="E3" s="118"/>
      <c r="F3" s="118"/>
      <c r="G3" s="118"/>
      <c r="H3" s="118"/>
      <c r="I3" s="118"/>
      <c r="J3" s="118"/>
      <c r="K3" s="118"/>
      <c r="L3" s="118"/>
      <c r="M3" s="120"/>
    </row>
    <row r="4" spans="1:16" x14ac:dyDescent="0.2">
      <c r="A4" s="59" t="s">
        <v>29</v>
      </c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03"/>
    </row>
    <row r="5" spans="1:16" x14ac:dyDescent="0.2">
      <c r="A5" s="59" t="s">
        <v>30</v>
      </c>
      <c r="B5" s="124">
        <f>[3]Pinnacle!$FK$22+[3]Pinnacle!$FK$32</f>
        <v>85839</v>
      </c>
      <c r="C5" s="125">
        <f>[3]MESA_UA!$FK$22</f>
        <v>6299</v>
      </c>
      <c r="D5" s="123">
        <f>'[3]Sky West'!$FK$22+'[3]Sky West'!$FK$32</f>
        <v>154135</v>
      </c>
      <c r="E5" s="123">
        <f>'[3]Sky West_UA'!$FK$22</f>
        <v>6858</v>
      </c>
      <c r="F5" s="123">
        <f>'[3]Sky West_AS'!$FK$22</f>
        <v>4411</v>
      </c>
      <c r="G5" s="123">
        <f>'[3]Sky West_AA'!$FK$22</f>
        <v>44</v>
      </c>
      <c r="H5" s="123">
        <f>[3]Republic!$FK$22</f>
        <v>9998</v>
      </c>
      <c r="I5" s="123">
        <f>[3]Republic_UA!$FK$22</f>
        <v>14713</v>
      </c>
      <c r="J5" s="123">
        <f>'[3]Sky Regional'!$FK$32</f>
        <v>4230</v>
      </c>
      <c r="K5" s="123">
        <f>'[3]American Eagle'!$FK$22</f>
        <v>541</v>
      </c>
      <c r="L5" s="123">
        <f>'Other Regional'!M5</f>
        <v>28620</v>
      </c>
      <c r="M5" s="103">
        <f>SUM(B5:L5)</f>
        <v>315688</v>
      </c>
    </row>
    <row r="6" spans="1:16" s="10" customFormat="1" x14ac:dyDescent="0.2">
      <c r="A6" s="59" t="s">
        <v>31</v>
      </c>
      <c r="B6" s="124">
        <f>[3]Pinnacle!$FK$23+[3]Pinnacle!$FK$33</f>
        <v>84260</v>
      </c>
      <c r="C6" s="125">
        <f>[3]MESA_UA!$FK$23</f>
        <v>6775</v>
      </c>
      <c r="D6" s="123">
        <f>'[3]Sky West'!$FK$23+'[3]Sky West'!$FK$33</f>
        <v>150454</v>
      </c>
      <c r="E6" s="123">
        <f>'[3]Sky West_UA'!$FK$23</f>
        <v>6672</v>
      </c>
      <c r="F6" s="123">
        <f>'[3]Sky West_AS'!$FK$23</f>
        <v>4677</v>
      </c>
      <c r="G6" s="123">
        <f>'[3]Sky West_AA'!$FK$23</f>
        <v>0</v>
      </c>
      <c r="H6" s="123">
        <f>[3]Republic!$FK$23</f>
        <v>10140</v>
      </c>
      <c r="I6" s="123">
        <f>[3]Republic_UA!$FK$23</f>
        <v>14492</v>
      </c>
      <c r="J6" s="123">
        <f>'[3]Sky Regional'!$FK$33</f>
        <v>4021</v>
      </c>
      <c r="K6" s="123">
        <f>'[3]American Eagle'!$FK$23</f>
        <v>522</v>
      </c>
      <c r="L6" s="123">
        <f>'Other Regional'!M6</f>
        <v>27989</v>
      </c>
      <c r="M6" s="108">
        <f>SUM(B6:L6)</f>
        <v>310002</v>
      </c>
    </row>
    <row r="7" spans="1:16" ht="15" thickBot="1" x14ac:dyDescent="0.25">
      <c r="A7" s="70" t="s">
        <v>7</v>
      </c>
      <c r="B7" s="126">
        <f>SUM(B5:B6)</f>
        <v>170099</v>
      </c>
      <c r="C7" s="126">
        <f t="shared" ref="C7:L7" si="0">SUM(C5:C6)</f>
        <v>13074</v>
      </c>
      <c r="D7" s="126">
        <f t="shared" si="0"/>
        <v>304589</v>
      </c>
      <c r="E7" s="126">
        <f t="shared" si="0"/>
        <v>13530</v>
      </c>
      <c r="F7" s="126">
        <f t="shared" ref="F7:G7" si="1">SUM(F5:F6)</f>
        <v>9088</v>
      </c>
      <c r="G7" s="126">
        <f t="shared" si="1"/>
        <v>44</v>
      </c>
      <c r="H7" s="126">
        <f t="shared" si="0"/>
        <v>20138</v>
      </c>
      <c r="I7" s="126">
        <f t="shared" si="0"/>
        <v>29205</v>
      </c>
      <c r="J7" s="126">
        <f t="shared" si="0"/>
        <v>8251</v>
      </c>
      <c r="K7" s="126">
        <f t="shared" si="0"/>
        <v>1063</v>
      </c>
      <c r="L7" s="126">
        <f t="shared" si="0"/>
        <v>56609</v>
      </c>
      <c r="M7" s="127">
        <f>SUM(B7:L7)</f>
        <v>625690</v>
      </c>
      <c r="P7" s="527"/>
    </row>
    <row r="8" spans="1:16" ht="13.5" thickTop="1" x14ac:dyDescent="0.2">
      <c r="A8" s="59"/>
      <c r="B8" s="123"/>
      <c r="C8" s="125"/>
      <c r="D8" s="123"/>
      <c r="E8" s="123"/>
      <c r="F8" s="123"/>
      <c r="G8" s="123"/>
      <c r="H8" s="123"/>
      <c r="I8" s="123"/>
      <c r="J8" s="123"/>
      <c r="K8" s="123"/>
      <c r="L8" s="123"/>
      <c r="M8" s="128"/>
    </row>
    <row r="9" spans="1:16" s="10" customFormat="1" x14ac:dyDescent="0.2">
      <c r="A9" s="59" t="s">
        <v>32</v>
      </c>
      <c r="B9" s="123"/>
      <c r="C9" s="125"/>
      <c r="D9" s="123"/>
      <c r="E9" s="123"/>
      <c r="F9" s="123"/>
      <c r="G9" s="123"/>
      <c r="H9" s="123"/>
      <c r="I9" s="123"/>
      <c r="J9" s="123"/>
      <c r="K9" s="123"/>
      <c r="L9" s="123"/>
      <c r="M9" s="103"/>
    </row>
    <row r="10" spans="1:16" x14ac:dyDescent="0.2">
      <c r="A10" s="59" t="s">
        <v>30</v>
      </c>
      <c r="B10" s="124">
        <f>[3]Pinnacle!$FK$27+[3]Pinnacle!$FK$37</f>
        <v>3256</v>
      </c>
      <c r="C10" s="125">
        <f>[3]MESA_UA!$FK$27</f>
        <v>215</v>
      </c>
      <c r="D10" s="123">
        <f>'[3]Sky West'!$FK$27+'[3]Sky West'!$FK$37</f>
        <v>5294</v>
      </c>
      <c r="E10" s="123">
        <f>'[3]Sky West_UA'!$FK$27</f>
        <v>166</v>
      </c>
      <c r="F10" s="123">
        <f>'[3]Sky West_AS'!$FK$27</f>
        <v>120</v>
      </c>
      <c r="G10" s="123">
        <f>'[3]Sky West_AA'!$FK$27</f>
        <v>2</v>
      </c>
      <c r="H10" s="123">
        <f>[3]Republic!$FK$27</f>
        <v>469</v>
      </c>
      <c r="I10" s="123">
        <f>[3]Republic_UA!$FK$27</f>
        <v>441</v>
      </c>
      <c r="J10" s="123">
        <f>'[3]Sky Regional'!$FK$37</f>
        <v>42</v>
      </c>
      <c r="K10" s="123">
        <f>'[3]American Eagle'!$FK$27</f>
        <v>32</v>
      </c>
      <c r="L10" s="123">
        <f>'Other Regional'!M10</f>
        <v>971</v>
      </c>
      <c r="M10" s="103">
        <f>SUM(B10:L10)</f>
        <v>11008</v>
      </c>
    </row>
    <row r="11" spans="1:16" x14ac:dyDescent="0.2">
      <c r="A11" s="59" t="s">
        <v>33</v>
      </c>
      <c r="B11" s="124">
        <f>[3]Pinnacle!$FK$28+[3]Pinnacle!$FK$38</f>
        <v>3036</v>
      </c>
      <c r="C11" s="125">
        <f>[3]MESA_UA!$FK$28</f>
        <v>135</v>
      </c>
      <c r="D11" s="123">
        <f>'[3]Sky West'!$FK$28+'[3]Sky West'!$FK$38</f>
        <v>5373</v>
      </c>
      <c r="E11" s="123">
        <f>'[3]Sky West_UA'!$FK$28</f>
        <v>214</v>
      </c>
      <c r="F11" s="123">
        <f>'[3]Sky West_AS'!$FK$28</f>
        <v>129</v>
      </c>
      <c r="G11" s="123">
        <f>'[3]Sky West_AA'!$FK$28</f>
        <v>0</v>
      </c>
      <c r="H11" s="123">
        <f>[3]Republic!$FK$28</f>
        <v>462</v>
      </c>
      <c r="I11" s="123">
        <f>[3]Republic_UA!$FK$28</f>
        <v>448</v>
      </c>
      <c r="J11" s="123">
        <f>'[3]Sky Regional'!$FK$38</f>
        <v>37</v>
      </c>
      <c r="K11" s="123">
        <f>'[3]American Eagle'!$FK$28</f>
        <v>38</v>
      </c>
      <c r="L11" s="123">
        <f>'Other Regional'!M11</f>
        <v>861</v>
      </c>
      <c r="M11" s="108">
        <f>SUM(B11:L11)</f>
        <v>10733</v>
      </c>
    </row>
    <row r="12" spans="1:16" ht="15" thickBot="1" x14ac:dyDescent="0.25">
      <c r="A12" s="71" t="s">
        <v>34</v>
      </c>
      <c r="B12" s="129">
        <f t="shared" ref="B12:L12" si="2">SUM(B10:B11)</f>
        <v>6292</v>
      </c>
      <c r="C12" s="129">
        <f t="shared" si="2"/>
        <v>350</v>
      </c>
      <c r="D12" s="129">
        <f t="shared" si="2"/>
        <v>10667</v>
      </c>
      <c r="E12" s="129">
        <f t="shared" si="2"/>
        <v>380</v>
      </c>
      <c r="F12" s="129">
        <f t="shared" ref="F12:G12" si="3">SUM(F10:F11)</f>
        <v>249</v>
      </c>
      <c r="G12" s="129">
        <f t="shared" si="3"/>
        <v>2</v>
      </c>
      <c r="H12" s="129">
        <f t="shared" si="2"/>
        <v>931</v>
      </c>
      <c r="I12" s="129">
        <f t="shared" si="2"/>
        <v>889</v>
      </c>
      <c r="J12" s="129">
        <f t="shared" si="2"/>
        <v>79</v>
      </c>
      <c r="K12" s="129">
        <f t="shared" si="2"/>
        <v>70</v>
      </c>
      <c r="L12" s="129">
        <f t="shared" si="2"/>
        <v>1832</v>
      </c>
      <c r="M12" s="130">
        <f>SUM(B12:L12)</f>
        <v>21741</v>
      </c>
    </row>
    <row r="13" spans="1:16" ht="13.5" thickBot="1" x14ac:dyDescent="0.25"/>
    <row r="14" spans="1:16" ht="15.75" thickTop="1" x14ac:dyDescent="0.25">
      <c r="A14" s="58" t="s">
        <v>9</v>
      </c>
      <c r="B14" s="96"/>
      <c r="C14" s="97"/>
      <c r="D14" s="96"/>
      <c r="E14" s="96"/>
      <c r="F14" s="96"/>
      <c r="G14" s="96"/>
      <c r="H14" s="96"/>
      <c r="I14" s="96"/>
      <c r="J14" s="96"/>
      <c r="K14" s="96"/>
      <c r="L14" s="96"/>
      <c r="M14" s="98">
        <f t="shared" ref="M14" si="4">SUM(B14:L14)</f>
        <v>0</v>
      </c>
    </row>
    <row r="15" spans="1:16" x14ac:dyDescent="0.2">
      <c r="A15" s="59" t="s">
        <v>54</v>
      </c>
      <c r="B15" s="20">
        <f>[3]Pinnacle!$FK$4+[3]Pinnacle!$FK$15</f>
        <v>1579</v>
      </c>
      <c r="C15" s="101">
        <f>[3]MESA_UA!$FK$4</f>
        <v>106</v>
      </c>
      <c r="D15" s="99">
        <f>'[3]Sky West'!$FK$4+'[3]Sky West'!$FK$15</f>
        <v>3317</v>
      </c>
      <c r="E15" s="99">
        <f>'[3]Sky West_UA'!$FK$4</f>
        <v>109</v>
      </c>
      <c r="F15" s="99">
        <f>'[3]Sky West_AS'!$FK$4</f>
        <v>73</v>
      </c>
      <c r="G15" s="99">
        <f>'[3]Sky West_AA'!$FK$4</f>
        <v>1</v>
      </c>
      <c r="H15" s="102">
        <f>[3]Republic!$FK$4</f>
        <v>170</v>
      </c>
      <c r="I15" s="453">
        <f>[3]Republic_UA!$FK$4</f>
        <v>229</v>
      </c>
      <c r="J15" s="453">
        <f>'[3]Sky Regional'!$FK$15</f>
        <v>81</v>
      </c>
      <c r="K15" s="102">
        <f>'[3]American Eagle'!$FK$4</f>
        <v>9</v>
      </c>
      <c r="L15" s="100">
        <f>'Other Regional'!M15</f>
        <v>491</v>
      </c>
      <c r="M15" s="103">
        <f t="shared" ref="M15:M21" si="5">SUM(B15:L15)</f>
        <v>6165</v>
      </c>
    </row>
    <row r="16" spans="1:16" x14ac:dyDescent="0.2">
      <c r="A16" s="59" t="s">
        <v>55</v>
      </c>
      <c r="B16" s="14">
        <f>[3]Pinnacle!$FK$5+[3]Pinnacle!$FK$16</f>
        <v>1580</v>
      </c>
      <c r="C16" s="106">
        <f>[3]MESA_UA!$FK$5</f>
        <v>106</v>
      </c>
      <c r="D16" s="104">
        <f>'[3]Sky West'!$FK$5+'[3]Sky West'!$FK$16</f>
        <v>3304</v>
      </c>
      <c r="E16" s="104">
        <f>'[3]Sky West_UA'!$FK$5</f>
        <v>109</v>
      </c>
      <c r="F16" s="104">
        <f>'[3]Sky West_AS'!$FK$5</f>
        <v>73</v>
      </c>
      <c r="G16" s="104">
        <f>'[3]Sky West_AA'!$FK$5</f>
        <v>1</v>
      </c>
      <c r="H16" s="107">
        <f>[3]Republic!$FK$5</f>
        <v>171</v>
      </c>
      <c r="I16" s="286">
        <f>[3]Republic_UA!$FK$5</f>
        <v>229</v>
      </c>
      <c r="J16" s="286">
        <f>'[3]Sky Regional'!$FK$16</f>
        <v>81</v>
      </c>
      <c r="K16" s="107">
        <f>'[3]American Eagle'!$FK$5</f>
        <v>9</v>
      </c>
      <c r="L16" s="105">
        <f>'Other Regional'!M16</f>
        <v>491</v>
      </c>
      <c r="M16" s="108">
        <f t="shared" si="5"/>
        <v>6154</v>
      </c>
    </row>
    <row r="17" spans="1:13" x14ac:dyDescent="0.2">
      <c r="A17" s="68" t="s">
        <v>56</v>
      </c>
      <c r="B17" s="109">
        <f t="shared" ref="B17:K17" si="6">SUM(B15:B16)</f>
        <v>3159</v>
      </c>
      <c r="C17" s="109">
        <f t="shared" si="6"/>
        <v>212</v>
      </c>
      <c r="D17" s="109">
        <f t="shared" si="6"/>
        <v>6621</v>
      </c>
      <c r="E17" s="109">
        <f t="shared" si="6"/>
        <v>218</v>
      </c>
      <c r="F17" s="109">
        <f t="shared" ref="F17:G17" si="7">SUM(F15:F16)</f>
        <v>146</v>
      </c>
      <c r="G17" s="109">
        <f t="shared" si="7"/>
        <v>2</v>
      </c>
      <c r="H17" s="109">
        <f t="shared" si="6"/>
        <v>341</v>
      </c>
      <c r="I17" s="109">
        <f t="shared" ref="I17:J17" si="8">SUM(I15:I16)</f>
        <v>458</v>
      </c>
      <c r="J17" s="109">
        <f t="shared" si="8"/>
        <v>162</v>
      </c>
      <c r="K17" s="109">
        <f t="shared" si="6"/>
        <v>18</v>
      </c>
      <c r="L17" s="109">
        <f>SUM(L15:L16)</f>
        <v>982</v>
      </c>
      <c r="M17" s="110">
        <f t="shared" si="5"/>
        <v>12319</v>
      </c>
    </row>
    <row r="18" spans="1:13" x14ac:dyDescent="0.2">
      <c r="A18" s="59" t="s">
        <v>57</v>
      </c>
      <c r="B18" s="111">
        <f>[3]Pinnacle!$FK$8</f>
        <v>1</v>
      </c>
      <c r="C18" s="112">
        <f>[3]MESA_UA!$FK$8</f>
        <v>0</v>
      </c>
      <c r="D18" s="111">
        <f>'[3]Sky West'!$FK$8</f>
        <v>0</v>
      </c>
      <c r="E18" s="111">
        <f>'[3]Sky West_UA'!$FK$8</f>
        <v>0</v>
      </c>
      <c r="F18" s="111">
        <f>'[3]Sky West_AS'!$FK$8</f>
        <v>0</v>
      </c>
      <c r="G18" s="111">
        <f>'[3]Sky West_AA'!$FK$8</f>
        <v>0</v>
      </c>
      <c r="H18" s="111">
        <f>[3]Republic!$FK$8</f>
        <v>1</v>
      </c>
      <c r="I18" s="111">
        <f>[3]Republic_UA!$FK$8</f>
        <v>0</v>
      </c>
      <c r="J18" s="111">
        <f>'[3]Sky Regional'!$FK$8</f>
        <v>0</v>
      </c>
      <c r="K18" s="111">
        <f>'[3]American Eagle'!$FK$8</f>
        <v>0</v>
      </c>
      <c r="L18" s="111">
        <f>'Other Regional'!M18</f>
        <v>0</v>
      </c>
      <c r="M18" s="103">
        <f t="shared" si="5"/>
        <v>2</v>
      </c>
    </row>
    <row r="19" spans="1:13" x14ac:dyDescent="0.2">
      <c r="A19" s="59" t="s">
        <v>58</v>
      </c>
      <c r="B19" s="113">
        <f>[3]Pinnacle!$FK$9</f>
        <v>1</v>
      </c>
      <c r="C19" s="114">
        <f>[3]MESA_UA!$FK$9</f>
        <v>0</v>
      </c>
      <c r="D19" s="113">
        <f>'[3]Sky West'!$FK$9</f>
        <v>11</v>
      </c>
      <c r="E19" s="113">
        <f>'[3]Sky West_UA'!$FK$9</f>
        <v>0</v>
      </c>
      <c r="F19" s="113">
        <f>'[3]Sky West_AS'!$FK$9</f>
        <v>0</v>
      </c>
      <c r="G19" s="113">
        <f>'[3]Sky West_AA'!$FK$9</f>
        <v>0</v>
      </c>
      <c r="H19" s="113">
        <f>[3]Republic!$FK$9</f>
        <v>1</v>
      </c>
      <c r="I19" s="113">
        <f>[3]Republic_UA!$FK$9</f>
        <v>0</v>
      </c>
      <c r="J19" s="113">
        <f>'[3]Sky Regional'!$FK$9</f>
        <v>0</v>
      </c>
      <c r="K19" s="113">
        <f>'[3]American Eagle'!$FK$9</f>
        <v>0</v>
      </c>
      <c r="L19" s="113">
        <f>'Other Regional'!M19</f>
        <v>0</v>
      </c>
      <c r="M19" s="108">
        <f t="shared" si="5"/>
        <v>13</v>
      </c>
    </row>
    <row r="20" spans="1:13" x14ac:dyDescent="0.2">
      <c r="A20" s="68" t="s">
        <v>59</v>
      </c>
      <c r="B20" s="109">
        <f t="shared" ref="B20:L20" si="9">SUM(B18:B19)</f>
        <v>2</v>
      </c>
      <c r="C20" s="109">
        <f t="shared" si="9"/>
        <v>0</v>
      </c>
      <c r="D20" s="109">
        <f t="shared" si="9"/>
        <v>11</v>
      </c>
      <c r="E20" s="109">
        <f t="shared" si="9"/>
        <v>0</v>
      </c>
      <c r="F20" s="109">
        <f t="shared" ref="F20:G20" si="10">SUM(F18:F19)</f>
        <v>0</v>
      </c>
      <c r="G20" s="109">
        <f t="shared" si="10"/>
        <v>0</v>
      </c>
      <c r="H20" s="109">
        <f t="shared" si="9"/>
        <v>2</v>
      </c>
      <c r="I20" s="109">
        <f t="shared" si="9"/>
        <v>0</v>
      </c>
      <c r="J20" s="109">
        <f t="shared" si="9"/>
        <v>0</v>
      </c>
      <c r="K20" s="109">
        <f t="shared" si="9"/>
        <v>0</v>
      </c>
      <c r="L20" s="109">
        <f t="shared" si="9"/>
        <v>0</v>
      </c>
      <c r="M20" s="110">
        <f t="shared" si="5"/>
        <v>15</v>
      </c>
    </row>
    <row r="21" spans="1:13" ht="15.75" thickBot="1" x14ac:dyDescent="0.3">
      <c r="A21" s="69" t="s">
        <v>28</v>
      </c>
      <c r="B21" s="115">
        <f t="shared" ref="B21:K21" si="11">SUM(B20,B17)</f>
        <v>3161</v>
      </c>
      <c r="C21" s="115">
        <f t="shared" si="11"/>
        <v>212</v>
      </c>
      <c r="D21" s="115">
        <f t="shared" si="11"/>
        <v>6632</v>
      </c>
      <c r="E21" s="115">
        <f t="shared" si="11"/>
        <v>218</v>
      </c>
      <c r="F21" s="115">
        <f t="shared" ref="F21:G21" si="12">SUM(F20,F17)</f>
        <v>146</v>
      </c>
      <c r="G21" s="115">
        <f t="shared" si="12"/>
        <v>2</v>
      </c>
      <c r="H21" s="115">
        <f t="shared" si="11"/>
        <v>343</v>
      </c>
      <c r="I21" s="115">
        <f t="shared" si="11"/>
        <v>458</v>
      </c>
      <c r="J21" s="115">
        <f t="shared" si="11"/>
        <v>162</v>
      </c>
      <c r="K21" s="115">
        <f t="shared" si="11"/>
        <v>18</v>
      </c>
      <c r="L21" s="115">
        <f>SUM(L20,L17)</f>
        <v>982</v>
      </c>
      <c r="M21" s="116">
        <f t="shared" si="5"/>
        <v>12334</v>
      </c>
    </row>
    <row r="22" spans="1:13" ht="13.5" thickBot="1" x14ac:dyDescent="0.25"/>
    <row r="23" spans="1:13" ht="15.75" thickTop="1" x14ac:dyDescent="0.25">
      <c r="A23" s="62" t="s">
        <v>118</v>
      </c>
      <c r="B23" s="131"/>
      <c r="C23" s="132"/>
      <c r="D23" s="131"/>
      <c r="E23" s="131"/>
      <c r="F23" s="131"/>
      <c r="G23" s="131"/>
      <c r="H23" s="131"/>
      <c r="I23" s="131"/>
      <c r="J23" s="131"/>
      <c r="K23" s="131"/>
      <c r="L23" s="131"/>
      <c r="M23" s="133"/>
    </row>
    <row r="24" spans="1:13" x14ac:dyDescent="0.2">
      <c r="A24" s="72" t="s">
        <v>36</v>
      </c>
      <c r="B24" s="123"/>
      <c r="C24" s="125"/>
      <c r="D24" s="123"/>
      <c r="E24" s="123"/>
      <c r="F24" s="123"/>
      <c r="G24" s="123"/>
      <c r="H24" s="123"/>
      <c r="I24" s="123"/>
      <c r="J24" s="123"/>
      <c r="K24" s="123"/>
      <c r="L24" s="123"/>
      <c r="M24" s="103"/>
    </row>
    <row r="25" spans="1:13" x14ac:dyDescent="0.2">
      <c r="A25" s="72" t="s">
        <v>37</v>
      </c>
      <c r="B25" s="123">
        <f>[3]Pinnacle!$FK$47</f>
        <v>0</v>
      </c>
      <c r="C25" s="125">
        <f>[3]MESA_UA!$FK$47</f>
        <v>0</v>
      </c>
      <c r="D25" s="123">
        <f>'[3]Sky West'!$FK$47</f>
        <v>0</v>
      </c>
      <c r="E25" s="123">
        <f>'[3]Sky West_UA'!$FK$47</f>
        <v>0</v>
      </c>
      <c r="F25" s="123">
        <f>'[3]Sky West_AS'!$FK$47</f>
        <v>2018</v>
      </c>
      <c r="G25" s="123">
        <f>'[3]Sky West_AA'!$FK$47</f>
        <v>0</v>
      </c>
      <c r="H25" s="123">
        <f>[3]Republic!$FK$47</f>
        <v>0</v>
      </c>
      <c r="I25" s="123">
        <f>[3]Republic_UA!$FK$47</f>
        <v>0</v>
      </c>
      <c r="J25" s="123">
        <f>'[3]Sky Regional'!$FK$47</f>
        <v>0</v>
      </c>
      <c r="K25" s="123">
        <f>'[3]American Eagle'!$FK$47</f>
        <v>0</v>
      </c>
      <c r="L25" s="123">
        <f>'Other Regional'!M25</f>
        <v>3401</v>
      </c>
      <c r="M25" s="103">
        <f>SUM(B25:L25)</f>
        <v>5419</v>
      </c>
    </row>
    <row r="26" spans="1:13" x14ac:dyDescent="0.2">
      <c r="A26" s="72" t="s">
        <v>38</v>
      </c>
      <c r="B26" s="123">
        <f>[3]Pinnacle!$FK$48</f>
        <v>0</v>
      </c>
      <c r="C26" s="125">
        <f>[3]MESA_UA!$FK$48</f>
        <v>0</v>
      </c>
      <c r="D26" s="123">
        <f>'[3]Sky West'!$FK$48</f>
        <v>0</v>
      </c>
      <c r="E26" s="123">
        <f>'[3]Sky West_UA'!$FK$48</f>
        <v>0</v>
      </c>
      <c r="F26" s="123">
        <f>'[3]Sky West_AS'!$FK$48</f>
        <v>1225</v>
      </c>
      <c r="G26" s="123">
        <f>'[3]Sky West_AA'!$FK$48</f>
        <v>0</v>
      </c>
      <c r="H26" s="123">
        <f>[3]Republic!$FK$48</f>
        <v>0</v>
      </c>
      <c r="I26" s="123">
        <f>[3]Republic_UA!$FK$48</f>
        <v>0</v>
      </c>
      <c r="J26" s="123">
        <f>'[3]Sky Regional'!$FK$48</f>
        <v>0</v>
      </c>
      <c r="K26" s="123">
        <f>'[3]American Eagle'!$FK$48</f>
        <v>0</v>
      </c>
      <c r="L26" s="123">
        <f>'Other Regional'!M26</f>
        <v>1105</v>
      </c>
      <c r="M26" s="103">
        <f>SUM(B26:L26)</f>
        <v>2330</v>
      </c>
    </row>
    <row r="27" spans="1:13" ht="15" thickBot="1" x14ac:dyDescent="0.25">
      <c r="A27" s="70" t="s">
        <v>39</v>
      </c>
      <c r="B27" s="126">
        <f t="shared" ref="B27:L27" si="13">SUM(B25:B26)</f>
        <v>0</v>
      </c>
      <c r="C27" s="126">
        <f t="shared" si="13"/>
        <v>0</v>
      </c>
      <c r="D27" s="126">
        <f t="shared" si="13"/>
        <v>0</v>
      </c>
      <c r="E27" s="126">
        <f t="shared" si="13"/>
        <v>0</v>
      </c>
      <c r="F27" s="126">
        <f t="shared" ref="F27:G27" si="14">SUM(F25:F26)</f>
        <v>3243</v>
      </c>
      <c r="G27" s="126">
        <f t="shared" si="14"/>
        <v>0</v>
      </c>
      <c r="H27" s="126">
        <f t="shared" si="13"/>
        <v>0</v>
      </c>
      <c r="I27" s="126">
        <f t="shared" si="13"/>
        <v>0</v>
      </c>
      <c r="J27" s="126">
        <f t="shared" si="13"/>
        <v>0</v>
      </c>
      <c r="K27" s="126">
        <f t="shared" si="13"/>
        <v>0</v>
      </c>
      <c r="L27" s="126">
        <f t="shared" si="13"/>
        <v>4506</v>
      </c>
      <c r="M27" s="127">
        <f>SUM(B27:L27)</f>
        <v>7749</v>
      </c>
    </row>
    <row r="28" spans="1:13" ht="13.5" thickTop="1" x14ac:dyDescent="0.2">
      <c r="A28" s="72"/>
      <c r="B28" s="123"/>
      <c r="C28" s="125"/>
      <c r="D28" s="123"/>
      <c r="E28" s="123"/>
      <c r="F28" s="123"/>
      <c r="G28" s="123"/>
      <c r="H28" s="123"/>
      <c r="I28" s="123"/>
      <c r="J28" s="123"/>
      <c r="K28" s="123"/>
      <c r="L28" s="123"/>
      <c r="M28" s="103"/>
    </row>
    <row r="29" spans="1:13" x14ac:dyDescent="0.2">
      <c r="A29" s="72" t="s">
        <v>40</v>
      </c>
      <c r="B29" s="123"/>
      <c r="C29" s="125"/>
      <c r="D29" s="123"/>
      <c r="E29" s="123"/>
      <c r="F29" s="123"/>
      <c r="G29" s="123"/>
      <c r="H29" s="123"/>
      <c r="I29" s="123"/>
      <c r="J29" s="123"/>
      <c r="K29" s="123"/>
      <c r="M29" s="103"/>
    </row>
    <row r="30" spans="1:13" x14ac:dyDescent="0.2">
      <c r="A30" s="72" t="s">
        <v>60</v>
      </c>
      <c r="B30" s="123">
        <f>[3]Pinnacle!$FK$52</f>
        <v>0</v>
      </c>
      <c r="C30" s="125">
        <f>[3]MESA_UA!$FK$52</f>
        <v>0</v>
      </c>
      <c r="D30" s="123">
        <f>'[3]Sky West'!$FK$52</f>
        <v>0</v>
      </c>
      <c r="E30" s="123">
        <f>'[3]Sky West_UA'!$FK$52</f>
        <v>0</v>
      </c>
      <c r="F30" s="123">
        <f>'[3]Sky West_AS'!$FK$52</f>
        <v>33</v>
      </c>
      <c r="G30" s="123">
        <f>'[3]Sky West_AA'!$FK$52</f>
        <v>0</v>
      </c>
      <c r="H30" s="123">
        <f>[3]Republic!$FK$52</f>
        <v>0</v>
      </c>
      <c r="I30" s="123">
        <f>[3]Republic_UA!$FK$52</f>
        <v>0</v>
      </c>
      <c r="J30" s="123">
        <f>'[3]Sky Regional'!$FK$52</f>
        <v>0</v>
      </c>
      <c r="K30" s="123">
        <f>'[3]American Eagle'!$FK$52</f>
        <v>0</v>
      </c>
      <c r="L30" s="123">
        <f>'Other Regional'!M30</f>
        <v>315</v>
      </c>
      <c r="M30" s="103">
        <f t="shared" ref="M30:M37" si="15">SUM(B30:L30)</f>
        <v>348</v>
      </c>
    </row>
    <row r="31" spans="1:13" x14ac:dyDescent="0.2">
      <c r="A31" s="72" t="s">
        <v>61</v>
      </c>
      <c r="B31" s="123">
        <f>[3]Pinnacle!$FK$53</f>
        <v>0</v>
      </c>
      <c r="C31" s="125">
        <f>[3]MESA_UA!$FK$53</f>
        <v>0</v>
      </c>
      <c r="D31" s="123">
        <f>'[3]Sky West'!$FK$53</f>
        <v>0</v>
      </c>
      <c r="E31" s="123">
        <f>'[3]Sky West_UA'!$FK$53</f>
        <v>0</v>
      </c>
      <c r="F31" s="123">
        <f>'[3]Sky West_AS'!$FK$53</f>
        <v>334</v>
      </c>
      <c r="G31" s="123">
        <f>'[3]Sky West_AA'!$FK$53</f>
        <v>0</v>
      </c>
      <c r="H31" s="123">
        <f>[3]Republic!$FK$53</f>
        <v>0</v>
      </c>
      <c r="I31" s="123">
        <f>[3]Republic_UA!$FK$53</f>
        <v>0</v>
      </c>
      <c r="J31" s="123">
        <f>'[3]Sky Regional'!$FK$53</f>
        <v>0</v>
      </c>
      <c r="K31" s="123">
        <f>'[3]American Eagle'!$FK$53</f>
        <v>0</v>
      </c>
      <c r="L31" s="123">
        <f>'Other Regional'!M31</f>
        <v>528</v>
      </c>
      <c r="M31" s="103">
        <f t="shared" si="15"/>
        <v>862</v>
      </c>
    </row>
    <row r="32" spans="1:13" ht="15" thickBot="1" x14ac:dyDescent="0.25">
      <c r="A32" s="70" t="s">
        <v>41</v>
      </c>
      <c r="B32" s="126">
        <f t="shared" ref="B32:K32" si="16">SUM(B30:B31)</f>
        <v>0</v>
      </c>
      <c r="C32" s="126">
        <f t="shared" si="16"/>
        <v>0</v>
      </c>
      <c r="D32" s="126">
        <f t="shared" si="16"/>
        <v>0</v>
      </c>
      <c r="E32" s="126">
        <f t="shared" si="16"/>
        <v>0</v>
      </c>
      <c r="F32" s="126">
        <f t="shared" ref="F32:G32" si="17">SUM(F30:F31)</f>
        <v>367</v>
      </c>
      <c r="G32" s="126">
        <f t="shared" si="17"/>
        <v>0</v>
      </c>
      <c r="H32" s="126">
        <f t="shared" si="16"/>
        <v>0</v>
      </c>
      <c r="I32" s="126">
        <f t="shared" si="16"/>
        <v>0</v>
      </c>
      <c r="J32" s="126">
        <f t="shared" si="16"/>
        <v>0</v>
      </c>
      <c r="K32" s="126">
        <f t="shared" si="16"/>
        <v>0</v>
      </c>
      <c r="L32" s="126">
        <f>SUM(L30:L31)</f>
        <v>843</v>
      </c>
      <c r="M32" s="127">
        <f t="shared" si="15"/>
        <v>1210</v>
      </c>
    </row>
    <row r="33" spans="1:13" ht="13.5" hidden="1" thickTop="1" x14ac:dyDescent="0.2">
      <c r="A33" s="72"/>
      <c r="B33" s="123"/>
      <c r="C33" s="125"/>
      <c r="D33" s="123"/>
      <c r="E33" s="123"/>
      <c r="F33" s="123"/>
      <c r="G33" s="123"/>
      <c r="H33" s="123"/>
      <c r="I33" s="123"/>
      <c r="J33" s="123"/>
      <c r="K33" s="123"/>
      <c r="L33" s="123"/>
      <c r="M33" s="103">
        <f t="shared" si="15"/>
        <v>0</v>
      </c>
    </row>
    <row r="34" spans="1:13" ht="13.5" hidden="1" thickTop="1" x14ac:dyDescent="0.2">
      <c r="A34" s="72" t="s">
        <v>42</v>
      </c>
      <c r="B34" s="123"/>
      <c r="C34" s="125"/>
      <c r="D34" s="123"/>
      <c r="E34" s="123"/>
      <c r="F34" s="123"/>
      <c r="G34" s="123"/>
      <c r="H34" s="123"/>
      <c r="I34" s="123"/>
      <c r="J34" s="123"/>
      <c r="K34" s="123"/>
      <c r="L34" s="123"/>
      <c r="M34" s="103">
        <f t="shared" si="15"/>
        <v>0</v>
      </c>
    </row>
    <row r="35" spans="1:13" ht="13.5" hidden="1" thickTop="1" x14ac:dyDescent="0.2">
      <c r="A35" s="72" t="s">
        <v>37</v>
      </c>
      <c r="B35" s="123">
        <f>[3]Pinnacle!$FK$57</f>
        <v>0</v>
      </c>
      <c r="C35" s="125">
        <f>[3]MESA_UA!$FK$57</f>
        <v>0</v>
      </c>
      <c r="D35" s="123">
        <f>'[3]Sky West'!$FK$57</f>
        <v>0</v>
      </c>
      <c r="E35" s="123">
        <f>'[3]Sky West_UA'!$FK$57</f>
        <v>0</v>
      </c>
      <c r="F35" s="123">
        <f>'[3]Sky West_AS'!$FK$57</f>
        <v>0</v>
      </c>
      <c r="G35" s="123">
        <f>'[3]Sky West_AA'!$FK$57</f>
        <v>0</v>
      </c>
      <c r="H35" s="123">
        <f>[3]Republic!$FK$57</f>
        <v>0</v>
      </c>
      <c r="I35" s="123">
        <f>[3]Republic!$FK$57</f>
        <v>0</v>
      </c>
      <c r="J35" s="123">
        <f>[3]Republic!$FK$57</f>
        <v>0</v>
      </c>
      <c r="K35" s="123">
        <f>'[3]American Eagle'!$FK$57</f>
        <v>0</v>
      </c>
      <c r="L35" s="123">
        <f>'Other Regional'!M35</f>
        <v>0</v>
      </c>
      <c r="M35" s="103">
        <f t="shared" si="15"/>
        <v>0</v>
      </c>
    </row>
    <row r="36" spans="1:13" ht="13.5" hidden="1" thickTop="1" x14ac:dyDescent="0.2">
      <c r="A36" s="72" t="s">
        <v>38</v>
      </c>
      <c r="B36" s="123">
        <f>[3]Pinnacle!$FK$58</f>
        <v>0</v>
      </c>
      <c r="C36" s="125">
        <f>[3]MESA_UA!$FK$58</f>
        <v>0</v>
      </c>
      <c r="D36" s="123">
        <f>'[3]Sky West'!$FK$58</f>
        <v>0</v>
      </c>
      <c r="E36" s="123">
        <f>'[3]Sky West_UA'!$FK$58</f>
        <v>0</v>
      </c>
      <c r="F36" s="123">
        <f>'[3]Sky West_AS'!$FK$58</f>
        <v>0</v>
      </c>
      <c r="G36" s="123">
        <f>'[3]Sky West_AA'!$FK$58</f>
        <v>0</v>
      </c>
      <c r="H36" s="123">
        <f>[3]Republic!$FK$58</f>
        <v>0</v>
      </c>
      <c r="I36" s="123">
        <f>[3]Republic!$FK$58</f>
        <v>0</v>
      </c>
      <c r="J36" s="123">
        <f>[3]Republic!$FK$58</f>
        <v>0</v>
      </c>
      <c r="K36" s="123">
        <f>'[3]American Eagle'!$FK$58</f>
        <v>0</v>
      </c>
      <c r="L36" s="123">
        <f>'Other Regional'!M36</f>
        <v>0</v>
      </c>
      <c r="M36" s="103">
        <f t="shared" si="15"/>
        <v>0</v>
      </c>
    </row>
    <row r="37" spans="1:13" ht="13.5" hidden="1" thickTop="1" x14ac:dyDescent="0.2">
      <c r="A37" s="73" t="s">
        <v>43</v>
      </c>
      <c r="B37" s="134">
        <f t="shared" ref="B37:K37" si="18">SUM(B35:B36)</f>
        <v>0</v>
      </c>
      <c r="C37" s="134">
        <f t="shared" si="18"/>
        <v>0</v>
      </c>
      <c r="D37" s="134">
        <f t="shared" si="18"/>
        <v>0</v>
      </c>
      <c r="E37" s="134">
        <f t="shared" si="18"/>
        <v>0</v>
      </c>
      <c r="F37" s="134">
        <f t="shared" ref="F37:G37" si="19">SUM(F35:F36)</f>
        <v>0</v>
      </c>
      <c r="G37" s="134">
        <f t="shared" si="19"/>
        <v>0</v>
      </c>
      <c r="H37" s="134">
        <f t="shared" si="18"/>
        <v>0</v>
      </c>
      <c r="I37" s="134">
        <f t="shared" si="18"/>
        <v>0</v>
      </c>
      <c r="J37" s="134">
        <f t="shared" si="18"/>
        <v>0</v>
      </c>
      <c r="K37" s="134">
        <f t="shared" si="18"/>
        <v>0</v>
      </c>
      <c r="L37" s="134">
        <f>SUM(L35:L36)</f>
        <v>0</v>
      </c>
      <c r="M37" s="136">
        <f t="shared" si="15"/>
        <v>0</v>
      </c>
    </row>
    <row r="38" spans="1:13" ht="13.5" thickTop="1" x14ac:dyDescent="0.2">
      <c r="A38" s="72"/>
      <c r="B38" s="123"/>
      <c r="C38" s="125"/>
      <c r="D38" s="123"/>
      <c r="E38" s="123"/>
      <c r="F38" s="123"/>
      <c r="G38" s="123"/>
      <c r="H38" s="123"/>
      <c r="I38" s="123"/>
      <c r="J38" s="123"/>
      <c r="K38" s="123"/>
      <c r="L38" s="123"/>
      <c r="M38" s="103"/>
    </row>
    <row r="39" spans="1:13" x14ac:dyDescent="0.2">
      <c r="A39" s="72" t="s">
        <v>44</v>
      </c>
      <c r="B39" s="123"/>
      <c r="C39" s="125"/>
      <c r="D39" s="123"/>
      <c r="E39" s="123"/>
      <c r="F39" s="123"/>
      <c r="G39" s="123"/>
      <c r="H39" s="123"/>
      <c r="I39" s="123"/>
      <c r="J39" s="123"/>
      <c r="K39" s="123"/>
      <c r="L39" s="123"/>
      <c r="M39" s="103"/>
    </row>
    <row r="40" spans="1:13" x14ac:dyDescent="0.2">
      <c r="A40" s="72" t="s">
        <v>45</v>
      </c>
      <c r="B40" s="123">
        <f t="shared" ref="B40:J42" si="20">SUM(B35,B30,B25)</f>
        <v>0</v>
      </c>
      <c r="C40" s="123">
        <f>SUM(C35,C30,C25)</f>
        <v>0</v>
      </c>
      <c r="D40" s="123">
        <f t="shared" si="20"/>
        <v>0</v>
      </c>
      <c r="E40" s="123">
        <f t="shared" ref="E40:F42" si="21">SUM(E35,E30,E25)</f>
        <v>0</v>
      </c>
      <c r="F40" s="123">
        <f t="shared" si="21"/>
        <v>2051</v>
      </c>
      <c r="G40" s="123">
        <f t="shared" ref="G40" si="22">SUM(G35,G30,G25)</f>
        <v>0</v>
      </c>
      <c r="H40" s="123">
        <f t="shared" si="20"/>
        <v>0</v>
      </c>
      <c r="I40" s="123">
        <f t="shared" si="20"/>
        <v>0</v>
      </c>
      <c r="J40" s="123">
        <f t="shared" si="20"/>
        <v>0</v>
      </c>
      <c r="K40" s="123">
        <f>SUM(K35,K30,K25)</f>
        <v>0</v>
      </c>
      <c r="L40" s="123">
        <f>L35+L30+L25</f>
        <v>3716</v>
      </c>
      <c r="M40" s="103">
        <f>SUM(B40:L40)</f>
        <v>5767</v>
      </c>
    </row>
    <row r="41" spans="1:13" x14ac:dyDescent="0.2">
      <c r="A41" s="72" t="s">
        <v>38</v>
      </c>
      <c r="B41" s="123">
        <f t="shared" si="20"/>
        <v>0</v>
      </c>
      <c r="C41" s="123">
        <f>SUM(C36,C31,C26)</f>
        <v>0</v>
      </c>
      <c r="D41" s="123">
        <f t="shared" si="20"/>
        <v>0</v>
      </c>
      <c r="E41" s="123">
        <f t="shared" si="21"/>
        <v>0</v>
      </c>
      <c r="F41" s="123">
        <f t="shared" si="21"/>
        <v>1559</v>
      </c>
      <c r="G41" s="123">
        <f t="shared" ref="G41" si="23">SUM(G36,G31,G26)</f>
        <v>0</v>
      </c>
      <c r="H41" s="123">
        <f t="shared" si="20"/>
        <v>0</v>
      </c>
      <c r="I41" s="123">
        <f t="shared" si="20"/>
        <v>0</v>
      </c>
      <c r="J41" s="123">
        <f t="shared" si="20"/>
        <v>0</v>
      </c>
      <c r="K41" s="123">
        <f>SUM(K36,K31,K26)</f>
        <v>0</v>
      </c>
      <c r="L41" s="123">
        <f>L36+L31+L26</f>
        <v>1633</v>
      </c>
      <c r="M41" s="103">
        <f>SUM(B41:L41)</f>
        <v>3192</v>
      </c>
    </row>
    <row r="42" spans="1:13" ht="15" thickBot="1" x14ac:dyDescent="0.25">
      <c r="A42" s="71" t="s">
        <v>46</v>
      </c>
      <c r="B42" s="129">
        <f t="shared" si="20"/>
        <v>0</v>
      </c>
      <c r="C42" s="129">
        <f>SUM(C37,C32,C27)</f>
        <v>0</v>
      </c>
      <c r="D42" s="129">
        <f t="shared" si="20"/>
        <v>0</v>
      </c>
      <c r="E42" s="129">
        <f t="shared" si="21"/>
        <v>0</v>
      </c>
      <c r="F42" s="129">
        <f t="shared" si="21"/>
        <v>3610</v>
      </c>
      <c r="G42" s="129">
        <f t="shared" ref="G42" si="24">SUM(G37,G32,G27)</f>
        <v>0</v>
      </c>
      <c r="H42" s="129">
        <f t="shared" si="20"/>
        <v>0</v>
      </c>
      <c r="I42" s="129">
        <f t="shared" si="20"/>
        <v>0</v>
      </c>
      <c r="J42" s="129">
        <f t="shared" si="20"/>
        <v>0</v>
      </c>
      <c r="K42" s="129">
        <f>SUM(K37,K32,K27)</f>
        <v>0</v>
      </c>
      <c r="L42" s="129">
        <f>SUM(L37,L32,L27)</f>
        <v>5349</v>
      </c>
      <c r="M42" s="130">
        <f>SUM(B42:L42)</f>
        <v>8959</v>
      </c>
    </row>
    <row r="44" spans="1:13" x14ac:dyDescent="0.2">
      <c r="A44" s="369" t="s">
        <v>125</v>
      </c>
      <c r="B44" s="310">
        <f>[3]Pinnacle!$FK$70+[3]Pinnacle!$FK$73</f>
        <v>31345</v>
      </c>
      <c r="D44" s="311">
        <f>'[3]Sky West'!$FK$70+'[3]Sky West'!$FK$73</f>
        <v>50102</v>
      </c>
      <c r="E44" s="5"/>
      <c r="F44" s="5"/>
      <c r="G44" s="5"/>
      <c r="L44" s="311">
        <f>+'Other Regional'!M46</f>
        <v>8104</v>
      </c>
      <c r="M44" s="299">
        <f>SUM(B44:L44)</f>
        <v>89551</v>
      </c>
    </row>
    <row r="45" spans="1:13" x14ac:dyDescent="0.2">
      <c r="A45" s="383" t="s">
        <v>126</v>
      </c>
      <c r="B45" s="310">
        <f>[3]Pinnacle!$FK$71+[3]Pinnacle!$FK$74</f>
        <v>52915</v>
      </c>
      <c r="D45" s="311">
        <f>'[3]Sky West'!$FK$71+'[3]Sky West'!$FK$74</f>
        <v>100352</v>
      </c>
      <c r="E45" s="5"/>
      <c r="F45" s="5"/>
      <c r="G45" s="5"/>
      <c r="L45" s="311">
        <f>+'Other Regional'!M47</f>
        <v>10271</v>
      </c>
      <c r="M45" s="299">
        <f>SUM(B45:L45)</f>
        <v>163538</v>
      </c>
    </row>
    <row r="46" spans="1:13" x14ac:dyDescent="0.2">
      <c r="A46" s="301" t="s">
        <v>127</v>
      </c>
      <c r="B46" s="302">
        <f>SUM(B44:B45)</f>
        <v>84260</v>
      </c>
      <c r="L46" s="2"/>
      <c r="M46" s="300"/>
    </row>
    <row r="47" spans="1:13" x14ac:dyDescent="0.2">
      <c r="A47" s="303"/>
      <c r="B47" s="304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December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zoomScaleSheetLayoutView="100" workbookViewId="0">
      <selection activeCell="D15" sqref="D1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15" customHeight="1" x14ac:dyDescent="0.2">
      <c r="A1" s="379"/>
    </row>
    <row r="2" spans="1:13" s="7" customFormat="1" ht="55.5" customHeight="1" thickBot="1" x14ac:dyDescent="0.25">
      <c r="A2" s="372">
        <v>43070</v>
      </c>
      <c r="B2" s="520" t="s">
        <v>188</v>
      </c>
      <c r="C2" s="520" t="s">
        <v>187</v>
      </c>
      <c r="D2" s="520" t="s">
        <v>227</v>
      </c>
      <c r="E2" s="520" t="s">
        <v>209</v>
      </c>
      <c r="F2" s="520" t="s">
        <v>170</v>
      </c>
      <c r="G2" s="520" t="s">
        <v>193</v>
      </c>
      <c r="H2" s="520" t="s">
        <v>192</v>
      </c>
      <c r="I2" s="520" t="s">
        <v>165</v>
      </c>
      <c r="J2" s="520" t="s">
        <v>169</v>
      </c>
      <c r="K2" s="520" t="s">
        <v>194</v>
      </c>
      <c r="L2" s="520" t="s">
        <v>191</v>
      </c>
      <c r="M2" s="280" t="s">
        <v>21</v>
      </c>
    </row>
    <row r="3" spans="1:13" ht="15.75" thickTop="1" x14ac:dyDescent="0.25">
      <c r="A3" s="269" t="s">
        <v>3</v>
      </c>
      <c r="B3" s="395"/>
      <c r="C3" s="395"/>
      <c r="D3" s="395"/>
      <c r="E3" s="395"/>
      <c r="F3" s="395"/>
      <c r="G3" s="396"/>
      <c r="H3" s="396"/>
      <c r="I3" s="396"/>
      <c r="J3" s="396"/>
      <c r="K3" s="396"/>
      <c r="L3" s="395"/>
      <c r="M3" s="519"/>
    </row>
    <row r="4" spans="1:13" x14ac:dyDescent="0.2">
      <c r="A4" s="59" t="s">
        <v>29</v>
      </c>
      <c r="B4" s="121"/>
      <c r="C4" s="121"/>
      <c r="D4" s="121"/>
      <c r="E4" s="122"/>
      <c r="F4" s="123"/>
      <c r="G4" s="124"/>
      <c r="H4" s="124"/>
      <c r="I4" s="124"/>
      <c r="J4" s="124"/>
      <c r="K4" s="125"/>
      <c r="L4" s="123"/>
      <c r="M4" s="103"/>
    </row>
    <row r="5" spans="1:13" x14ac:dyDescent="0.2">
      <c r="A5" s="59" t="s">
        <v>30</v>
      </c>
      <c r="B5" s="124">
        <f>'[3]Shuttle America'!$FK$22</f>
        <v>0</v>
      </c>
      <c r="C5" s="124">
        <f>'[3]Shuttle America_Delta'!$FK$22</f>
        <v>4146</v>
      </c>
      <c r="D5" s="454">
        <f>[3]Horizon_AS!$FK$22</f>
        <v>4459</v>
      </c>
      <c r="E5" s="454">
        <f>[3]PSA!$FK$22</f>
        <v>1495</v>
      </c>
      <c r="F5" s="20">
        <f>[3]Compass!$FK$22+[3]Compass!$FK$32</f>
        <v>0</v>
      </c>
      <c r="G5" s="124">
        <f>'[3]Atlantic Southeast'!$FK$22+'[3]Atlantic Southeast'!$FK$32</f>
        <v>5344</v>
      </c>
      <c r="H5" s="124">
        <f>'[3]Continental Express'!$FK$22</f>
        <v>318</v>
      </c>
      <c r="I5" s="123">
        <f>'[3]Go Jet_UA'!$FK$22</f>
        <v>3333</v>
      </c>
      <c r="J5" s="20">
        <f>'[3]Go Jet'!$FK$22+'[3]Go Jet'!$FK$32</f>
        <v>9525</v>
      </c>
      <c r="K5" s="125">
        <f>'[3]Air Wisconsin'!$FK$22</f>
        <v>0</v>
      </c>
      <c r="L5" s="123">
        <f>[3]MESA!$FK$22</f>
        <v>0</v>
      </c>
      <c r="M5" s="103">
        <f>SUM(B5:L5)</f>
        <v>28620</v>
      </c>
    </row>
    <row r="6" spans="1:13" s="10" customFormat="1" x14ac:dyDescent="0.2">
      <c r="A6" s="59" t="s">
        <v>31</v>
      </c>
      <c r="B6" s="124">
        <f>'[3]Shuttle America'!$FK$23</f>
        <v>0</v>
      </c>
      <c r="C6" s="124">
        <f>'[3]Shuttle America_Delta'!$FK$23</f>
        <v>3864</v>
      </c>
      <c r="D6" s="454">
        <f>[3]Horizon_AS!$FK$23</f>
        <v>4592</v>
      </c>
      <c r="E6" s="454">
        <f>[3]PSA!$FK$23</f>
        <v>1534</v>
      </c>
      <c r="F6" s="14">
        <f>[3]Compass!$FK$23+[3]Compass!$FK$33</f>
        <v>0</v>
      </c>
      <c r="G6" s="124">
        <f>'[3]Atlantic Southeast'!$FK$23+'[3]Atlantic Southeast'!$FK$33</f>
        <v>5092</v>
      </c>
      <c r="H6" s="124">
        <f>'[3]Continental Express'!$FK$23</f>
        <v>325</v>
      </c>
      <c r="I6" s="123">
        <f>'[3]Go Jet_UA'!$FK$23</f>
        <v>3163</v>
      </c>
      <c r="J6" s="14">
        <f>'[3]Go Jet'!$FK$23+'[3]Go Jet'!$FK$33</f>
        <v>9419</v>
      </c>
      <c r="K6" s="125">
        <f>'[3]Air Wisconsin'!$FK$23</f>
        <v>0</v>
      </c>
      <c r="L6" s="123">
        <f>[3]MESA!$FK$23</f>
        <v>0</v>
      </c>
      <c r="M6" s="108">
        <f>SUM(B6:L6)</f>
        <v>27989</v>
      </c>
    </row>
    <row r="7" spans="1:13" ht="15" thickBot="1" x14ac:dyDescent="0.25">
      <c r="A7" s="70" t="s">
        <v>7</v>
      </c>
      <c r="B7" s="126">
        <f t="shared" ref="B7:L7" si="0">SUM(B5:B6)</f>
        <v>0</v>
      </c>
      <c r="C7" s="126">
        <f t="shared" si="0"/>
        <v>8010</v>
      </c>
      <c r="D7" s="126">
        <f t="shared" ref="D7" si="1">SUM(D5:D6)</f>
        <v>9051</v>
      </c>
      <c r="E7" s="126">
        <f t="shared" si="0"/>
        <v>3029</v>
      </c>
      <c r="F7" s="126">
        <f>SUM(F5:F6)</f>
        <v>0</v>
      </c>
      <c r="G7" s="126">
        <f t="shared" si="0"/>
        <v>10436</v>
      </c>
      <c r="H7" s="126">
        <f t="shared" si="0"/>
        <v>643</v>
      </c>
      <c r="I7" s="126">
        <f t="shared" si="0"/>
        <v>6496</v>
      </c>
      <c r="J7" s="126">
        <f>SUM(J5:J6)</f>
        <v>18944</v>
      </c>
      <c r="K7" s="126">
        <f t="shared" si="0"/>
        <v>0</v>
      </c>
      <c r="L7" s="126">
        <f t="shared" si="0"/>
        <v>0</v>
      </c>
      <c r="M7" s="127">
        <f>SUM(B7:L7)</f>
        <v>56609</v>
      </c>
    </row>
    <row r="8" spans="1:13" ht="13.5" thickTop="1" x14ac:dyDescent="0.2">
      <c r="A8" s="59"/>
      <c r="B8" s="124"/>
      <c r="C8" s="124"/>
      <c r="D8" s="454"/>
      <c r="E8" s="454"/>
      <c r="F8" s="332"/>
      <c r="G8" s="124"/>
      <c r="H8" s="124"/>
      <c r="I8" s="123"/>
      <c r="J8" s="332"/>
      <c r="K8" s="125"/>
      <c r="L8" s="123"/>
      <c r="M8" s="128"/>
    </row>
    <row r="9" spans="1:13" s="10" customFormat="1" x14ac:dyDescent="0.2">
      <c r="A9" s="59" t="s">
        <v>32</v>
      </c>
      <c r="B9" s="124"/>
      <c r="C9" s="124"/>
      <c r="D9" s="454"/>
      <c r="E9" s="454"/>
      <c r="F9" s="20"/>
      <c r="G9" s="124"/>
      <c r="H9" s="124"/>
      <c r="I9" s="123"/>
      <c r="J9" s="20"/>
      <c r="K9" s="125"/>
      <c r="L9" s="123"/>
      <c r="M9" s="103"/>
    </row>
    <row r="10" spans="1:13" x14ac:dyDescent="0.2">
      <c r="A10" s="59" t="s">
        <v>30</v>
      </c>
      <c r="B10" s="124">
        <f>'[3]Shuttle America'!$FK$27</f>
        <v>0</v>
      </c>
      <c r="C10" s="124">
        <f>'[3]Shuttle America_Delta'!$FK$27</f>
        <v>205</v>
      </c>
      <c r="D10" s="454">
        <f>[3]Horizon_AS!$FK$27</f>
        <v>204</v>
      </c>
      <c r="E10" s="454">
        <f>[3]PSA!$FK$27</f>
        <v>68</v>
      </c>
      <c r="F10" s="20">
        <f>[3]Compass!$FK$27+[3]Compass!$FK$37</f>
        <v>0</v>
      </c>
      <c r="G10" s="20">
        <f>'[3]Atlantic Southeast'!$FK$27+'[3]Atlantic Southeast'!$FK$37</f>
        <v>121</v>
      </c>
      <c r="H10" s="124">
        <f>'[3]Continental Express'!$FK$27</f>
        <v>10</v>
      </c>
      <c r="I10" s="123">
        <f>'[3]Go Jet_UA'!$FK$27</f>
        <v>76</v>
      </c>
      <c r="J10" s="20">
        <f>'[3]Go Jet'!$FK$27+'[3]Go Jet'!$FK$37</f>
        <v>287</v>
      </c>
      <c r="K10" s="125">
        <f>'[3]Air Wisconsin'!$FK$27</f>
        <v>0</v>
      </c>
      <c r="L10" s="123">
        <f>[3]MESA!$FK$27</f>
        <v>0</v>
      </c>
      <c r="M10" s="103">
        <f>SUM(B10:L10)</f>
        <v>971</v>
      </c>
    </row>
    <row r="11" spans="1:13" x14ac:dyDescent="0.2">
      <c r="A11" s="59" t="s">
        <v>33</v>
      </c>
      <c r="B11" s="124">
        <f>'[3]Shuttle America'!$FK$28</f>
        <v>0</v>
      </c>
      <c r="C11" s="124">
        <f>'[3]Shuttle America_Delta'!$FK$28</f>
        <v>179</v>
      </c>
      <c r="D11" s="454">
        <f>[3]Horizon_AS!$FK$28</f>
        <v>129</v>
      </c>
      <c r="E11" s="454">
        <f>[3]PSA!$FK$28</f>
        <v>48</v>
      </c>
      <c r="F11" s="14">
        <f>[3]Compass!$FK$28+[3]Compass!$FK$38</f>
        <v>0</v>
      </c>
      <c r="G11" s="14">
        <f>'[3]Atlantic Southeast'!$FK$28+'[3]Atlantic Southeast'!$FK$38</f>
        <v>139</v>
      </c>
      <c r="H11" s="124">
        <f>'[3]Continental Express'!$FK$28</f>
        <v>9</v>
      </c>
      <c r="I11" s="123">
        <f>'[3]Go Jet_UA'!$FK$28</f>
        <v>53</v>
      </c>
      <c r="J11" s="14">
        <f>'[3]Go Jet'!$FK$28+'[3]Go Jet'!$FK$38</f>
        <v>304</v>
      </c>
      <c r="K11" s="125">
        <f>'[3]Air Wisconsin'!$FK$28</f>
        <v>0</v>
      </c>
      <c r="L11" s="123">
        <f>[3]MESA!$FK$28</f>
        <v>0</v>
      </c>
      <c r="M11" s="108">
        <f>SUM(B11:L11)</f>
        <v>861</v>
      </c>
    </row>
    <row r="12" spans="1:13" ht="15" thickBot="1" x14ac:dyDescent="0.25">
      <c r="A12" s="71" t="s">
        <v>34</v>
      </c>
      <c r="B12" s="129">
        <f>SUM(B10:B11)</f>
        <v>0</v>
      </c>
      <c r="C12" s="129">
        <f>SUM(C10:C11)</f>
        <v>384</v>
      </c>
      <c r="D12" s="129">
        <f>SUM(D10:D11)</f>
        <v>333</v>
      </c>
      <c r="E12" s="129">
        <f t="shared" ref="E12" si="2">SUM(E10:E11)</f>
        <v>116</v>
      </c>
      <c r="F12" s="129">
        <f t="shared" ref="F12:L12" si="3">SUM(F10:F11)</f>
        <v>0</v>
      </c>
      <c r="G12" s="129">
        <f t="shared" si="3"/>
        <v>260</v>
      </c>
      <c r="H12" s="129">
        <f t="shared" si="3"/>
        <v>19</v>
      </c>
      <c r="I12" s="129">
        <f t="shared" si="3"/>
        <v>129</v>
      </c>
      <c r="J12" s="129">
        <f t="shared" ref="J12" si="4">SUM(J10:J11)</f>
        <v>591</v>
      </c>
      <c r="K12" s="129">
        <f t="shared" si="3"/>
        <v>0</v>
      </c>
      <c r="L12" s="129">
        <f t="shared" si="3"/>
        <v>0</v>
      </c>
      <c r="M12" s="130">
        <f>SUM(B12:L12)</f>
        <v>1832</v>
      </c>
    </row>
    <row r="13" spans="1:13" ht="6" customHeight="1" thickBot="1" x14ac:dyDescent="0.25"/>
    <row r="14" spans="1:13" ht="15.75" thickTop="1" x14ac:dyDescent="0.25">
      <c r="A14" s="58" t="s">
        <v>9</v>
      </c>
      <c r="B14" s="96"/>
      <c r="C14" s="96"/>
      <c r="D14" s="96"/>
      <c r="E14" s="96"/>
      <c r="F14" s="96"/>
      <c r="G14" s="97"/>
      <c r="H14" s="97"/>
      <c r="I14" s="96"/>
      <c r="J14" s="96"/>
      <c r="K14" s="97"/>
      <c r="L14" s="96"/>
      <c r="M14" s="98"/>
    </row>
    <row r="15" spans="1:13" x14ac:dyDescent="0.2">
      <c r="A15" s="59" t="s">
        <v>54</v>
      </c>
      <c r="B15" s="99">
        <f>'[3]Shuttle America'!$FK$4</f>
        <v>0</v>
      </c>
      <c r="C15" s="99">
        <f>'[3]Shuttle America_Delta'!$FK$4</f>
        <v>66</v>
      </c>
      <c r="D15" s="455">
        <f>[3]Horizon_AS!$FK$4</f>
        <v>80</v>
      </c>
      <c r="E15" s="455">
        <f>[3]PSA!$FK$4</f>
        <v>31</v>
      </c>
      <c r="F15" s="20">
        <f>[3]Compass!$FK$4+[3]Compass!$FK$15</f>
        <v>0</v>
      </c>
      <c r="G15" s="100">
        <f>'[3]Atlantic Southeast'!$FK$4+'[3]Atlantic Southeast'!$FK$15</f>
        <v>92</v>
      </c>
      <c r="H15" s="100">
        <f>'[3]Continental Express'!$FK$4</f>
        <v>8</v>
      </c>
      <c r="I15" s="99">
        <f>'[3]Go Jet_UA'!$FK$4</f>
        <v>50</v>
      </c>
      <c r="J15" s="20">
        <f>'[3]Go Jet'!$FK$4+'[3]Go Jet'!$FK$15</f>
        <v>164</v>
      </c>
      <c r="K15" s="101">
        <f>'[3]Air Wisconsin'!$FK$4</f>
        <v>0</v>
      </c>
      <c r="L15" s="99">
        <f>[3]MESA!$FK$4</f>
        <v>0</v>
      </c>
      <c r="M15" s="103">
        <f t="shared" ref="M15:M21" si="5">SUM(B15:L15)</f>
        <v>491</v>
      </c>
    </row>
    <row r="16" spans="1:13" x14ac:dyDescent="0.2">
      <c r="A16" s="59" t="s">
        <v>55</v>
      </c>
      <c r="B16" s="104">
        <f>'[3]Shuttle America'!$FK$5</f>
        <v>0</v>
      </c>
      <c r="C16" s="104">
        <f>'[3]Shuttle America_Delta'!$FK$5</f>
        <v>66</v>
      </c>
      <c r="D16" s="456">
        <f>[3]Horizon_AS!$FK$5</f>
        <v>80</v>
      </c>
      <c r="E16" s="456">
        <f>[3]PSA!$FK$5</f>
        <v>31</v>
      </c>
      <c r="F16" s="14">
        <f>[3]Compass!$FK$5+[3]Compass!$FK$16</f>
        <v>0</v>
      </c>
      <c r="G16" s="105">
        <f>'[3]Atlantic Southeast'!$FK$5+'[3]Atlantic Southeast'!$FK$16</f>
        <v>92</v>
      </c>
      <c r="H16" s="105">
        <f>'[3]Continental Express'!$FK$5</f>
        <v>8</v>
      </c>
      <c r="I16" s="104">
        <f>'[3]Go Jet_UA'!$FK$5</f>
        <v>50</v>
      </c>
      <c r="J16" s="14">
        <f>'[3]Go Jet'!$FK$5+'[3]Go Jet'!$FK$16</f>
        <v>164</v>
      </c>
      <c r="K16" s="106">
        <f>'[3]Air Wisconsin'!$FK$5</f>
        <v>0</v>
      </c>
      <c r="L16" s="104">
        <f>[3]MESA!$FK$5</f>
        <v>0</v>
      </c>
      <c r="M16" s="108">
        <f t="shared" si="5"/>
        <v>491</v>
      </c>
    </row>
    <row r="17" spans="1:13" x14ac:dyDescent="0.2">
      <c r="A17" s="68" t="s">
        <v>56</v>
      </c>
      <c r="B17" s="109">
        <f>SUM(B15:B16)</f>
        <v>0</v>
      </c>
      <c r="C17" s="109">
        <f>SUM(C15:C16)</f>
        <v>132</v>
      </c>
      <c r="D17" s="109">
        <f t="shared" ref="D17:E17" si="6">SUM(D15:D16)</f>
        <v>160</v>
      </c>
      <c r="E17" s="109">
        <f t="shared" si="6"/>
        <v>62</v>
      </c>
      <c r="F17" s="275">
        <f>SUM(F15:F16)</f>
        <v>0</v>
      </c>
      <c r="G17" s="109">
        <f t="shared" ref="G17:L17" si="7">SUM(G15:G16)</f>
        <v>184</v>
      </c>
      <c r="H17" s="109">
        <f t="shared" si="7"/>
        <v>16</v>
      </c>
      <c r="I17" s="109">
        <f t="shared" si="7"/>
        <v>100</v>
      </c>
      <c r="J17" s="275">
        <f>SUM(J15:J16)</f>
        <v>328</v>
      </c>
      <c r="K17" s="109">
        <f t="shared" si="7"/>
        <v>0</v>
      </c>
      <c r="L17" s="109">
        <f t="shared" si="7"/>
        <v>0</v>
      </c>
      <c r="M17" s="110">
        <f t="shared" si="5"/>
        <v>982</v>
      </c>
    </row>
    <row r="18" spans="1:13" x14ac:dyDescent="0.2">
      <c r="A18" s="59" t="s">
        <v>57</v>
      </c>
      <c r="B18" s="111">
        <f>'[3]Shuttle America'!$FK$8</f>
        <v>0</v>
      </c>
      <c r="C18" s="111">
        <f>'[3]Shuttle America_Delta'!$FK$8</f>
        <v>0</v>
      </c>
      <c r="D18" s="111">
        <f>[3]Horizon_AS!$FK$8</f>
        <v>0</v>
      </c>
      <c r="E18" s="111">
        <f>[3]PSA!$FK$8</f>
        <v>0</v>
      </c>
      <c r="F18" s="20">
        <f>[3]Compass!$FK$8</f>
        <v>0</v>
      </c>
      <c r="G18" s="102">
        <f>'[3]Atlantic Southeast'!$FK$8</f>
        <v>0</v>
      </c>
      <c r="H18" s="102">
        <f>'[3]Continental Express'!$FK$8</f>
        <v>0</v>
      </c>
      <c r="I18" s="111">
        <f>'[3]Go Jet_UA'!$FK$8</f>
        <v>0</v>
      </c>
      <c r="J18" s="20">
        <f>'[3]Go Jet'!$FK$8</f>
        <v>0</v>
      </c>
      <c r="K18" s="112">
        <f>'[3]Air Wisconsin'!$FK$8</f>
        <v>0</v>
      </c>
      <c r="L18" s="111">
        <f>[3]MESA!$FK$8</f>
        <v>0</v>
      </c>
      <c r="M18" s="103">
        <f t="shared" si="5"/>
        <v>0</v>
      </c>
    </row>
    <row r="19" spans="1:13" x14ac:dyDescent="0.2">
      <c r="A19" s="59" t="s">
        <v>58</v>
      </c>
      <c r="B19" s="113">
        <f>'[3]Shuttle America'!$FK$9</f>
        <v>0</v>
      </c>
      <c r="C19" s="113">
        <f>'[3]Shuttle America_Delta'!$FK$9</f>
        <v>0</v>
      </c>
      <c r="D19" s="113">
        <f>[3]Horizon_AS!$FK$9</f>
        <v>0</v>
      </c>
      <c r="E19" s="113">
        <f>[3]PSA!$FK$9</f>
        <v>0</v>
      </c>
      <c r="F19" s="14">
        <f>[3]Compass!$FK$9</f>
        <v>0</v>
      </c>
      <c r="G19" s="107">
        <f>'[3]Atlantic Southeast'!$FK$9</f>
        <v>0</v>
      </c>
      <c r="H19" s="107">
        <f>'[3]Continental Express'!$FK$9</f>
        <v>0</v>
      </c>
      <c r="I19" s="113">
        <f>'[3]Go Jet_UA'!$FK$9</f>
        <v>0</v>
      </c>
      <c r="J19" s="14">
        <f>'[3]Go Jet'!$FK$9</f>
        <v>0</v>
      </c>
      <c r="K19" s="114">
        <f>'[3]Air Wisconsin'!$FK$9</f>
        <v>0</v>
      </c>
      <c r="L19" s="113">
        <f>[3]MESA!$FK$9</f>
        <v>0</v>
      </c>
      <c r="M19" s="108">
        <f t="shared" si="5"/>
        <v>0</v>
      </c>
    </row>
    <row r="20" spans="1:13" x14ac:dyDescent="0.2">
      <c r="A20" s="68" t="s">
        <v>59</v>
      </c>
      <c r="B20" s="109">
        <f>SUM(B18:B19)</f>
        <v>0</v>
      </c>
      <c r="C20" s="109">
        <f>SUM(C18:C19)</f>
        <v>0</v>
      </c>
      <c r="D20" s="109">
        <f t="shared" ref="D20:E20" si="8">SUM(D18:D19)</f>
        <v>0</v>
      </c>
      <c r="E20" s="109">
        <f t="shared" si="8"/>
        <v>0</v>
      </c>
      <c r="F20" s="275">
        <f>SUM(F18:F19)</f>
        <v>0</v>
      </c>
      <c r="G20" s="109">
        <f t="shared" ref="G20:L20" si="9">SUM(G18:G19)</f>
        <v>0</v>
      </c>
      <c r="H20" s="109">
        <f t="shared" si="9"/>
        <v>0</v>
      </c>
      <c r="I20" s="109">
        <f t="shared" si="9"/>
        <v>0</v>
      </c>
      <c r="J20" s="275">
        <f>SUM(J18:J19)</f>
        <v>0</v>
      </c>
      <c r="K20" s="109">
        <f t="shared" si="9"/>
        <v>0</v>
      </c>
      <c r="L20" s="109">
        <f t="shared" si="9"/>
        <v>0</v>
      </c>
      <c r="M20" s="110">
        <f t="shared" si="5"/>
        <v>0</v>
      </c>
    </row>
    <row r="21" spans="1:13" ht="15.75" thickBot="1" x14ac:dyDescent="0.3">
      <c r="A21" s="69" t="s">
        <v>28</v>
      </c>
      <c r="B21" s="115">
        <f>SUM(B20,B17)</f>
        <v>0</v>
      </c>
      <c r="C21" s="115">
        <f>SUM(C20,C17)</f>
        <v>132</v>
      </c>
      <c r="D21" s="115">
        <f t="shared" ref="D21:E21" si="10">SUM(D20,D17)</f>
        <v>160</v>
      </c>
      <c r="E21" s="115">
        <f t="shared" si="10"/>
        <v>62</v>
      </c>
      <c r="F21" s="115">
        <f t="shared" ref="F21:L21" si="11">SUM(F20,F17)</f>
        <v>0</v>
      </c>
      <c r="G21" s="115">
        <f t="shared" si="11"/>
        <v>184</v>
      </c>
      <c r="H21" s="115">
        <f t="shared" si="11"/>
        <v>16</v>
      </c>
      <c r="I21" s="115">
        <f t="shared" si="11"/>
        <v>100</v>
      </c>
      <c r="J21" s="115">
        <f t="shared" ref="J21" si="12">SUM(J20,J17)</f>
        <v>328</v>
      </c>
      <c r="K21" s="115">
        <f t="shared" si="11"/>
        <v>0</v>
      </c>
      <c r="L21" s="115">
        <f t="shared" si="11"/>
        <v>0</v>
      </c>
      <c r="M21" s="116">
        <f t="shared" si="5"/>
        <v>982</v>
      </c>
    </row>
    <row r="22" spans="1:13" ht="3.75" customHeight="1" thickBot="1" x14ac:dyDescent="0.25"/>
    <row r="23" spans="1:13" ht="15.75" thickTop="1" x14ac:dyDescent="0.25">
      <c r="A23" s="62" t="s">
        <v>118</v>
      </c>
      <c r="B23" s="131"/>
      <c r="C23" s="131"/>
      <c r="D23" s="131"/>
      <c r="E23" s="131"/>
      <c r="F23" s="131"/>
      <c r="G23" s="132"/>
      <c r="H23" s="132"/>
      <c r="I23" s="131"/>
      <c r="J23" s="131"/>
      <c r="K23" s="132"/>
      <c r="L23" s="131"/>
      <c r="M23" s="133"/>
    </row>
    <row r="24" spans="1:13" x14ac:dyDescent="0.2">
      <c r="A24" s="72" t="s">
        <v>36</v>
      </c>
      <c r="B24" s="123"/>
      <c r="C24" s="123"/>
      <c r="D24" s="123"/>
      <c r="E24" s="123"/>
      <c r="G24" s="124"/>
      <c r="H24" s="124"/>
      <c r="I24" s="123"/>
      <c r="K24" s="125"/>
      <c r="L24" s="123"/>
      <c r="M24" s="103"/>
    </row>
    <row r="25" spans="1:13" x14ac:dyDescent="0.2">
      <c r="A25" s="72" t="s">
        <v>37</v>
      </c>
      <c r="B25" s="123">
        <f>'[3]Shuttle America'!$FK$47</f>
        <v>0</v>
      </c>
      <c r="C25" s="123">
        <f>'[3]Shuttle America_Delta'!$FK$47</f>
        <v>0</v>
      </c>
      <c r="D25" s="123">
        <f>[3]Horizon_AS!$FK$47</f>
        <v>3285</v>
      </c>
      <c r="E25" s="123">
        <f>[3]PSA!$FK$47</f>
        <v>0</v>
      </c>
      <c r="F25" s="123">
        <f>[3]Compass!$FK$47</f>
        <v>0</v>
      </c>
      <c r="G25" s="124">
        <f>'[3]Atlantic Southeast'!$FK$47</f>
        <v>0</v>
      </c>
      <c r="H25" s="124">
        <f>'[3]Continental Express'!$FK$47</f>
        <v>0</v>
      </c>
      <c r="I25" s="123">
        <f>'[3]Go Jet_UA'!$FK$47</f>
        <v>0</v>
      </c>
      <c r="J25" s="123">
        <f>'[3]Go Jet'!$FK$47</f>
        <v>116</v>
      </c>
      <c r="K25" s="125">
        <f>'[3]Air Wisconsin'!$FK$47</f>
        <v>0</v>
      </c>
      <c r="L25" s="123">
        <f>[3]MESA!$FK$47</f>
        <v>0</v>
      </c>
      <c r="M25" s="103">
        <f>SUM(B25:L25)</f>
        <v>3401</v>
      </c>
    </row>
    <row r="26" spans="1:13" x14ac:dyDescent="0.2">
      <c r="A26" s="72" t="s">
        <v>38</v>
      </c>
      <c r="B26" s="123">
        <f>'[3]Shuttle America'!$FK$48</f>
        <v>0</v>
      </c>
      <c r="C26" s="123">
        <f>'[3]Shuttle America_Delta'!$FK$48</f>
        <v>0</v>
      </c>
      <c r="D26" s="123">
        <f>[3]Horizon_AS!$FK$48</f>
        <v>1105</v>
      </c>
      <c r="E26" s="123">
        <f>[3]PSA!$FK$48</f>
        <v>0</v>
      </c>
      <c r="F26" s="123">
        <f>[3]Compass!$FK$48</f>
        <v>0</v>
      </c>
      <c r="G26" s="124">
        <f>'[3]Atlantic Southeast'!$FK$48</f>
        <v>0</v>
      </c>
      <c r="H26" s="124">
        <f>'[3]Continental Express'!$FK$48</f>
        <v>0</v>
      </c>
      <c r="I26" s="123">
        <f>'[3]Go Jet_UA'!$FK$48</f>
        <v>0</v>
      </c>
      <c r="J26" s="123">
        <f>'[3]Go Jet'!$FK$48</f>
        <v>0</v>
      </c>
      <c r="K26" s="125">
        <f>'[3]Air Wisconsin'!$FK$48</f>
        <v>0</v>
      </c>
      <c r="L26" s="123">
        <f>[3]MESA!$FK$48</f>
        <v>0</v>
      </c>
      <c r="M26" s="103">
        <f>SUM(B26:L26)</f>
        <v>1105</v>
      </c>
    </row>
    <row r="27" spans="1:13" ht="15" thickBot="1" x14ac:dyDescent="0.25">
      <c r="A27" s="70" t="s">
        <v>39</v>
      </c>
      <c r="B27" s="126">
        <f>SUM(B25:B26)</f>
        <v>0</v>
      </c>
      <c r="C27" s="126">
        <f>SUM(C25:C26)</f>
        <v>0</v>
      </c>
      <c r="D27" s="126">
        <f t="shared" ref="D27:E27" si="13">SUM(D25:D26)</f>
        <v>4390</v>
      </c>
      <c r="E27" s="126">
        <f t="shared" si="13"/>
        <v>0</v>
      </c>
      <c r="F27" s="126">
        <f>SUM(F25:F26)</f>
        <v>0</v>
      </c>
      <c r="G27" s="126">
        <f t="shared" ref="G27:L27" si="14">SUM(G25:G26)</f>
        <v>0</v>
      </c>
      <c r="H27" s="126">
        <f t="shared" si="14"/>
        <v>0</v>
      </c>
      <c r="I27" s="126">
        <f t="shared" si="14"/>
        <v>0</v>
      </c>
      <c r="J27" s="126">
        <f>SUM(J25:J26)</f>
        <v>116</v>
      </c>
      <c r="K27" s="126">
        <f t="shared" si="14"/>
        <v>0</v>
      </c>
      <c r="L27" s="126">
        <f t="shared" si="14"/>
        <v>0</v>
      </c>
      <c r="M27" s="127">
        <f>SUM(B27:L27)</f>
        <v>4506</v>
      </c>
    </row>
    <row r="28" spans="1:13" ht="7.5" customHeight="1" thickTop="1" x14ac:dyDescent="0.2">
      <c r="A28" s="72"/>
      <c r="B28" s="123"/>
      <c r="C28" s="123"/>
      <c r="D28" s="123"/>
      <c r="E28" s="123"/>
      <c r="F28" s="123"/>
      <c r="G28" s="124"/>
      <c r="H28" s="124"/>
      <c r="I28" s="123"/>
      <c r="J28" s="123"/>
      <c r="K28" s="125"/>
      <c r="L28" s="123"/>
      <c r="M28" s="103"/>
    </row>
    <row r="29" spans="1:13" x14ac:dyDescent="0.2">
      <c r="A29" s="72" t="s">
        <v>40</v>
      </c>
      <c r="B29" s="123"/>
      <c r="C29" s="123"/>
      <c r="D29" s="123"/>
      <c r="E29" s="123"/>
      <c r="F29" s="123"/>
      <c r="G29" s="124"/>
      <c r="H29" s="124"/>
      <c r="I29" s="123"/>
      <c r="J29" s="123"/>
      <c r="K29" s="125"/>
      <c r="L29" s="123"/>
      <c r="M29" s="103"/>
    </row>
    <row r="30" spans="1:13" x14ac:dyDescent="0.2">
      <c r="A30" s="72" t="s">
        <v>60</v>
      </c>
      <c r="B30" s="123">
        <f>'[3]Shuttle America'!$FK$52</f>
        <v>0</v>
      </c>
      <c r="C30" s="123">
        <f>'[3]Shuttle America_Delta'!$FK$52</f>
        <v>0</v>
      </c>
      <c r="D30" s="123">
        <f>[3]Horizon_AS!$FK$52</f>
        <v>315</v>
      </c>
      <c r="E30" s="123">
        <f>[3]PSA!$FK$52</f>
        <v>0</v>
      </c>
      <c r="F30" s="123">
        <f>[3]Compass!$FK$52</f>
        <v>0</v>
      </c>
      <c r="G30" s="124">
        <f>'[3]Atlantic Southeast'!$FK$52</f>
        <v>0</v>
      </c>
      <c r="H30" s="124">
        <f>'[3]Continental Express'!$FK$52</f>
        <v>0</v>
      </c>
      <c r="I30" s="123">
        <f>'[3]Go Jet_UA'!$FK$52</f>
        <v>0</v>
      </c>
      <c r="J30" s="123">
        <f>'[3]Go Jet'!$FK$52</f>
        <v>0</v>
      </c>
      <c r="K30" s="125">
        <f>'[3]Air Wisconsin'!BH$52</f>
        <v>0</v>
      </c>
      <c r="L30" s="123">
        <f>[3]MESA!$FK$52</f>
        <v>0</v>
      </c>
      <c r="M30" s="103">
        <f>SUM(B30:L30)</f>
        <v>315</v>
      </c>
    </row>
    <row r="31" spans="1:13" x14ac:dyDescent="0.2">
      <c r="A31" s="72" t="s">
        <v>61</v>
      </c>
      <c r="B31" s="123">
        <f>'[3]Shuttle America'!$FK$53</f>
        <v>0</v>
      </c>
      <c r="C31" s="123">
        <f>'[3]Shuttle America_Delta'!$FK$53</f>
        <v>0</v>
      </c>
      <c r="D31" s="123">
        <f>[3]Horizon_AS!$FK$53</f>
        <v>528</v>
      </c>
      <c r="E31" s="123">
        <f>[3]PSA!$FK$53</f>
        <v>0</v>
      </c>
      <c r="F31" s="123">
        <f>[3]Compass!$FK$53</f>
        <v>0</v>
      </c>
      <c r="G31" s="124">
        <f>'[3]Atlantic Southeast'!$FK$53</f>
        <v>0</v>
      </c>
      <c r="H31" s="124">
        <f>'[3]Continental Express'!$FK$53</f>
        <v>0</v>
      </c>
      <c r="I31" s="123">
        <f>'[3]Go Jet_UA'!$FK$53</f>
        <v>0</v>
      </c>
      <c r="J31" s="123">
        <f>'[3]Go Jet'!$FK$53</f>
        <v>0</v>
      </c>
      <c r="K31" s="125">
        <f>'[3]Air Wisconsin'!$FK$53</f>
        <v>0</v>
      </c>
      <c r="L31" s="123">
        <f>[3]MESA!$FK$53</f>
        <v>0</v>
      </c>
      <c r="M31" s="103">
        <f>SUM(B31:L31)</f>
        <v>528</v>
      </c>
    </row>
    <row r="32" spans="1:13" ht="15" thickBot="1" x14ac:dyDescent="0.25">
      <c r="A32" s="70" t="s">
        <v>41</v>
      </c>
      <c r="B32" s="126">
        <f t="shared" ref="B32:L32" si="15">SUM(B30:B31)</f>
        <v>0</v>
      </c>
      <c r="C32" s="126">
        <f t="shared" si="15"/>
        <v>0</v>
      </c>
      <c r="D32" s="126">
        <f t="shared" ref="D32" si="16">SUM(D30:D31)</f>
        <v>843</v>
      </c>
      <c r="E32" s="126">
        <f t="shared" si="15"/>
        <v>0</v>
      </c>
      <c r="F32" s="126">
        <f t="shared" si="15"/>
        <v>0</v>
      </c>
      <c r="G32" s="126">
        <f t="shared" si="15"/>
        <v>0</v>
      </c>
      <c r="H32" s="126">
        <f t="shared" si="15"/>
        <v>0</v>
      </c>
      <c r="I32" s="126">
        <f t="shared" si="15"/>
        <v>0</v>
      </c>
      <c r="J32" s="126">
        <f t="shared" ref="J32" si="17">SUM(J30:J31)</f>
        <v>0</v>
      </c>
      <c r="K32" s="126">
        <f t="shared" si="15"/>
        <v>0</v>
      </c>
      <c r="L32" s="126">
        <f t="shared" si="15"/>
        <v>0</v>
      </c>
      <c r="M32" s="127">
        <f>SUM(B32:L32)</f>
        <v>843</v>
      </c>
    </row>
    <row r="33" spans="1:13" ht="13.5" hidden="1" thickTop="1" x14ac:dyDescent="0.2">
      <c r="A33" s="72"/>
      <c r="B33" s="123"/>
      <c r="C33" s="123"/>
      <c r="D33" s="123"/>
      <c r="E33" s="123"/>
      <c r="F33" s="123"/>
      <c r="G33" s="124"/>
      <c r="H33" s="124"/>
      <c r="I33" s="123"/>
      <c r="J33" s="123"/>
      <c r="K33" s="125"/>
      <c r="L33" s="123"/>
      <c r="M33" s="103"/>
    </row>
    <row r="34" spans="1:13" ht="13.5" hidden="1" thickTop="1" x14ac:dyDescent="0.2">
      <c r="A34" s="72" t="s">
        <v>42</v>
      </c>
      <c r="B34" s="123"/>
      <c r="C34" s="123"/>
      <c r="D34" s="123"/>
      <c r="E34" s="123"/>
      <c r="F34" s="123"/>
      <c r="G34" s="124"/>
      <c r="H34" s="124"/>
      <c r="I34" s="123"/>
      <c r="J34" s="123"/>
      <c r="K34" s="125"/>
      <c r="L34" s="123"/>
      <c r="M34" s="103"/>
    </row>
    <row r="35" spans="1:13" ht="13.5" hidden="1" thickTop="1" x14ac:dyDescent="0.2">
      <c r="A35" s="72" t="s">
        <v>37</v>
      </c>
      <c r="B35" s="123">
        <f>'[3]Shuttle America'!$FK$57</f>
        <v>0</v>
      </c>
      <c r="C35" s="123">
        <f>'[3]Shuttle America_Delta'!$FK$57</f>
        <v>0</v>
      </c>
      <c r="D35" s="123">
        <f>[3]Horizon_AS!$FK$57</f>
        <v>0</v>
      </c>
      <c r="E35" s="123">
        <f>[3]PSA!$FK$57</f>
        <v>0</v>
      </c>
      <c r="F35" s="123">
        <f>[3]Compass!$FK$57</f>
        <v>0</v>
      </c>
      <c r="G35" s="124">
        <f>'[3]Atlantic Southeast'!$FK$57</f>
        <v>0</v>
      </c>
      <c r="H35" s="124">
        <f>'[3]Continental Express'!$FK$57</f>
        <v>0</v>
      </c>
      <c r="I35" s="123">
        <f>'[3]Go Jet_UA'!$AJ$57</f>
        <v>0</v>
      </c>
      <c r="J35" s="123">
        <f>'[3]Go Jet'!$FK$57</f>
        <v>0</v>
      </c>
      <c r="K35" s="125">
        <f>'[3]Air Wisconsin'!BG$57</f>
        <v>0</v>
      </c>
      <c r="L35" s="123">
        <f>[3]MESA!$AJ$57</f>
        <v>0</v>
      </c>
      <c r="M35" s="103">
        <f>SUM(B35:L35)</f>
        <v>0</v>
      </c>
    </row>
    <row r="36" spans="1:13" ht="13.5" hidden="1" thickTop="1" x14ac:dyDescent="0.2">
      <c r="A36" s="72" t="s">
        <v>38</v>
      </c>
      <c r="B36" s="123">
        <f>'[3]Shuttle America'!BG$58</f>
        <v>0</v>
      </c>
      <c r="C36" s="123">
        <f>'[3]Shuttle America_Delta'!BH$58</f>
        <v>0</v>
      </c>
      <c r="D36" s="123">
        <f>[3]Horizon_AS!BF$58</f>
        <v>0</v>
      </c>
      <c r="E36" s="123">
        <f>[3]PSA!BG$58</f>
        <v>0</v>
      </c>
      <c r="F36" s="123">
        <f>[3]Compass!BG$58</f>
        <v>0</v>
      </c>
      <c r="G36" s="124">
        <f>'[3]Atlantic Southeast'!BG$58</f>
        <v>0</v>
      </c>
      <c r="H36" s="124">
        <f>'[3]Continental Express'!BG$58</f>
        <v>0</v>
      </c>
      <c r="I36" s="123">
        <f>'[3]Go Jet_UA'!$AJ$58</f>
        <v>0</v>
      </c>
      <c r="J36" s="123">
        <f>'[3]Go Jet'!BK$58</f>
        <v>0</v>
      </c>
      <c r="K36" s="125">
        <f>'[3]Air Wisconsin'!BG$58</f>
        <v>0</v>
      </c>
      <c r="L36" s="123">
        <f>[3]MESA!$AJ$58</f>
        <v>0</v>
      </c>
      <c r="M36" s="103">
        <f>SUM(B36:L36)</f>
        <v>0</v>
      </c>
    </row>
    <row r="37" spans="1:13" ht="13.5" hidden="1" thickTop="1" x14ac:dyDescent="0.2">
      <c r="A37" s="73" t="s">
        <v>43</v>
      </c>
      <c r="B37" s="134">
        <f>SUM(B35:B36)</f>
        <v>0</v>
      </c>
      <c r="C37" s="134">
        <f>SUM(C35:C36)</f>
        <v>0</v>
      </c>
      <c r="D37" s="134">
        <f t="shared" ref="D37:E37" si="18">SUM(D35:D36)</f>
        <v>0</v>
      </c>
      <c r="E37" s="134">
        <f t="shared" si="18"/>
        <v>0</v>
      </c>
      <c r="F37" s="134">
        <f>SUM(F35:F36)</f>
        <v>0</v>
      </c>
      <c r="G37" s="135">
        <f t="shared" ref="G37:L37" si="19">SUM(G35:G36)</f>
        <v>0</v>
      </c>
      <c r="H37" s="135">
        <f t="shared" si="19"/>
        <v>0</v>
      </c>
      <c r="I37" s="134">
        <f t="shared" si="19"/>
        <v>0</v>
      </c>
      <c r="J37" s="134">
        <f>SUM(J35:J36)</f>
        <v>0</v>
      </c>
      <c r="K37" s="134">
        <f t="shared" si="19"/>
        <v>0</v>
      </c>
      <c r="L37" s="134">
        <f t="shared" si="19"/>
        <v>0</v>
      </c>
      <c r="M37" s="136">
        <f>SUM(B37:L37)</f>
        <v>0</v>
      </c>
    </row>
    <row r="38" spans="1:13" ht="6.75" customHeight="1" thickTop="1" x14ac:dyDescent="0.2">
      <c r="A38" s="72"/>
      <c r="B38" s="123"/>
      <c r="C38" s="123"/>
      <c r="D38" s="123"/>
      <c r="E38" s="123"/>
      <c r="F38" s="123"/>
      <c r="G38" s="124"/>
      <c r="H38" s="124"/>
      <c r="I38" s="123"/>
      <c r="J38" s="123"/>
      <c r="K38" s="125"/>
      <c r="L38" s="123"/>
      <c r="M38" s="103"/>
    </row>
    <row r="39" spans="1:13" x14ac:dyDescent="0.2">
      <c r="A39" s="72" t="s">
        <v>44</v>
      </c>
      <c r="B39" s="123"/>
      <c r="C39" s="123"/>
      <c r="D39" s="123"/>
      <c r="E39" s="123"/>
      <c r="F39" s="123"/>
      <c r="G39" s="124"/>
      <c r="H39" s="124"/>
      <c r="I39" s="123"/>
      <c r="J39" s="123"/>
      <c r="K39" s="125"/>
      <c r="L39" s="123"/>
      <c r="M39" s="103"/>
    </row>
    <row r="40" spans="1:13" x14ac:dyDescent="0.2">
      <c r="A40" s="72" t="s">
        <v>45</v>
      </c>
      <c r="B40" s="123">
        <f t="shared" ref="B40:L40" si="20">SUM(B35,B30,B25)</f>
        <v>0</v>
      </c>
      <c r="C40" s="123">
        <f>SUM(C35,C30,C25)</f>
        <v>0</v>
      </c>
      <c r="D40" s="123">
        <f t="shared" ref="D40:E41" si="21">SUM(D35,D30,D25)</f>
        <v>3600</v>
      </c>
      <c r="E40" s="123">
        <f t="shared" si="21"/>
        <v>0</v>
      </c>
      <c r="F40" s="123">
        <f t="shared" si="20"/>
        <v>0</v>
      </c>
      <c r="G40" s="123">
        <f t="shared" si="20"/>
        <v>0</v>
      </c>
      <c r="H40" s="123">
        <f t="shared" si="20"/>
        <v>0</v>
      </c>
      <c r="I40" s="123">
        <f>SUM(I35,I30,I25)</f>
        <v>0</v>
      </c>
      <c r="J40" s="123">
        <f t="shared" ref="J40" si="22">SUM(J35,J30,J25)</f>
        <v>116</v>
      </c>
      <c r="K40" s="123">
        <f t="shared" si="20"/>
        <v>0</v>
      </c>
      <c r="L40" s="123">
        <f t="shared" si="20"/>
        <v>0</v>
      </c>
      <c r="M40" s="103">
        <f>SUM(B40:L40)</f>
        <v>3716</v>
      </c>
    </row>
    <row r="41" spans="1:13" x14ac:dyDescent="0.2">
      <c r="A41" s="72" t="s">
        <v>38</v>
      </c>
      <c r="B41" s="123">
        <f>SUM(B36,B31,B26)</f>
        <v>0</v>
      </c>
      <c r="C41" s="123">
        <f>SUM(C36,C31,C26)</f>
        <v>0</v>
      </c>
      <c r="D41" s="123">
        <f t="shared" si="21"/>
        <v>1633</v>
      </c>
      <c r="E41" s="123">
        <f t="shared" si="21"/>
        <v>0</v>
      </c>
      <c r="F41" s="123">
        <f t="shared" ref="F41:L41" si="23">SUM(F36,F31,F26)</f>
        <v>0</v>
      </c>
      <c r="G41" s="123">
        <f t="shared" si="23"/>
        <v>0</v>
      </c>
      <c r="H41" s="123">
        <f t="shared" si="23"/>
        <v>0</v>
      </c>
      <c r="I41" s="123">
        <f>SUM(I36,I31,I26)</f>
        <v>0</v>
      </c>
      <c r="J41" s="123">
        <f t="shared" ref="J41" si="24">SUM(J36,J31,J26)</f>
        <v>0</v>
      </c>
      <c r="K41" s="123">
        <f t="shared" si="23"/>
        <v>0</v>
      </c>
      <c r="L41" s="123">
        <f t="shared" si="23"/>
        <v>0</v>
      </c>
      <c r="M41" s="103">
        <f>SUM(B41:L41)</f>
        <v>1633</v>
      </c>
    </row>
    <row r="42" spans="1:13" ht="15" thickBot="1" x14ac:dyDescent="0.25">
      <c r="A42" s="71" t="s">
        <v>46</v>
      </c>
      <c r="B42" s="129">
        <f>SUM(B40:B41)</f>
        <v>0</v>
      </c>
      <c r="C42" s="129">
        <f>SUM(C40:C41)</f>
        <v>0</v>
      </c>
      <c r="D42" s="129">
        <f t="shared" ref="D42:E42" si="25">SUM(D40:D41)</f>
        <v>5233</v>
      </c>
      <c r="E42" s="129">
        <f t="shared" si="25"/>
        <v>0</v>
      </c>
      <c r="F42" s="129">
        <f t="shared" ref="F42:L42" si="26">SUM(F40:F41)</f>
        <v>0</v>
      </c>
      <c r="G42" s="129">
        <f t="shared" si="26"/>
        <v>0</v>
      </c>
      <c r="H42" s="129">
        <f t="shared" si="26"/>
        <v>0</v>
      </c>
      <c r="I42" s="129">
        <f t="shared" si="26"/>
        <v>0</v>
      </c>
      <c r="J42" s="129">
        <f t="shared" ref="J42" si="27">SUM(J40:J41)</f>
        <v>116</v>
      </c>
      <c r="K42" s="129">
        <f t="shared" si="26"/>
        <v>0</v>
      </c>
      <c r="L42" s="129">
        <f t="shared" si="26"/>
        <v>0</v>
      </c>
      <c r="M42" s="130">
        <f>SUM(B42:L42)</f>
        <v>5349</v>
      </c>
    </row>
    <row r="43" spans="1:13" ht="4.5" customHeight="1" x14ac:dyDescent="0.2"/>
    <row r="44" spans="1:13" hidden="1" x14ac:dyDescent="0.2">
      <c r="A44" s="312" t="s">
        <v>128</v>
      </c>
      <c r="F44" s="311">
        <f>[3]Compass!BG$70+[3]Compass!BG$73</f>
        <v>27782</v>
      </c>
      <c r="G44" s="297"/>
      <c r="J44" s="311">
        <f>'[3]Go Jet'!BK$70+'[3]Go Jet'!BK$73</f>
        <v>0</v>
      </c>
      <c r="M44" s="299">
        <f>SUM(F44:F44)</f>
        <v>27782</v>
      </c>
    </row>
    <row r="45" spans="1:13" hidden="1" x14ac:dyDescent="0.2">
      <c r="A45" s="312" t="s">
        <v>129</v>
      </c>
      <c r="F45" s="311">
        <f>[3]Compass!BG$71+[3]Compass!BG$74</f>
        <v>47176</v>
      </c>
      <c r="G45" s="315"/>
      <c r="J45" s="311">
        <f>'[3]Go Jet'!BK$71+'[3]Go Jet'!BK$74</f>
        <v>0</v>
      </c>
      <c r="M45" s="299">
        <f>SUM(F45:F45)</f>
        <v>47176</v>
      </c>
    </row>
    <row r="46" spans="1:13" x14ac:dyDescent="0.2">
      <c r="A46" s="369" t="s">
        <v>125</v>
      </c>
      <c r="C46" s="311">
        <f>'[3]Shuttle America_Delta'!$FK$70+'[3]Shuttle America_Delta'!$FK$73</f>
        <v>2009</v>
      </c>
      <c r="F46" s="311">
        <f>[3]Compass!$FK$70+[3]Compass!$FK$73</f>
        <v>0</v>
      </c>
      <c r="G46" s="311">
        <f>'[3]Atlantic Southeast'!$FK$70+'[3]Atlantic Southeast'!$FK$73</f>
        <v>2459</v>
      </c>
      <c r="J46" s="311">
        <f>'[3]Go Jet'!$FK$70+'[3]Go Jet'!$FK$73</f>
        <v>3636</v>
      </c>
      <c r="M46" s="382">
        <f>SUM(B46:L46)</f>
        <v>8104</v>
      </c>
    </row>
    <row r="47" spans="1:13" x14ac:dyDescent="0.2">
      <c r="A47" s="383" t="s">
        <v>126</v>
      </c>
      <c r="C47" s="311">
        <f>'[3]Shuttle America_Delta'!$FK$71+'[3]Shuttle America_Delta'!$FK$74</f>
        <v>1855</v>
      </c>
      <c r="F47" s="311">
        <f>[3]Compass!$FK$71+[3]Compass!$FK$74</f>
        <v>0</v>
      </c>
      <c r="G47" s="311">
        <f>'[3]Atlantic Southeast'!$FK$71+'[3]Atlantic Southeast'!$FK$74</f>
        <v>2633</v>
      </c>
      <c r="J47" s="311">
        <f>'[3]Go Jet'!$FK$71+'[3]Go Jet'!$FK$74</f>
        <v>5783</v>
      </c>
      <c r="M47" s="382">
        <f>SUM(B47:L47)</f>
        <v>10271</v>
      </c>
    </row>
  </sheetData>
  <phoneticPr fontId="6" type="noConversion"/>
  <printOptions horizontalCentered="1"/>
  <pageMargins left="0.75" right="0.75" top="0.92" bottom="1" header="0.5" footer="0.5"/>
  <pageSetup scale="81" orientation="landscape" r:id="rId1"/>
  <headerFooter alignWithMargins="0">
    <oddHeader>&amp;L
Schedule 5
&amp;CMinneapolis-St. Paul International Airport
&amp;"Arial,Bold"Other Regional
December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opLeftCell="A13" zoomScaleNormal="100" workbookViewId="0">
      <selection activeCell="D24" sqref="D2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2">
        <v>43070</v>
      </c>
      <c r="B2" s="173" t="s">
        <v>120</v>
      </c>
      <c r="C2" s="173" t="s">
        <v>157</v>
      </c>
      <c r="D2" s="95" t="s">
        <v>79</v>
      </c>
      <c r="E2" s="95" t="s">
        <v>158</v>
      </c>
      <c r="F2" s="173" t="s">
        <v>134</v>
      </c>
      <c r="G2" s="167" t="s">
        <v>80</v>
      </c>
    </row>
    <row r="3" spans="1:17" x14ac:dyDescent="0.2">
      <c r="A3" s="268" t="s">
        <v>3</v>
      </c>
      <c r="B3" s="179"/>
      <c r="C3" s="178"/>
      <c r="D3" s="178"/>
      <c r="E3" s="178"/>
      <c r="F3" s="178"/>
      <c r="G3" s="259"/>
    </row>
    <row r="4" spans="1:17" x14ac:dyDescent="0.2">
      <c r="A4" s="59" t="s">
        <v>29</v>
      </c>
      <c r="B4" s="411"/>
      <c r="C4" s="177"/>
      <c r="D4" s="177"/>
      <c r="E4" s="177"/>
      <c r="F4" s="177"/>
      <c r="G4" s="246"/>
    </row>
    <row r="5" spans="1:17" x14ac:dyDescent="0.2">
      <c r="A5" s="59" t="s">
        <v>30</v>
      </c>
      <c r="B5" s="411">
        <f>'[3]Charter Misc'!$FK$22</f>
        <v>150</v>
      </c>
      <c r="C5" s="177">
        <f>[3]Ryan!$FK$22</f>
        <v>0</v>
      </c>
      <c r="D5" s="177">
        <f>'[3]Charter Misc'!$FK$32</f>
        <v>0</v>
      </c>
      <c r="E5" s="177">
        <f>[3]Omni!$FK$32</f>
        <v>0</v>
      </c>
      <c r="F5" s="177">
        <f>[3]Xtra!$FK$32+[3]Xtra!$FK$22</f>
        <v>0</v>
      </c>
      <c r="G5" s="331">
        <f>SUM(B5:F5)</f>
        <v>150</v>
      </c>
    </row>
    <row r="6" spans="1:17" x14ac:dyDescent="0.2">
      <c r="A6" s="59" t="s">
        <v>31</v>
      </c>
      <c r="B6" s="412">
        <f>'[3]Charter Misc'!$FK$23</f>
        <v>150</v>
      </c>
      <c r="C6" s="180">
        <f>[3]Ryan!$FK$23</f>
        <v>0</v>
      </c>
      <c r="D6" s="180">
        <f>'[3]Charter Misc'!$FK$33</f>
        <v>0</v>
      </c>
      <c r="E6" s="180">
        <f>[3]Omni!$FK$33</f>
        <v>0</v>
      </c>
      <c r="F6" s="180">
        <f>[3]Xtra!$FK$33+[3]Xtra!$FK$23</f>
        <v>0</v>
      </c>
      <c r="G6" s="330">
        <f>SUM(B6:F6)</f>
        <v>150</v>
      </c>
    </row>
    <row r="7" spans="1:17" ht="15.75" thickBot="1" x14ac:dyDescent="0.3">
      <c r="A7" s="176" t="s">
        <v>7</v>
      </c>
      <c r="B7" s="413">
        <f>SUM(B5:B6)</f>
        <v>300</v>
      </c>
      <c r="C7" s="287">
        <f>SUM(C5:C6)</f>
        <v>0</v>
      </c>
      <c r="D7" s="287">
        <f>SUM(D5:D6)</f>
        <v>0</v>
      </c>
      <c r="E7" s="287">
        <f>SUM(E5:E6)</f>
        <v>0</v>
      </c>
      <c r="F7" s="287">
        <f>SUM(F5:F6)</f>
        <v>0</v>
      </c>
      <c r="G7" s="288">
        <f>SUM(B7:F7)</f>
        <v>300</v>
      </c>
    </row>
    <row r="8" spans="1:17" ht="13.5" thickBot="1" x14ac:dyDescent="0.25"/>
    <row r="9" spans="1:17" x14ac:dyDescent="0.2">
      <c r="A9" s="174" t="s">
        <v>9</v>
      </c>
      <c r="B9" s="414"/>
      <c r="C9" s="44"/>
      <c r="D9" s="44"/>
      <c r="E9" s="44"/>
      <c r="F9" s="44"/>
      <c r="G9" s="55"/>
    </row>
    <row r="10" spans="1:17" x14ac:dyDescent="0.2">
      <c r="A10" s="175" t="s">
        <v>81</v>
      </c>
      <c r="B10" s="411">
        <f>'[3]Charter Misc'!$FK$4</f>
        <v>1</v>
      </c>
      <c r="C10" s="177">
        <f>[3]Ryan!$FK$4</f>
        <v>0</v>
      </c>
      <c r="D10" s="177">
        <f>'[3]Charter Misc'!$FK$15</f>
        <v>0</v>
      </c>
      <c r="E10" s="177">
        <f>[3]Omni!$FK$15</f>
        <v>0</v>
      </c>
      <c r="F10" s="177">
        <f>[3]Xtra!$FK$15+[3]Xtra!$FK$4</f>
        <v>0</v>
      </c>
      <c r="G10" s="330">
        <f>SUM(B10:F10)</f>
        <v>1</v>
      </c>
    </row>
    <row r="11" spans="1:17" x14ac:dyDescent="0.2">
      <c r="A11" s="175" t="s">
        <v>82</v>
      </c>
      <c r="B11" s="411">
        <f>'[3]Charter Misc'!$FK$5</f>
        <v>1</v>
      </c>
      <c r="C11" s="177">
        <f>[3]Ryan!$FK$5</f>
        <v>0</v>
      </c>
      <c r="D11" s="177">
        <f>'[3]Charter Misc'!$FK$16</f>
        <v>0</v>
      </c>
      <c r="E11" s="177">
        <f>[3]Omni!$FK$16</f>
        <v>0</v>
      </c>
      <c r="F11" s="177">
        <f>[3]Xtra!$FK$16+[3]Xtra!$FK$5</f>
        <v>0</v>
      </c>
      <c r="G11" s="330">
        <f>SUM(B11:F11)</f>
        <v>1</v>
      </c>
    </row>
    <row r="12" spans="1:17" ht="15.75" thickBot="1" x14ac:dyDescent="0.3">
      <c r="A12" s="267" t="s">
        <v>28</v>
      </c>
      <c r="B12" s="415">
        <f>SUM(B10:B11)</f>
        <v>2</v>
      </c>
      <c r="C12" s="289">
        <f>SUM(C10:C11)</f>
        <v>0</v>
      </c>
      <c r="D12" s="289">
        <f>SUM(D10:D11)</f>
        <v>0</v>
      </c>
      <c r="E12" s="289">
        <f>SUM(E10:E11)</f>
        <v>0</v>
      </c>
      <c r="F12" s="289">
        <f>SUM(F10:F11)</f>
        <v>0</v>
      </c>
      <c r="G12" s="290">
        <f>SUM(B12:F12)</f>
        <v>2</v>
      </c>
      <c r="Q12" s="123"/>
    </row>
    <row r="17" spans="1:16" x14ac:dyDescent="0.2">
      <c r="B17" s="538" t="s">
        <v>155</v>
      </c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40"/>
    </row>
    <row r="18" spans="1:16" ht="13.5" thickBot="1" x14ac:dyDescent="0.25">
      <c r="A18" s="306"/>
      <c r="E18" s="219"/>
      <c r="G18" s="219"/>
      <c r="H18" s="219"/>
      <c r="L18" s="226"/>
      <c r="N18" s="227"/>
    </row>
    <row r="19" spans="1:16" ht="13.5" customHeight="1" thickBot="1" x14ac:dyDescent="0.25">
      <c r="A19" s="397"/>
      <c r="B19" s="541" t="s">
        <v>122</v>
      </c>
      <c r="C19" s="542"/>
      <c r="D19" s="542"/>
      <c r="E19" s="543"/>
      <c r="G19" s="541" t="s">
        <v>123</v>
      </c>
      <c r="H19" s="544"/>
      <c r="I19" s="544"/>
      <c r="J19" s="545"/>
      <c r="L19" s="546" t="s">
        <v>124</v>
      </c>
      <c r="M19" s="547"/>
      <c r="N19" s="547"/>
      <c r="O19" s="548"/>
    </row>
    <row r="20" spans="1:16" ht="13.5" thickBot="1" x14ac:dyDescent="0.25">
      <c r="A20" s="230" t="s">
        <v>103</v>
      </c>
      <c r="B20" s="235" t="s">
        <v>104</v>
      </c>
      <c r="C20" s="8" t="s">
        <v>105</v>
      </c>
      <c r="D20" s="8" t="s">
        <v>200</v>
      </c>
      <c r="E20" s="8" t="s">
        <v>174</v>
      </c>
      <c r="F20" s="236" t="s">
        <v>100</v>
      </c>
      <c r="G20" s="8" t="s">
        <v>104</v>
      </c>
      <c r="H20" s="8" t="s">
        <v>105</v>
      </c>
      <c r="I20" s="447" t="s">
        <v>200</v>
      </c>
      <c r="J20" s="447" t="s">
        <v>174</v>
      </c>
      <c r="K20" s="236" t="s">
        <v>100</v>
      </c>
      <c r="L20" s="235" t="s">
        <v>104</v>
      </c>
      <c r="M20" s="229" t="s">
        <v>105</v>
      </c>
      <c r="N20" s="447" t="s">
        <v>200</v>
      </c>
      <c r="O20" s="447" t="s">
        <v>174</v>
      </c>
      <c r="P20" s="236" t="s">
        <v>100</v>
      </c>
    </row>
    <row r="21" spans="1:16" ht="14.1" customHeight="1" x14ac:dyDescent="0.2">
      <c r="A21" s="239" t="s">
        <v>106</v>
      </c>
      <c r="B21" s="497">
        <f>+[4]Charter!$B$21</f>
        <v>129673</v>
      </c>
      <c r="C21" s="498">
        <f>+[4]Charter!$C$21</f>
        <v>127074</v>
      </c>
      <c r="D21" s="326">
        <f t="shared" ref="D21" si="0">SUM(B21:C21)</f>
        <v>256747</v>
      </c>
      <c r="E21" s="327">
        <f>[5]Charter!$D$21</f>
        <v>268275</v>
      </c>
      <c r="F21" s="329">
        <f t="shared" ref="F21:F32" si="1">(D21-E21)/E21</f>
        <v>-4.2970832168483832E-2</v>
      </c>
      <c r="G21" s="325">
        <f t="shared" ref="G21:H23" si="2">L21-B21</f>
        <v>1206061</v>
      </c>
      <c r="H21" s="326">
        <f t="shared" si="2"/>
        <v>1229618</v>
      </c>
      <c r="I21" s="326">
        <f>SUM(G21:H21)</f>
        <v>2435679</v>
      </c>
      <c r="J21" s="327">
        <f>[5]Charter!$I$21</f>
        <v>2429109</v>
      </c>
      <c r="K21" s="240">
        <f t="shared" ref="K21:K32" si="3">(I21-J21)/J21</f>
        <v>2.7046954253596689E-3</v>
      </c>
      <c r="L21" s="325">
        <f>+[4]Charter!$L$21</f>
        <v>1335734</v>
      </c>
      <c r="M21" s="326">
        <f>+[4]Charter!$M$21</f>
        <v>1356692</v>
      </c>
      <c r="N21" s="326">
        <f t="shared" ref="N21:N22" si="4">SUM(L21:M21)</f>
        <v>2692426</v>
      </c>
      <c r="O21" s="327">
        <f>[5]Charter!$N$21</f>
        <v>2697384</v>
      </c>
      <c r="P21" s="240">
        <f>(N21-O21)/O21</f>
        <v>-1.8380771888615044E-3</v>
      </c>
    </row>
    <row r="22" spans="1:16" ht="14.1" customHeight="1" x14ac:dyDescent="0.2">
      <c r="A22" s="241" t="s">
        <v>107</v>
      </c>
      <c r="B22" s="321">
        <f>+[6]Charter!$B$22</f>
        <v>134960</v>
      </c>
      <c r="C22" s="323">
        <f>+[6]Charter!$C$22</f>
        <v>137503</v>
      </c>
      <c r="D22" s="322">
        <f>SUM(B22:C22)</f>
        <v>272463</v>
      </c>
      <c r="E22" s="328">
        <f>[7]Charter!$D$22</f>
        <v>281871</v>
      </c>
      <c r="F22" s="324">
        <f t="shared" si="1"/>
        <v>-3.3376970316208475E-2</v>
      </c>
      <c r="G22" s="321">
        <f t="shared" si="2"/>
        <v>1162157</v>
      </c>
      <c r="H22" s="323">
        <f t="shared" si="2"/>
        <v>1175802</v>
      </c>
      <c r="I22" s="322">
        <f>SUM(G22:H22)</f>
        <v>2337959</v>
      </c>
      <c r="J22" s="328">
        <f>[7]Charter!$I$22</f>
        <v>2359956</v>
      </c>
      <c r="K22" s="243">
        <f t="shared" si="3"/>
        <v>-9.3209364920362921E-3</v>
      </c>
      <c r="L22" s="321">
        <f>+[6]Charter!$L$22</f>
        <v>1297117</v>
      </c>
      <c r="M22" s="323">
        <f>+[6]Charter!$M$22</f>
        <v>1313305</v>
      </c>
      <c r="N22" s="322">
        <f t="shared" si="4"/>
        <v>2610422</v>
      </c>
      <c r="O22" s="328">
        <f>[7]Charter!$N$22</f>
        <v>2641827</v>
      </c>
      <c r="P22" s="242">
        <f t="shared" ref="P22:P32" si="5">(N22-O22)/O22</f>
        <v>-1.1887606569241664E-2</v>
      </c>
    </row>
    <row r="23" spans="1:16" ht="14.1" customHeight="1" x14ac:dyDescent="0.2">
      <c r="A23" s="241" t="s">
        <v>108</v>
      </c>
      <c r="B23" s="321">
        <f>+[8]Charter!$B$23</f>
        <v>173394</v>
      </c>
      <c r="C23" s="323">
        <f>+[8]Charter!$C$23</f>
        <v>175057</v>
      </c>
      <c r="D23" s="322">
        <f>SUM(B23:C23)</f>
        <v>348451</v>
      </c>
      <c r="E23" s="328">
        <f>[9]Charter!$D$23</f>
        <v>340464</v>
      </c>
      <c r="F23" s="242">
        <f t="shared" si="1"/>
        <v>2.3459161614737534E-2</v>
      </c>
      <c r="G23" s="321">
        <f t="shared" si="2"/>
        <v>1526700</v>
      </c>
      <c r="H23" s="323">
        <f t="shared" si="2"/>
        <v>1556530</v>
      </c>
      <c r="I23" s="322">
        <f>SUM(G23:H23)</f>
        <v>3083230</v>
      </c>
      <c r="J23" s="328">
        <f>[9]Charter!$I$23</f>
        <v>2975759</v>
      </c>
      <c r="K23" s="243">
        <f t="shared" si="3"/>
        <v>3.611549187955073E-2</v>
      </c>
      <c r="L23" s="321">
        <f>+[8]Charter!$L$23</f>
        <v>1700094</v>
      </c>
      <c r="M23" s="323">
        <f>+[8]Charter!$M$23</f>
        <v>1731587</v>
      </c>
      <c r="N23" s="322">
        <f t="shared" ref="N23" si="6">SUM(L23:M23)</f>
        <v>3431681</v>
      </c>
      <c r="O23" s="328">
        <f>[9]Charter!$N$23</f>
        <v>3316223</v>
      </c>
      <c r="P23" s="242">
        <f t="shared" si="5"/>
        <v>3.4816114597842181E-2</v>
      </c>
    </row>
    <row r="24" spans="1:16" ht="14.1" customHeight="1" x14ac:dyDescent="0.2">
      <c r="A24" s="241" t="s">
        <v>109</v>
      </c>
      <c r="B24" s="321">
        <f>+[10]Charter!$B$24</f>
        <v>133972</v>
      </c>
      <c r="C24" s="323">
        <f>+[10]Charter!$C$24</f>
        <v>117419</v>
      </c>
      <c r="D24" s="322">
        <f t="shared" ref="D24" si="7">SUM(B24:C24)</f>
        <v>251391</v>
      </c>
      <c r="E24" s="328">
        <f>[11]Charter!$D$24</f>
        <v>226655</v>
      </c>
      <c r="F24" s="242">
        <f t="shared" si="1"/>
        <v>0.10913502900884604</v>
      </c>
      <c r="G24" s="321">
        <f t="shared" ref="G24:G25" si="8">L24-B24</f>
        <v>1461023</v>
      </c>
      <c r="H24" s="323">
        <f t="shared" ref="H24:H25" si="9">M24-C24</f>
        <v>1382650</v>
      </c>
      <c r="I24" s="322">
        <f t="shared" ref="I24:I25" si="10">SUM(G24:H24)</f>
        <v>2843673</v>
      </c>
      <c r="J24" s="328">
        <f>[11]Charter!$I$24</f>
        <v>2776287</v>
      </c>
      <c r="K24" s="243">
        <f t="shared" si="3"/>
        <v>2.4271986289601904E-2</v>
      </c>
      <c r="L24" s="321">
        <f>+[10]Charter!$L$24</f>
        <v>1594995</v>
      </c>
      <c r="M24" s="323">
        <f>+[10]Charter!$M$24</f>
        <v>1500069</v>
      </c>
      <c r="N24" s="322">
        <f t="shared" ref="N24" si="11">SUM(L24:M24)</f>
        <v>3095064</v>
      </c>
      <c r="O24" s="328">
        <f>[11]Charter!$N$24</f>
        <v>3002942</v>
      </c>
      <c r="P24" s="242">
        <f t="shared" si="5"/>
        <v>3.0677249177639795E-2</v>
      </c>
    </row>
    <row r="25" spans="1:16" ht="14.1" customHeight="1" x14ac:dyDescent="0.2">
      <c r="A25" s="228" t="s">
        <v>77</v>
      </c>
      <c r="B25" s="321">
        <f>+[12]Charter!$B$25</f>
        <v>109004</v>
      </c>
      <c r="C25" s="323">
        <f>+[12]Charter!$C$25</f>
        <v>116438</v>
      </c>
      <c r="D25" s="322">
        <f t="shared" ref="D25" si="12">SUM(B25:C25)</f>
        <v>225442</v>
      </c>
      <c r="E25" s="328">
        <f>[13]Charter!$D$25</f>
        <v>198145</v>
      </c>
      <c r="F25" s="231">
        <f t="shared" si="1"/>
        <v>0.13776274950162759</v>
      </c>
      <c r="G25" s="321">
        <f t="shared" si="8"/>
        <v>1503452</v>
      </c>
      <c r="H25" s="323">
        <f t="shared" si="9"/>
        <v>1476784</v>
      </c>
      <c r="I25" s="322">
        <f t="shared" si="10"/>
        <v>2980236</v>
      </c>
      <c r="J25" s="328">
        <f>[13]Charter!$I$25</f>
        <v>2966121</v>
      </c>
      <c r="K25" s="237">
        <f t="shared" si="3"/>
        <v>4.7587404559692606E-3</v>
      </c>
      <c r="L25" s="321">
        <f>+[12]Charter!$L$25</f>
        <v>1612456</v>
      </c>
      <c r="M25" s="323">
        <f>+[12]Charter!$M$25</f>
        <v>1593222</v>
      </c>
      <c r="N25" s="322">
        <f t="shared" ref="N25" si="13">SUM(L25:M25)</f>
        <v>3205678</v>
      </c>
      <c r="O25" s="328">
        <f>[13]Charter!$N$25</f>
        <v>3164266</v>
      </c>
      <c r="P25" s="231">
        <f t="shared" si="5"/>
        <v>1.308739530747415E-2</v>
      </c>
    </row>
    <row r="26" spans="1:16" ht="14.1" customHeight="1" x14ac:dyDescent="0.2">
      <c r="A26" s="241" t="s">
        <v>110</v>
      </c>
      <c r="B26" s="321">
        <f>+[14]Charter!$B$26</f>
        <v>122393</v>
      </c>
      <c r="C26" s="323">
        <f>+[14]Charter!$C$26</f>
        <v>126058</v>
      </c>
      <c r="D26" s="322">
        <f t="shared" ref="D26" si="14">SUM(B26:C26)</f>
        <v>248451</v>
      </c>
      <c r="E26" s="328">
        <f>[15]Charter!$D$26</f>
        <v>244833</v>
      </c>
      <c r="F26" s="242">
        <f t="shared" si="1"/>
        <v>1.4777419710578232E-2</v>
      </c>
      <c r="G26" s="321">
        <f t="shared" ref="G26" si="15">L26-B26</f>
        <v>1634451</v>
      </c>
      <c r="H26" s="323">
        <f t="shared" ref="H26" si="16">M26-C26</f>
        <v>1612700</v>
      </c>
      <c r="I26" s="322">
        <f t="shared" ref="I26" si="17">SUM(G26:H26)</f>
        <v>3247151</v>
      </c>
      <c r="J26" s="328">
        <f>[15]Charter!$I$26</f>
        <v>3212037</v>
      </c>
      <c r="K26" s="243">
        <f t="shared" si="3"/>
        <v>1.0932003585263805E-2</v>
      </c>
      <c r="L26" s="321">
        <f>+[14]Charter!$L$26</f>
        <v>1756844</v>
      </c>
      <c r="M26" s="323">
        <f>+[14]Charter!$M$26</f>
        <v>1738758</v>
      </c>
      <c r="N26" s="322">
        <f t="shared" ref="N26" si="18">SUM(L26:M26)</f>
        <v>3495602</v>
      </c>
      <c r="O26" s="328">
        <f>[15]Charter!$N$26</f>
        <v>3456870</v>
      </c>
      <c r="P26" s="242">
        <f t="shared" si="5"/>
        <v>1.1204355385073781E-2</v>
      </c>
    </row>
    <row r="27" spans="1:16" ht="14.1" customHeight="1" x14ac:dyDescent="0.2">
      <c r="A27" s="228" t="s">
        <v>111</v>
      </c>
      <c r="B27" s="321">
        <f>+[16]Charter!$B$27</f>
        <v>138487</v>
      </c>
      <c r="C27" s="323">
        <f>+[16]Charter!$C$27</f>
        <v>125223</v>
      </c>
      <c r="D27" s="322">
        <f t="shared" ref="D27" si="19">SUM(B27:C27)</f>
        <v>263710</v>
      </c>
      <c r="E27" s="328">
        <f>[17]Charter!$D$27</f>
        <v>275365</v>
      </c>
      <c r="F27" s="231">
        <f t="shared" si="1"/>
        <v>-4.2325640513500261E-2</v>
      </c>
      <c r="G27" s="321">
        <f t="shared" ref="G27" si="20">L27-B27</f>
        <v>1691560</v>
      </c>
      <c r="H27" s="323">
        <f t="shared" ref="H27" si="21">M27-C27</f>
        <v>1706300</v>
      </c>
      <c r="I27" s="322">
        <f t="shared" ref="I27" si="22">SUM(G27:H27)</f>
        <v>3397860</v>
      </c>
      <c r="J27" s="328">
        <f>[17]Charter!$I$27</f>
        <v>3371549</v>
      </c>
      <c r="K27" s="237">
        <f t="shared" si="3"/>
        <v>7.8038314139880511E-3</v>
      </c>
      <c r="L27" s="321">
        <f>+[16]Charter!$L$27</f>
        <v>1830047</v>
      </c>
      <c r="M27" s="323">
        <f>+[16]Charter!$M$27</f>
        <v>1831523</v>
      </c>
      <c r="N27" s="322">
        <f t="shared" ref="N27" si="23">SUM(L27:M27)</f>
        <v>3661570</v>
      </c>
      <c r="O27" s="328">
        <f>[17]Charter!$N$27</f>
        <v>3646914</v>
      </c>
      <c r="P27" s="231">
        <f t="shared" si="5"/>
        <v>4.018740228039378E-3</v>
      </c>
    </row>
    <row r="28" spans="1:16" ht="14.1" customHeight="1" x14ac:dyDescent="0.2">
      <c r="A28" s="241" t="s">
        <v>112</v>
      </c>
      <c r="B28" s="321">
        <f>+[18]Charter!$B$28</f>
        <v>137397</v>
      </c>
      <c r="C28" s="323">
        <f>+[18]Charter!$C$28</f>
        <v>129761</v>
      </c>
      <c r="D28" s="322">
        <f t="shared" ref="D28" si="24">SUM(B28:C28)</f>
        <v>267158</v>
      </c>
      <c r="E28" s="328">
        <f>[19]Charter!$D$28</f>
        <v>254609</v>
      </c>
      <c r="F28" s="242">
        <f t="shared" si="1"/>
        <v>4.9287338625107514E-2</v>
      </c>
      <c r="G28" s="321">
        <f t="shared" ref="G28" si="25">L28-B28</f>
        <v>1701660</v>
      </c>
      <c r="H28" s="323">
        <f t="shared" ref="H28" si="26">M28-C28</f>
        <v>1699381</v>
      </c>
      <c r="I28" s="322">
        <f t="shared" ref="I28" si="27">SUM(G28:H28)</f>
        <v>3401041</v>
      </c>
      <c r="J28" s="328">
        <f>[19]Charter!$I$28</f>
        <v>3290947</v>
      </c>
      <c r="K28" s="243">
        <f t="shared" si="3"/>
        <v>3.3453592537345631E-2</v>
      </c>
      <c r="L28" s="321">
        <f>+[18]Charter!$L$28</f>
        <v>1839057</v>
      </c>
      <c r="M28" s="323">
        <f>+[18]Charter!$M$28</f>
        <v>1829142</v>
      </c>
      <c r="N28" s="322">
        <f t="shared" ref="N28" si="28">SUM(L28:M28)</f>
        <v>3668199</v>
      </c>
      <c r="O28" s="328">
        <f>[19]Charter!$N$28</f>
        <v>3545556</v>
      </c>
      <c r="P28" s="242">
        <f t="shared" si="5"/>
        <v>3.4590625560560882E-2</v>
      </c>
    </row>
    <row r="29" spans="1:16" ht="14.1" customHeight="1" x14ac:dyDescent="0.2">
      <c r="A29" s="228" t="s">
        <v>113</v>
      </c>
      <c r="B29" s="321">
        <f>+[20]Charter!$B$29</f>
        <v>110231</v>
      </c>
      <c r="C29" s="323">
        <f>+[20]Charter!$C$29</f>
        <v>109563</v>
      </c>
      <c r="D29" s="322">
        <f t="shared" ref="D29" si="29">SUM(B29:C29)</f>
        <v>219794</v>
      </c>
      <c r="E29" s="328">
        <f>[21]Charter!$D$29</f>
        <v>207189</v>
      </c>
      <c r="F29" s="231">
        <f t="shared" si="1"/>
        <v>6.0838171910670931E-2</v>
      </c>
      <c r="G29" s="321">
        <f t="shared" ref="G29" si="30">L29-B29</f>
        <v>1408445</v>
      </c>
      <c r="H29" s="323">
        <f t="shared" ref="H29" si="31">M29-C29</f>
        <v>1413171</v>
      </c>
      <c r="I29" s="322">
        <f t="shared" ref="I29" si="32">SUM(G29:H29)</f>
        <v>2821616</v>
      </c>
      <c r="J29" s="328">
        <f>[21]Charter!$I$29</f>
        <v>2871761</v>
      </c>
      <c r="K29" s="237">
        <f t="shared" si="3"/>
        <v>-1.746141130825302E-2</v>
      </c>
      <c r="L29" s="321">
        <f>+[20]Charter!$L$29</f>
        <v>1518676</v>
      </c>
      <c r="M29" s="323">
        <f>+[20]Charter!$M$29</f>
        <v>1522734</v>
      </c>
      <c r="N29" s="322">
        <f t="shared" ref="N29" si="33">SUM(L29:M29)</f>
        <v>3041410</v>
      </c>
      <c r="O29" s="328">
        <f>[21]Charter!$N$29</f>
        <v>3078950</v>
      </c>
      <c r="P29" s="231">
        <f t="shared" si="5"/>
        <v>-1.2192468211565631E-2</v>
      </c>
    </row>
    <row r="30" spans="1:16" ht="14.1" customHeight="1" x14ac:dyDescent="0.2">
      <c r="A30" s="241" t="s">
        <v>114</v>
      </c>
      <c r="B30" s="321">
        <f>+[22]Charter!$B$30</f>
        <v>106220</v>
      </c>
      <c r="C30" s="323">
        <f>+[22]Charter!$C$30</f>
        <v>97404</v>
      </c>
      <c r="D30" s="322">
        <f t="shared" ref="D30" si="34">SUM(B30:C30)</f>
        <v>203624</v>
      </c>
      <c r="E30" s="328">
        <f>[23]Charter!$D$30</f>
        <v>186370</v>
      </c>
      <c r="F30" s="242">
        <f t="shared" si="1"/>
        <v>9.2579277780758709E-2</v>
      </c>
      <c r="G30" s="321">
        <f t="shared" ref="G30" si="35">L30-B30</f>
        <v>1516976</v>
      </c>
      <c r="H30" s="323">
        <f t="shared" ref="H30" si="36">M30-C30</f>
        <v>1530390</v>
      </c>
      <c r="I30" s="322">
        <f t="shared" ref="I30" si="37">SUM(G30:H30)</f>
        <v>3047366</v>
      </c>
      <c r="J30" s="328">
        <f>[23]Charter!$I$30</f>
        <v>3011451</v>
      </c>
      <c r="K30" s="243">
        <f t="shared" si="3"/>
        <v>1.1926144572832167E-2</v>
      </c>
      <c r="L30" s="321">
        <f>+[22]Charter!$L$30</f>
        <v>1623196</v>
      </c>
      <c r="M30" s="323">
        <f>+[22]Charter!$M$30</f>
        <v>1627794</v>
      </c>
      <c r="N30" s="322">
        <f t="shared" ref="N30" si="38">SUM(L30:M30)</f>
        <v>3250990</v>
      </c>
      <c r="O30" s="328">
        <f>[23]Charter!$N$30</f>
        <v>3197821</v>
      </c>
      <c r="P30" s="242">
        <f t="shared" si="5"/>
        <v>1.6626634198724694E-2</v>
      </c>
    </row>
    <row r="31" spans="1:16" ht="14.1" customHeight="1" x14ac:dyDescent="0.2">
      <c r="A31" s="228" t="s">
        <v>115</v>
      </c>
      <c r="B31" s="321">
        <f>+[2]Charter!$B$31</f>
        <v>90657</v>
      </c>
      <c r="C31" s="323">
        <f>+[2]Charter!$C$31</f>
        <v>88951</v>
      </c>
      <c r="D31" s="322">
        <f t="shared" ref="D31" si="39">SUM(B31:C31)</f>
        <v>179608</v>
      </c>
      <c r="E31" s="328">
        <f>[24]Charter!$D$31</f>
        <v>145955</v>
      </c>
      <c r="F31" s="231">
        <f t="shared" si="1"/>
        <v>0.23057106642458292</v>
      </c>
      <c r="G31" s="321">
        <f t="shared" ref="G31" si="40">L31-B31</f>
        <v>1376705</v>
      </c>
      <c r="H31" s="323">
        <f t="shared" ref="H31" si="41">M31-C31</f>
        <v>1397196</v>
      </c>
      <c r="I31" s="322">
        <f t="shared" ref="I31" si="42">SUM(G31:H31)</f>
        <v>2773901</v>
      </c>
      <c r="J31" s="328">
        <f>[24]Charter!$I$31</f>
        <v>2724393</v>
      </c>
      <c r="K31" s="237">
        <f t="shared" si="3"/>
        <v>1.8172121276188863E-2</v>
      </c>
      <c r="L31" s="321">
        <f>+[2]Charter!$L$31</f>
        <v>1467362</v>
      </c>
      <c r="M31" s="323">
        <f>+[2]Charter!$M$31</f>
        <v>1486147</v>
      </c>
      <c r="N31" s="322">
        <f t="shared" ref="N31" si="43">SUM(L31:M31)</f>
        <v>2953509</v>
      </c>
      <c r="O31" s="328">
        <f>[24]Charter!$N$31</f>
        <v>2870348</v>
      </c>
      <c r="P31" s="231">
        <f t="shared" si="5"/>
        <v>2.8972445152991903E-2</v>
      </c>
    </row>
    <row r="32" spans="1:16" ht="14.1" customHeight="1" x14ac:dyDescent="0.2">
      <c r="A32" s="244" t="s">
        <v>116</v>
      </c>
      <c r="B32" s="321">
        <f>'Intl Detail'!$P$4+'Intl Detail'!$P$9</f>
        <v>100785</v>
      </c>
      <c r="C32" s="323">
        <f>'Intl Detail'!$P$5+'Intl Detail'!$P$10</f>
        <v>113542</v>
      </c>
      <c r="D32" s="322">
        <f>SUM(B32:C32)</f>
        <v>214327</v>
      </c>
      <c r="E32" s="328">
        <f>[1]Charter!$D$32</f>
        <v>189086</v>
      </c>
      <c r="F32" s="245">
        <f t="shared" si="1"/>
        <v>0.13348952328570068</v>
      </c>
      <c r="G32" s="321">
        <f t="shared" ref="G32" si="44">L32-B32</f>
        <v>1355434</v>
      </c>
      <c r="H32" s="323">
        <f t="shared" ref="H32" si="45">M32-C32</f>
        <v>1358029</v>
      </c>
      <c r="I32" s="322">
        <f t="shared" ref="I32" si="46">SUM(G32:H32)</f>
        <v>2713463</v>
      </c>
      <c r="J32" s="328">
        <f>[1]Charter!$I$32</f>
        <v>2697334</v>
      </c>
      <c r="K32" s="245">
        <f t="shared" si="3"/>
        <v>5.9796080129490819E-3</v>
      </c>
      <c r="L32" s="321">
        <f>'Monthly Summary'!$B$11</f>
        <v>1456219</v>
      </c>
      <c r="M32" s="323">
        <f>'Monthly Summary'!$C$11</f>
        <v>1471571</v>
      </c>
      <c r="N32" s="322">
        <f t="shared" ref="N32" si="47">SUM(L32:M32)</f>
        <v>2927790</v>
      </c>
      <c r="O32" s="328">
        <f>[1]Charter!$N$32</f>
        <v>2886420</v>
      </c>
      <c r="P32" s="245">
        <f t="shared" si="5"/>
        <v>1.4332633504479598E-2</v>
      </c>
    </row>
    <row r="33" spans="1:16" ht="13.5" thickBot="1" x14ac:dyDescent="0.25">
      <c r="A33" s="238" t="s">
        <v>78</v>
      </c>
      <c r="B33" s="247">
        <f>SUM(B21:B32)</f>
        <v>1487173</v>
      </c>
      <c r="C33" s="248">
        <f>SUM(C21:C32)</f>
        <v>1463993</v>
      </c>
      <c r="D33" s="248">
        <f>SUM(D21:D32)</f>
        <v>2951166</v>
      </c>
      <c r="E33" s="249">
        <f>SUM(E21:E32)</f>
        <v>2818817</v>
      </c>
      <c r="F33" s="233">
        <f>(D33-E33)/E33</f>
        <v>4.6951966019787732E-2</v>
      </c>
      <c r="G33" s="250">
        <f>SUM(G21:G32)</f>
        <v>17544624</v>
      </c>
      <c r="H33" s="248">
        <f>SUM(H21:H32)</f>
        <v>17538551</v>
      </c>
      <c r="I33" s="248">
        <f>SUM(I21:I32)</f>
        <v>35083175</v>
      </c>
      <c r="J33" s="251">
        <f>SUM(J21:J32)</f>
        <v>34686704</v>
      </c>
      <c r="K33" s="234">
        <f>(I33-J33)/J33</f>
        <v>1.1430056888656817E-2</v>
      </c>
      <c r="L33" s="250">
        <f>SUM(L21:L32)</f>
        <v>19031797</v>
      </c>
      <c r="M33" s="248">
        <f>SUM(M21:M32)</f>
        <v>19002544</v>
      </c>
      <c r="N33" s="248">
        <f>SUM(N21:N32)</f>
        <v>38034341</v>
      </c>
      <c r="O33" s="249">
        <f>SUM(O21:O32)</f>
        <v>37505521</v>
      </c>
      <c r="P33" s="232">
        <f>(N33-O33)/O33</f>
        <v>1.4099790801466269E-2</v>
      </c>
    </row>
    <row r="35" spans="1:16" x14ac:dyDescent="0.2">
      <c r="N35" s="123"/>
      <c r="O35" s="123"/>
    </row>
    <row r="36" spans="1:16" x14ac:dyDescent="0.2">
      <c r="O36" s="123"/>
    </row>
    <row r="37" spans="1:16" x14ac:dyDescent="0.2">
      <c r="N37" s="123"/>
      <c r="O37" s="12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December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N25" sqref="N25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83" customFormat="1" ht="15.75" thickBot="1" x14ac:dyDescent="0.3">
      <c r="B1" s="552"/>
      <c r="C1" s="552"/>
      <c r="D1" s="552"/>
      <c r="E1" s="445"/>
      <c r="F1" s="553" t="s">
        <v>95</v>
      </c>
      <c r="G1" s="554"/>
      <c r="H1" s="554"/>
      <c r="I1" s="554"/>
      <c r="J1" s="554"/>
      <c r="K1" s="554"/>
      <c r="L1" s="555"/>
    </row>
    <row r="2" spans="1:20" s="184" customFormat="1" ht="30.75" customHeight="1" thickBot="1" x14ac:dyDescent="0.25">
      <c r="A2" s="372">
        <v>43070</v>
      </c>
      <c r="B2" s="434" t="s">
        <v>195</v>
      </c>
      <c r="C2" s="8" t="s">
        <v>83</v>
      </c>
      <c r="D2" s="8" t="s">
        <v>84</v>
      </c>
      <c r="E2" s="192"/>
      <c r="F2" s="173" t="s">
        <v>85</v>
      </c>
      <c r="G2" s="173" t="s">
        <v>196</v>
      </c>
      <c r="H2" s="173" t="s">
        <v>167</v>
      </c>
      <c r="I2" s="95" t="s">
        <v>86</v>
      </c>
      <c r="J2" s="8" t="s">
        <v>87</v>
      </c>
      <c r="K2" s="173" t="s">
        <v>88</v>
      </c>
      <c r="L2" s="173" t="s">
        <v>131</v>
      </c>
      <c r="M2" s="173" t="s">
        <v>21</v>
      </c>
    </row>
    <row r="3" spans="1:20" ht="15" x14ac:dyDescent="0.25">
      <c r="A3" s="193" t="s">
        <v>220</v>
      </c>
      <c r="B3" s="194"/>
      <c r="C3" s="194"/>
      <c r="D3" s="194"/>
      <c r="E3" s="195"/>
      <c r="F3" s="44"/>
      <c r="G3" s="44"/>
      <c r="H3" s="44"/>
      <c r="I3" s="44"/>
      <c r="J3" s="54"/>
      <c r="K3" s="44"/>
      <c r="L3" s="44"/>
      <c r="M3" s="196"/>
    </row>
    <row r="4" spans="1:20" x14ac:dyDescent="0.2">
      <c r="A4" s="52" t="s">
        <v>54</v>
      </c>
      <c r="B4" s="154">
        <f>[3]DHL!$FK$4</f>
        <v>24</v>
      </c>
      <c r="C4" s="154">
        <f>[3]FedEx!$FK$4+[3]FedEx!$FK$15</f>
        <v>151</v>
      </c>
      <c r="D4" s="154">
        <f>[3]UPS!$FK$4+[3]UPS!$FK$15</f>
        <v>178</v>
      </c>
      <c r="E4" s="185"/>
      <c r="F4" s="111">
        <f>[3]ATI_BAX!$FK$4</f>
        <v>0</v>
      </c>
      <c r="G4" s="154">
        <f>[3]IFL!$FK$4+[3]IFL!$FK$15</f>
        <v>17</v>
      </c>
      <c r="H4" s="111">
        <f>'[3]Suburban Air Freight'!$FK$15</f>
        <v>0</v>
      </c>
      <c r="I4" s="111">
        <f>[3]Bemidji!$FK$4</f>
        <v>320</v>
      </c>
      <c r="J4" s="111">
        <f>'[3]CSA Air'!$FK$4</f>
        <v>0</v>
      </c>
      <c r="K4" s="111">
        <f>'[3]Mountain Cargo'!$FK$4</f>
        <v>20</v>
      </c>
      <c r="L4" s="111">
        <f>'[3]Misc Cargo'!$FK$4</f>
        <v>41</v>
      </c>
      <c r="M4" s="197">
        <f>SUM(B4:L4)</f>
        <v>751</v>
      </c>
    </row>
    <row r="5" spans="1:20" x14ac:dyDescent="0.2">
      <c r="A5" s="52" t="s">
        <v>55</v>
      </c>
      <c r="B5" s="191">
        <f>[3]DHL!$FK$5</f>
        <v>24</v>
      </c>
      <c r="C5" s="191">
        <f>[3]FedEx!$FK$5</f>
        <v>151</v>
      </c>
      <c r="D5" s="191">
        <f>[3]UPS!$FK$5+[3]UPS!$FK$16</f>
        <v>178</v>
      </c>
      <c r="E5" s="185"/>
      <c r="F5" s="113">
        <f>[3]ATI_BAX!$FK$5</f>
        <v>0</v>
      </c>
      <c r="G5" s="191">
        <f>[3]IFL!$FK$5</f>
        <v>19</v>
      </c>
      <c r="H5" s="113">
        <f>'[3]Suburban Air Freight'!$FK$16</f>
        <v>0</v>
      </c>
      <c r="I5" s="113">
        <f>[3]Bemidji!$FK$5</f>
        <v>320</v>
      </c>
      <c r="J5" s="113">
        <f>'[3]CSA Air'!$FK$5</f>
        <v>5</v>
      </c>
      <c r="K5" s="113">
        <f>'[3]Mountain Cargo'!$FK$5</f>
        <v>20</v>
      </c>
      <c r="L5" s="113">
        <f>'[3]Misc Cargo'!$FK$5</f>
        <v>41</v>
      </c>
      <c r="M5" s="201">
        <f>SUM(B5:L5)</f>
        <v>758</v>
      </c>
    </row>
    <row r="6" spans="1:20" s="182" customFormat="1" x14ac:dyDescent="0.2">
      <c r="A6" s="198" t="s">
        <v>56</v>
      </c>
      <c r="B6" s="199">
        <f>SUM(B4:B5)</f>
        <v>48</v>
      </c>
      <c r="C6" s="199">
        <f>SUM(C4:C5)</f>
        <v>302</v>
      </c>
      <c r="D6" s="199">
        <f>SUM(D4:D5)</f>
        <v>356</v>
      </c>
      <c r="E6" s="186"/>
      <c r="F6" s="181">
        <f t="shared" ref="F6:L6" si="0">SUM(F4:F5)</f>
        <v>0</v>
      </c>
      <c r="G6" s="199">
        <f>SUM(G4:G5)</f>
        <v>36</v>
      </c>
      <c r="H6" s="181">
        <f t="shared" si="0"/>
        <v>0</v>
      </c>
      <c r="I6" s="181">
        <f t="shared" si="0"/>
        <v>640</v>
      </c>
      <c r="J6" s="181">
        <f t="shared" si="0"/>
        <v>5</v>
      </c>
      <c r="K6" s="181">
        <f t="shared" si="0"/>
        <v>40</v>
      </c>
      <c r="L6" s="181">
        <f t="shared" si="0"/>
        <v>82</v>
      </c>
      <c r="M6" s="200">
        <f>SUM(B6:L6)</f>
        <v>1509</v>
      </c>
    </row>
    <row r="7" spans="1:20" x14ac:dyDescent="0.2">
      <c r="A7" s="52"/>
      <c r="B7" s="154"/>
      <c r="C7" s="154"/>
      <c r="D7" s="154"/>
      <c r="E7" s="185"/>
      <c r="F7" s="111"/>
      <c r="G7" s="154"/>
      <c r="H7" s="111"/>
      <c r="I7" s="111"/>
      <c r="J7" s="111"/>
      <c r="K7" s="111"/>
      <c r="L7" s="111"/>
      <c r="M7" s="197"/>
    </row>
    <row r="8" spans="1:20" x14ac:dyDescent="0.2">
      <c r="A8" s="52" t="s">
        <v>57</v>
      </c>
      <c r="B8" s="154"/>
      <c r="C8" s="154"/>
      <c r="D8" s="154"/>
      <c r="E8" s="185"/>
      <c r="F8" s="111"/>
      <c r="G8" s="154"/>
      <c r="H8" s="111"/>
      <c r="I8" s="111"/>
      <c r="J8" s="111"/>
      <c r="K8" s="111"/>
      <c r="L8" s="111">
        <f>'[3]Misc Cargo'!$FK$8</f>
        <v>0</v>
      </c>
      <c r="M8" s="197">
        <f>SUM(B8:L8)</f>
        <v>0</v>
      </c>
    </row>
    <row r="9" spans="1:20" ht="15" x14ac:dyDescent="0.25">
      <c r="A9" s="52" t="s">
        <v>58</v>
      </c>
      <c r="B9" s="191"/>
      <c r="C9" s="191"/>
      <c r="D9" s="191"/>
      <c r="E9" s="185"/>
      <c r="F9" s="113"/>
      <c r="G9" s="191"/>
      <c r="H9" s="113"/>
      <c r="I9" s="113"/>
      <c r="J9" s="113"/>
      <c r="K9" s="113"/>
      <c r="L9" s="113">
        <f>'[3]Misc Cargo'!$FK$9</f>
        <v>0</v>
      </c>
      <c r="M9" s="201">
        <f>SUM(B9:L9)</f>
        <v>0</v>
      </c>
      <c r="P9" s="15"/>
      <c r="Q9" s="316"/>
      <c r="R9" s="316"/>
      <c r="S9" s="316"/>
      <c r="T9" s="316"/>
    </row>
    <row r="10" spans="1:20" s="182" customFormat="1" x14ac:dyDescent="0.2">
      <c r="A10" s="198" t="s">
        <v>59</v>
      </c>
      <c r="B10" s="199">
        <f>SUM(B8:B9)</f>
        <v>0</v>
      </c>
      <c r="C10" s="199">
        <f>SUM(C8:C9)</f>
        <v>0</v>
      </c>
      <c r="D10" s="199">
        <f>SUM(D8:D9)</f>
        <v>0</v>
      </c>
      <c r="E10" s="186"/>
      <c r="F10" s="181">
        <f t="shared" ref="F10:L10" si="1">SUM(F8:F9)</f>
        <v>0</v>
      </c>
      <c r="G10" s="199">
        <f>SUM(G8:G9)</f>
        <v>0</v>
      </c>
      <c r="H10" s="181">
        <f t="shared" si="1"/>
        <v>0</v>
      </c>
      <c r="I10" s="181">
        <f t="shared" si="1"/>
        <v>0</v>
      </c>
      <c r="J10" s="181">
        <f t="shared" si="1"/>
        <v>0</v>
      </c>
      <c r="K10" s="181">
        <f t="shared" si="1"/>
        <v>0</v>
      </c>
      <c r="L10" s="181">
        <f t="shared" si="1"/>
        <v>0</v>
      </c>
      <c r="M10" s="200">
        <f>SUM(B10:L10)</f>
        <v>0</v>
      </c>
    </row>
    <row r="11" spans="1:20" x14ac:dyDescent="0.2">
      <c r="A11" s="52"/>
      <c r="B11" s="154"/>
      <c r="C11" s="154"/>
      <c r="D11" s="154"/>
      <c r="E11" s="185"/>
      <c r="F11" s="111"/>
      <c r="G11" s="154"/>
      <c r="H11" s="111"/>
      <c r="I11" s="111"/>
      <c r="J11" s="111"/>
      <c r="K11" s="111"/>
      <c r="L11" s="111"/>
      <c r="M11" s="163"/>
    </row>
    <row r="12" spans="1:20" ht="18" customHeight="1" thickBot="1" x14ac:dyDescent="0.25">
      <c r="A12" s="202" t="s">
        <v>28</v>
      </c>
      <c r="B12" s="203">
        <f>B6+B10</f>
        <v>48</v>
      </c>
      <c r="C12" s="203">
        <f>C6+C10</f>
        <v>302</v>
      </c>
      <c r="D12" s="203">
        <f>D6+D10</f>
        <v>356</v>
      </c>
      <c r="E12" s="204"/>
      <c r="F12" s="205">
        <f t="shared" ref="F12:L12" si="2">F6+F10</f>
        <v>0</v>
      </c>
      <c r="G12" s="203">
        <f>G6+G10</f>
        <v>36</v>
      </c>
      <c r="H12" s="205">
        <f t="shared" si="2"/>
        <v>0</v>
      </c>
      <c r="I12" s="205">
        <f t="shared" si="2"/>
        <v>640</v>
      </c>
      <c r="J12" s="205">
        <f t="shared" si="2"/>
        <v>5</v>
      </c>
      <c r="K12" s="205">
        <f t="shared" si="2"/>
        <v>40</v>
      </c>
      <c r="L12" s="205">
        <f t="shared" si="2"/>
        <v>82</v>
      </c>
      <c r="M12" s="206">
        <f>SUM(B12:L12)</f>
        <v>1509</v>
      </c>
    </row>
    <row r="13" spans="1:20" ht="18" customHeight="1" thickBot="1" x14ac:dyDescent="0.25">
      <c r="A13" s="170"/>
      <c r="B13" s="187"/>
      <c r="C13" s="187"/>
      <c r="D13" s="187"/>
      <c r="E13" s="188"/>
      <c r="F13" s="189"/>
      <c r="G13" s="187"/>
      <c r="H13" s="189"/>
      <c r="I13" s="171"/>
      <c r="J13" s="171"/>
      <c r="K13" s="171"/>
      <c r="L13" s="171"/>
      <c r="M13" s="5"/>
    </row>
    <row r="14" spans="1:20" ht="15" x14ac:dyDescent="0.25">
      <c r="A14" s="207" t="s">
        <v>96</v>
      </c>
      <c r="B14" s="208"/>
      <c r="C14" s="208"/>
      <c r="D14" s="208"/>
      <c r="E14" s="209"/>
      <c r="F14" s="168"/>
      <c r="G14" s="208"/>
      <c r="H14" s="168"/>
      <c r="I14" s="78"/>
      <c r="J14" s="78"/>
      <c r="K14" s="78"/>
      <c r="L14" s="78"/>
      <c r="M14" s="210"/>
    </row>
    <row r="15" spans="1:20" x14ac:dyDescent="0.2">
      <c r="A15" s="211" t="s">
        <v>97</v>
      </c>
      <c r="B15" s="154"/>
      <c r="C15" s="154"/>
      <c r="D15" s="154"/>
      <c r="E15" s="185"/>
      <c r="F15" s="111"/>
      <c r="G15" s="154"/>
      <c r="H15" s="111"/>
      <c r="I15" s="5"/>
      <c r="J15" s="5"/>
      <c r="K15" s="5"/>
      <c r="L15" s="5"/>
      <c r="M15" s="172"/>
    </row>
    <row r="16" spans="1:20" x14ac:dyDescent="0.2">
      <c r="A16" s="52" t="s">
        <v>37</v>
      </c>
      <c r="B16" s="154">
        <f>[3]DHL!$FK$47</f>
        <v>761777</v>
      </c>
      <c r="C16" s="154">
        <f>[3]FedEx!$FK$47</f>
        <v>8824752</v>
      </c>
      <c r="D16" s="154">
        <f>[3]UPS!$FK$47</f>
        <v>7400412</v>
      </c>
      <c r="E16" s="185"/>
      <c r="F16" s="111">
        <f>[3]ATI_BAX!$FK$47</f>
        <v>0</v>
      </c>
      <c r="G16" s="154">
        <f>[3]IFL!$FK$47</f>
        <v>11431</v>
      </c>
      <c r="H16" s="111">
        <f>'[3]Suburban Air Freight'!$FK$47</f>
        <v>0</v>
      </c>
      <c r="I16" s="549" t="s">
        <v>89</v>
      </c>
      <c r="J16" s="111">
        <f>'[3]CSA Air'!$FK$47</f>
        <v>0</v>
      </c>
      <c r="K16" s="111">
        <f>'[3]Mountain Cargo'!$FK$47</f>
        <v>56563</v>
      </c>
      <c r="L16" s="111">
        <f>'[3]Misc Cargo'!$FK$47</f>
        <v>62557</v>
      </c>
      <c r="M16" s="197">
        <f>SUM(B16:H16)+SUM(J16:L16)</f>
        <v>17117492</v>
      </c>
    </row>
    <row r="17" spans="1:14" x14ac:dyDescent="0.2">
      <c r="A17" s="52" t="s">
        <v>38</v>
      </c>
      <c r="B17" s="154">
        <f>[3]DHL!$FK$48</f>
        <v>0</v>
      </c>
      <c r="C17" s="154">
        <f>[3]FedEx!$FK$48</f>
        <v>0</v>
      </c>
      <c r="D17" s="154">
        <f>[3]UPS!$FK$48</f>
        <v>85</v>
      </c>
      <c r="E17" s="185"/>
      <c r="F17" s="111">
        <f>[3]ATI_BAX!$FK$48</f>
        <v>0</v>
      </c>
      <c r="G17" s="154">
        <f>[3]IFL!$FK$48</f>
        <v>0</v>
      </c>
      <c r="H17" s="111">
        <f>'[3]Suburban Air Freight'!$FK$48</f>
        <v>0</v>
      </c>
      <c r="I17" s="550"/>
      <c r="J17" s="111">
        <f>'[3]CSA Air'!$FK$48</f>
        <v>0</v>
      </c>
      <c r="K17" s="111">
        <f>'[3]Mountain Cargo'!$FK$48</f>
        <v>0</v>
      </c>
      <c r="L17" s="111">
        <f>'[3]Misc Cargo'!$FK$48</f>
        <v>0</v>
      </c>
      <c r="M17" s="197">
        <f>SUM(B17:H17)+SUM(J17:L17)</f>
        <v>85</v>
      </c>
    </row>
    <row r="18" spans="1:14" ht="18" customHeight="1" x14ac:dyDescent="0.2">
      <c r="A18" s="212" t="s">
        <v>39</v>
      </c>
      <c r="B18" s="291">
        <f>SUM(B16:B17)</f>
        <v>761777</v>
      </c>
      <c r="C18" s="291">
        <f>SUM(C16:C17)</f>
        <v>8824752</v>
      </c>
      <c r="D18" s="291">
        <f>SUM(D16:D17)</f>
        <v>7400497</v>
      </c>
      <c r="E18" s="190"/>
      <c r="F18" s="292">
        <f>SUM(F16:F17)</f>
        <v>0</v>
      </c>
      <c r="G18" s="291">
        <f>SUM(G16:G17)</f>
        <v>11431</v>
      </c>
      <c r="H18" s="292">
        <f>SUM(H16:H17)</f>
        <v>0</v>
      </c>
      <c r="I18" s="550"/>
      <c r="J18" s="292">
        <f>SUM(J16:J17)</f>
        <v>0</v>
      </c>
      <c r="K18" s="292">
        <f>SUM(K16:K17)</f>
        <v>56563</v>
      </c>
      <c r="L18" s="292">
        <f>SUM(L16:L17)</f>
        <v>62557</v>
      </c>
      <c r="M18" s="213">
        <f>SUM(B18:H18)+SUM(J18:L18)</f>
        <v>17117577</v>
      </c>
      <c r="N18" s="7"/>
    </row>
    <row r="19" spans="1:14" x14ac:dyDescent="0.2">
      <c r="A19" s="52"/>
      <c r="B19" s="154"/>
      <c r="C19" s="154"/>
      <c r="D19" s="154"/>
      <c r="E19" s="185"/>
      <c r="F19" s="111"/>
      <c r="G19" s="154"/>
      <c r="H19" s="111"/>
      <c r="I19" s="550"/>
      <c r="J19" s="111"/>
      <c r="K19" s="111"/>
      <c r="L19" s="111"/>
      <c r="M19" s="197"/>
    </row>
    <row r="20" spans="1:14" x14ac:dyDescent="0.2">
      <c r="A20" s="214" t="s">
        <v>90</v>
      </c>
      <c r="B20" s="154"/>
      <c r="C20" s="154"/>
      <c r="D20" s="154"/>
      <c r="E20" s="185"/>
      <c r="F20" s="111"/>
      <c r="G20" s="154"/>
      <c r="H20" s="111"/>
      <c r="I20" s="550"/>
      <c r="J20" s="111"/>
      <c r="K20" s="111"/>
      <c r="L20" s="111"/>
      <c r="M20" s="197"/>
    </row>
    <row r="21" spans="1:14" x14ac:dyDescent="0.2">
      <c r="A21" s="52" t="s">
        <v>60</v>
      </c>
      <c r="B21" s="154">
        <f>[3]DHL!$FK$52</f>
        <v>531434</v>
      </c>
      <c r="C21" s="154">
        <f>[3]FedEx!$FK$52</f>
        <v>9191458</v>
      </c>
      <c r="D21" s="154">
        <f>[3]UPS!$FK$52</f>
        <v>6308156</v>
      </c>
      <c r="E21" s="185"/>
      <c r="F21" s="111">
        <f>[3]ATI_BAX!$FK$52</f>
        <v>0</v>
      </c>
      <c r="G21" s="154">
        <f>[3]IFL!$FK$52</f>
        <v>11085</v>
      </c>
      <c r="H21" s="111">
        <f>'[3]Suburban Air Freight'!$FK$52</f>
        <v>0</v>
      </c>
      <c r="I21" s="550"/>
      <c r="J21" s="111">
        <f>'[3]CSA Air'!$FK$52</f>
        <v>9344</v>
      </c>
      <c r="K21" s="111">
        <f>'[3]Mountain Cargo'!$FK$52</f>
        <v>135930</v>
      </c>
      <c r="L21" s="111">
        <f>'[3]Misc Cargo'!$FK$52</f>
        <v>31232</v>
      </c>
      <c r="M21" s="197">
        <f>SUM(B21:H21)+SUM(J21:L21)</f>
        <v>16218639</v>
      </c>
    </row>
    <row r="22" spans="1:14" x14ac:dyDescent="0.2">
      <c r="A22" s="52" t="s">
        <v>61</v>
      </c>
      <c r="B22" s="154">
        <f>[3]DHL!$FK$53</f>
        <v>0</v>
      </c>
      <c r="C22" s="154">
        <f>[3]FedEx!$FK$53</f>
        <v>0</v>
      </c>
      <c r="D22" s="154">
        <f>[3]UPS!$FK$53</f>
        <v>53463</v>
      </c>
      <c r="E22" s="185"/>
      <c r="F22" s="111">
        <f>[3]ATI_BAX!$FK$53</f>
        <v>0</v>
      </c>
      <c r="G22" s="154">
        <f>[3]IFL!$FK$53</f>
        <v>0</v>
      </c>
      <c r="H22" s="111">
        <f>'[3]Suburban Air Freight'!$FK$53</f>
        <v>0</v>
      </c>
      <c r="I22" s="550"/>
      <c r="J22" s="111">
        <f>'[3]CSA Air'!$FK$53</f>
        <v>0</v>
      </c>
      <c r="K22" s="111">
        <f>'[3]Mountain Cargo'!$FK$53</f>
        <v>0</v>
      </c>
      <c r="L22" s="111">
        <f>'[3]Misc Cargo'!$FK$53</f>
        <v>0</v>
      </c>
      <c r="M22" s="197">
        <f>SUM(B22:H22)+SUM(J22:L22)</f>
        <v>53463</v>
      </c>
    </row>
    <row r="23" spans="1:14" ht="18" customHeight="1" x14ac:dyDescent="0.2">
      <c r="A23" s="212" t="s">
        <v>41</v>
      </c>
      <c r="B23" s="291">
        <f>SUM(B21:B22)</f>
        <v>531434</v>
      </c>
      <c r="C23" s="291">
        <f>SUM(C21:C22)</f>
        <v>9191458</v>
      </c>
      <c r="D23" s="291">
        <f>SUM(D21:D22)</f>
        <v>6361619</v>
      </c>
      <c r="E23" s="190"/>
      <c r="F23" s="292">
        <f>SUM(F21:F22)</f>
        <v>0</v>
      </c>
      <c r="G23" s="291">
        <f>SUM(G21:G22)</f>
        <v>11085</v>
      </c>
      <c r="H23" s="292">
        <f>SUM(H21:H22)</f>
        <v>0</v>
      </c>
      <c r="I23" s="550"/>
      <c r="J23" s="292">
        <f>SUM(J21:J22)</f>
        <v>9344</v>
      </c>
      <c r="K23" s="292">
        <f>SUM(K21:K22)</f>
        <v>135930</v>
      </c>
      <c r="L23" s="292">
        <f>SUM(L21:L22)</f>
        <v>31232</v>
      </c>
      <c r="M23" s="213">
        <f>SUM(B23:H23)+SUM(J23:L23)</f>
        <v>16272102</v>
      </c>
    </row>
    <row r="24" spans="1:14" x14ac:dyDescent="0.2">
      <c r="A24" s="52"/>
      <c r="B24" s="154"/>
      <c r="C24" s="154"/>
      <c r="D24" s="154"/>
      <c r="E24" s="185"/>
      <c r="F24" s="111"/>
      <c r="G24" s="154"/>
      <c r="H24" s="111"/>
      <c r="I24" s="550"/>
      <c r="J24" s="111"/>
      <c r="K24" s="111"/>
      <c r="L24" s="111"/>
      <c r="M24" s="197"/>
    </row>
    <row r="25" spans="1:14" x14ac:dyDescent="0.2">
      <c r="A25" s="214" t="s">
        <v>98</v>
      </c>
      <c r="B25" s="154"/>
      <c r="C25" s="154"/>
      <c r="D25" s="154"/>
      <c r="E25" s="185"/>
      <c r="F25" s="111"/>
      <c r="G25" s="154"/>
      <c r="H25" s="111"/>
      <c r="I25" s="550"/>
      <c r="J25" s="111"/>
      <c r="K25" s="111"/>
      <c r="L25" s="111"/>
      <c r="M25" s="197"/>
    </row>
    <row r="26" spans="1:14" x14ac:dyDescent="0.2">
      <c r="A26" s="52" t="s">
        <v>60</v>
      </c>
      <c r="B26" s="154">
        <f>[3]DHL!$FK$57</f>
        <v>0</v>
      </c>
      <c r="C26" s="154">
        <f>[3]FedEx!$FK$57</f>
        <v>0</v>
      </c>
      <c r="D26" s="154">
        <f>[3]UPS!$FK$57</f>
        <v>0</v>
      </c>
      <c r="E26" s="185"/>
      <c r="F26" s="111">
        <f>[3]ATI_BAX!$FK$57</f>
        <v>0</v>
      </c>
      <c r="G26" s="154">
        <f>[3]IFL!$FK$57</f>
        <v>0</v>
      </c>
      <c r="H26" s="111">
        <f>'[3]Suburban Air Freight'!$FK$57</f>
        <v>0</v>
      </c>
      <c r="I26" s="550"/>
      <c r="J26" s="111">
        <f>'[3]CSA Air'!$FK$57</f>
        <v>0</v>
      </c>
      <c r="K26" s="111">
        <f>'[3]Mountain Cargo'!$FK$57</f>
        <v>0</v>
      </c>
      <c r="L26" s="111">
        <f>'[3]Misc Cargo'!$FK$57</f>
        <v>0</v>
      </c>
      <c r="M26" s="197">
        <f>SUM(B26:H26)+SUM(J26:L26)</f>
        <v>0</v>
      </c>
    </row>
    <row r="27" spans="1:14" x14ac:dyDescent="0.2">
      <c r="A27" s="52" t="s">
        <v>61</v>
      </c>
      <c r="B27" s="154">
        <f>[3]DHL!$FK$58</f>
        <v>0</v>
      </c>
      <c r="C27" s="154">
        <f>[3]FedEx!$FK$58</f>
        <v>0</v>
      </c>
      <c r="D27" s="154">
        <f>[3]UPS!$FK$58</f>
        <v>0</v>
      </c>
      <c r="E27" s="185"/>
      <c r="F27" s="111">
        <f>[3]ATI_BAX!$FK$58</f>
        <v>0</v>
      </c>
      <c r="G27" s="154">
        <f>[3]IFL!$FK$58</f>
        <v>0</v>
      </c>
      <c r="H27" s="111">
        <f>'[3]Suburban Air Freight'!$FK$58</f>
        <v>0</v>
      </c>
      <c r="I27" s="550"/>
      <c r="J27" s="111">
        <f>'[3]CSA Air'!$FK$58</f>
        <v>0</v>
      </c>
      <c r="K27" s="111">
        <f>'[3]Mountain Cargo'!$FK$58</f>
        <v>0</v>
      </c>
      <c r="L27" s="111">
        <f>'[3]Misc Cargo'!$FK$58</f>
        <v>0</v>
      </c>
      <c r="M27" s="197">
        <f>SUM(B27:H27)+SUM(J27:L27)</f>
        <v>0</v>
      </c>
    </row>
    <row r="28" spans="1:14" ht="18" customHeight="1" x14ac:dyDescent="0.2">
      <c r="A28" s="212" t="s">
        <v>43</v>
      </c>
      <c r="B28" s="291">
        <f>SUM(B26:B27)</f>
        <v>0</v>
      </c>
      <c r="C28" s="291">
        <f>SUM(C26:C27)</f>
        <v>0</v>
      </c>
      <c r="D28" s="291">
        <f>SUM(D26:D27)</f>
        <v>0</v>
      </c>
      <c r="E28" s="190"/>
      <c r="F28" s="292">
        <f>SUM(F26:F27)</f>
        <v>0</v>
      </c>
      <c r="G28" s="291">
        <f>SUM(G26:G27)</f>
        <v>0</v>
      </c>
      <c r="H28" s="292">
        <f>SUM(H26:H27)</f>
        <v>0</v>
      </c>
      <c r="I28" s="550"/>
      <c r="J28" s="292">
        <f>SUM(J26:J27)</f>
        <v>0</v>
      </c>
      <c r="K28" s="292">
        <f>SUM(K26:K27)</f>
        <v>0</v>
      </c>
      <c r="L28" s="292">
        <f>SUM(L26:L27)</f>
        <v>0</v>
      </c>
      <c r="M28" s="213">
        <f>SUM(B28:H28)+SUM(J28:L28)</f>
        <v>0</v>
      </c>
    </row>
    <row r="29" spans="1:14" x14ac:dyDescent="0.2">
      <c r="A29" s="52"/>
      <c r="B29" s="154"/>
      <c r="C29" s="154"/>
      <c r="D29" s="154"/>
      <c r="E29" s="185"/>
      <c r="F29" s="111"/>
      <c r="G29" s="154"/>
      <c r="H29" s="111"/>
      <c r="I29" s="550"/>
      <c r="J29" s="111"/>
      <c r="K29" s="111"/>
      <c r="L29" s="111"/>
      <c r="M29" s="197"/>
    </row>
    <row r="30" spans="1:14" x14ac:dyDescent="0.2">
      <c r="A30" s="215" t="s">
        <v>44</v>
      </c>
      <c r="B30" s="154"/>
      <c r="C30" s="154"/>
      <c r="D30" s="154"/>
      <c r="E30" s="185"/>
      <c r="F30" s="111"/>
      <c r="G30" s="154"/>
      <c r="H30" s="111"/>
      <c r="I30" s="550"/>
      <c r="J30" s="111"/>
      <c r="K30" s="111"/>
      <c r="L30" s="111"/>
      <c r="M30" s="197"/>
    </row>
    <row r="31" spans="1:14" x14ac:dyDescent="0.2">
      <c r="A31" s="52" t="s">
        <v>91</v>
      </c>
      <c r="B31" s="154">
        <f t="shared" ref="B31:D33" si="3">B26+B21+B16</f>
        <v>1293211</v>
      </c>
      <c r="C31" s="154">
        <f t="shared" si="3"/>
        <v>18016210</v>
      </c>
      <c r="D31" s="154">
        <f t="shared" si="3"/>
        <v>13708568</v>
      </c>
      <c r="E31" s="185"/>
      <c r="F31" s="111">
        <f t="shared" ref="F31:H33" si="4">F26+F21+F16</f>
        <v>0</v>
      </c>
      <c r="G31" s="154">
        <f t="shared" si="4"/>
        <v>22516</v>
      </c>
      <c r="H31" s="111">
        <f t="shared" si="4"/>
        <v>0</v>
      </c>
      <c r="I31" s="550"/>
      <c r="J31" s="111">
        <f t="shared" ref="J31:L33" si="5">J26+J21+J16</f>
        <v>9344</v>
      </c>
      <c r="K31" s="111">
        <f t="shared" si="5"/>
        <v>192493</v>
      </c>
      <c r="L31" s="111">
        <f>L26+L21+L16</f>
        <v>93789</v>
      </c>
      <c r="M31" s="197">
        <f>SUM(B31:H31)+SUM(J31:L31)</f>
        <v>33336131</v>
      </c>
    </row>
    <row r="32" spans="1:14" x14ac:dyDescent="0.2">
      <c r="A32" s="52" t="s">
        <v>61</v>
      </c>
      <c r="B32" s="154">
        <f t="shared" si="3"/>
        <v>0</v>
      </c>
      <c r="C32" s="154">
        <f t="shared" si="3"/>
        <v>0</v>
      </c>
      <c r="D32" s="154">
        <f t="shared" si="3"/>
        <v>53548</v>
      </c>
      <c r="E32" s="185"/>
      <c r="F32" s="111">
        <f t="shared" si="4"/>
        <v>0</v>
      </c>
      <c r="G32" s="154">
        <f t="shared" si="4"/>
        <v>0</v>
      </c>
      <c r="H32" s="111">
        <f t="shared" si="4"/>
        <v>0</v>
      </c>
      <c r="I32" s="551"/>
      <c r="J32" s="111">
        <f t="shared" si="5"/>
        <v>0</v>
      </c>
      <c r="K32" s="111">
        <f t="shared" si="5"/>
        <v>0</v>
      </c>
      <c r="L32" s="111">
        <f>L27+L22+L17</f>
        <v>0</v>
      </c>
      <c r="M32" s="201">
        <f>SUM(B32:H32)+SUM(J32:L32)</f>
        <v>53548</v>
      </c>
    </row>
    <row r="33" spans="1:13" ht="18" customHeight="1" thickBot="1" x14ac:dyDescent="0.25">
      <c r="A33" s="202" t="s">
        <v>46</v>
      </c>
      <c r="B33" s="203">
        <f t="shared" si="3"/>
        <v>1293211</v>
      </c>
      <c r="C33" s="203">
        <f t="shared" si="3"/>
        <v>18016210</v>
      </c>
      <c r="D33" s="203">
        <f t="shared" si="3"/>
        <v>13762116</v>
      </c>
      <c r="E33" s="216"/>
      <c r="F33" s="205">
        <f t="shared" si="4"/>
        <v>0</v>
      </c>
      <c r="G33" s="203">
        <f t="shared" si="4"/>
        <v>22516</v>
      </c>
      <c r="H33" s="205">
        <f t="shared" si="4"/>
        <v>0</v>
      </c>
      <c r="I33" s="293">
        <f>I28+I23+I18</f>
        <v>0</v>
      </c>
      <c r="J33" s="205">
        <f t="shared" si="5"/>
        <v>9344</v>
      </c>
      <c r="K33" s="205">
        <f t="shared" si="5"/>
        <v>192493</v>
      </c>
      <c r="L33" s="205">
        <f t="shared" si="5"/>
        <v>93789</v>
      </c>
      <c r="M33" s="206">
        <f>SUM(B33:H33)+SUM(J33:L33)</f>
        <v>33389679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92</v>
      </c>
      <c r="B35" s="2"/>
      <c r="C35" s="2"/>
      <c r="D35" s="2"/>
      <c r="E35" s="2"/>
    </row>
    <row r="36" spans="1:13" x14ac:dyDescent="0.2">
      <c r="A36" t="s">
        <v>93</v>
      </c>
    </row>
    <row r="37" spans="1:13" x14ac:dyDescent="0.2">
      <c r="A37" t="s">
        <v>94</v>
      </c>
    </row>
    <row r="43" spans="1:13" ht="15" x14ac:dyDescent="0.25">
      <c r="I43" s="183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December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H31" sqref="H31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3.42578125" style="37" bestFit="1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72">
        <v>43070</v>
      </c>
      <c r="B2" s="74" t="s">
        <v>64</v>
      </c>
      <c r="C2" s="74" t="s">
        <v>65</v>
      </c>
      <c r="D2" s="74" t="s">
        <v>66</v>
      </c>
      <c r="E2" s="305" t="s">
        <v>76</v>
      </c>
      <c r="F2" s="75" t="s">
        <v>201</v>
      </c>
      <c r="G2" s="75" t="s">
        <v>175</v>
      </c>
      <c r="H2" s="76" t="s">
        <v>67</v>
      </c>
      <c r="I2" s="77" t="s">
        <v>198</v>
      </c>
      <c r="J2" s="77" t="s">
        <v>173</v>
      </c>
      <c r="K2" s="87" t="s">
        <v>2</v>
      </c>
    </row>
    <row r="3" spans="1:18" ht="20.25" customHeight="1" x14ac:dyDescent="0.2">
      <c r="A3" s="84" t="s">
        <v>68</v>
      </c>
      <c r="B3" s="86"/>
      <c r="C3" s="78"/>
      <c r="D3" s="78"/>
      <c r="E3" s="78"/>
      <c r="F3" s="79"/>
      <c r="G3" s="79"/>
      <c r="H3" s="80"/>
      <c r="I3" s="79"/>
      <c r="J3" s="79"/>
      <c r="K3" s="81"/>
    </row>
    <row r="4" spans="1:18" x14ac:dyDescent="0.2">
      <c r="A4" s="59" t="s">
        <v>69</v>
      </c>
      <c r="B4" s="162"/>
      <c r="C4" s="111"/>
      <c r="D4" s="111"/>
      <c r="E4" s="111"/>
      <c r="F4" s="111"/>
      <c r="G4" s="139"/>
      <c r="H4" s="111"/>
      <c r="I4" s="139"/>
      <c r="J4" s="139"/>
      <c r="K4" s="163"/>
    </row>
    <row r="5" spans="1:18" x14ac:dyDescent="0.2">
      <c r="A5" s="59" t="s">
        <v>70</v>
      </c>
      <c r="B5" s="162">
        <f>'Major Airline Stats'!J28</f>
        <v>5272365</v>
      </c>
      <c r="C5" s="111">
        <f>'Regional Major'!M25</f>
        <v>5419</v>
      </c>
      <c r="D5" s="111">
        <f>Cargo!M16</f>
        <v>17117492</v>
      </c>
      <c r="E5" s="111">
        <f>SUM(B5:D5)</f>
        <v>22395276</v>
      </c>
      <c r="F5" s="111">
        <f>E5*0.00045359237</f>
        <v>10158.32631764412</v>
      </c>
      <c r="G5" s="139">
        <f>'[24]Cargo Summary'!F5</f>
        <v>9037.2033755565099</v>
      </c>
      <c r="H5" s="93">
        <f>(F5-G5)/G5</f>
        <v>0.12405640279380911</v>
      </c>
      <c r="I5" s="139">
        <f>+F5+'[2]Cargo Summary'!I5</f>
        <v>110337.88213422667</v>
      </c>
      <c r="J5" s="139">
        <f>'[1]Cargo Summary'!I5</f>
        <v>91896.900173374452</v>
      </c>
      <c r="K5" s="82">
        <f>(I5-J5)/J5</f>
        <v>0.20067033736786674</v>
      </c>
      <c r="M5" s="34"/>
    </row>
    <row r="6" spans="1:18" x14ac:dyDescent="0.2">
      <c r="A6" s="59" t="s">
        <v>16</v>
      </c>
      <c r="B6" s="162">
        <f>'Major Airline Stats'!J29</f>
        <v>2748760</v>
      </c>
      <c r="C6" s="111">
        <f>'Regional Major'!M26</f>
        <v>2330</v>
      </c>
      <c r="D6" s="111">
        <f>Cargo!M17</f>
        <v>85</v>
      </c>
      <c r="E6" s="111">
        <f>SUM(B6:D6)</f>
        <v>2751175</v>
      </c>
      <c r="F6" s="111">
        <f>E6*0.00045359237</f>
        <v>1247.91198853475</v>
      </c>
      <c r="G6" s="139">
        <f>'[24]Cargo Summary'!F6</f>
        <v>739.36508853977</v>
      </c>
      <c r="H6" s="36">
        <f>(F6-G6)/G6</f>
        <v>0.68781567844831448</v>
      </c>
      <c r="I6" s="139">
        <f>+F6+'[2]Cargo Summary'!I6</f>
        <v>11228.730375287809</v>
      </c>
      <c r="J6" s="139">
        <f>'[1]Cargo Summary'!I6</f>
        <v>6361.6400407969841</v>
      </c>
      <c r="K6" s="82">
        <f>(I6-J6)/J6</f>
        <v>0.76506848914404746</v>
      </c>
      <c r="M6" s="34"/>
    </row>
    <row r="7" spans="1:18" ht="18" customHeight="1" thickBot="1" x14ac:dyDescent="0.25">
      <c r="A7" s="70" t="s">
        <v>73</v>
      </c>
      <c r="B7" s="164">
        <f>SUM(B5:B6)</f>
        <v>8021125</v>
      </c>
      <c r="C7" s="126">
        <f t="shared" ref="C7:J7" si="0">SUM(C5:C6)</f>
        <v>7749</v>
      </c>
      <c r="D7" s="126">
        <f t="shared" si="0"/>
        <v>17117577</v>
      </c>
      <c r="E7" s="126">
        <f t="shared" si="0"/>
        <v>25146451</v>
      </c>
      <c r="F7" s="126">
        <f t="shared" si="0"/>
        <v>11406.23830617887</v>
      </c>
      <c r="G7" s="126">
        <f t="shared" si="0"/>
        <v>9776.5684640962791</v>
      </c>
      <c r="H7" s="43">
        <f>(F7-G7)/G7</f>
        <v>0.16669139566376812</v>
      </c>
      <c r="I7" s="126">
        <f t="shared" si="0"/>
        <v>121566.61250951448</v>
      </c>
      <c r="J7" s="126">
        <f t="shared" si="0"/>
        <v>98258.540214171429</v>
      </c>
      <c r="K7" s="307">
        <f>(I7-J7)/J7</f>
        <v>0.23721166877239463</v>
      </c>
      <c r="M7" s="34"/>
    </row>
    <row r="8" spans="1:18" ht="13.5" thickTop="1" x14ac:dyDescent="0.2">
      <c r="A8" s="59"/>
      <c r="B8" s="162"/>
      <c r="C8" s="111"/>
      <c r="D8" s="111"/>
      <c r="E8" s="111"/>
      <c r="F8" s="139"/>
      <c r="G8" s="139"/>
      <c r="H8" s="38"/>
      <c r="I8" s="139"/>
      <c r="J8" s="139"/>
      <c r="K8" s="83"/>
      <c r="M8" s="34"/>
    </row>
    <row r="9" spans="1:18" x14ac:dyDescent="0.2">
      <c r="A9" s="59" t="s">
        <v>71</v>
      </c>
      <c r="B9" s="162"/>
      <c r="C9" s="111"/>
      <c r="D9" s="111"/>
      <c r="E9" s="111"/>
      <c r="F9" s="139"/>
      <c r="G9" s="139"/>
      <c r="H9" s="38"/>
      <c r="I9" s="139"/>
      <c r="J9" s="139"/>
      <c r="K9" s="83"/>
      <c r="M9" s="34"/>
    </row>
    <row r="10" spans="1:18" x14ac:dyDescent="0.2">
      <c r="A10" s="59" t="s">
        <v>70</v>
      </c>
      <c r="B10" s="162">
        <f>'Major Airline Stats'!J33</f>
        <v>2829868</v>
      </c>
      <c r="C10" s="111">
        <f>'Regional Major'!M30</f>
        <v>348</v>
      </c>
      <c r="D10" s="111">
        <f>Cargo!M21</f>
        <v>16218639</v>
      </c>
      <c r="E10" s="111">
        <f>SUM(B10:D10)</f>
        <v>19048855</v>
      </c>
      <c r="F10" s="111">
        <f>E10*0.00045359237</f>
        <v>8640.4152852363495</v>
      </c>
      <c r="G10" s="139">
        <f>'[24]Cargo Summary'!F10</f>
        <v>7712.2405583146001</v>
      </c>
      <c r="H10" s="36">
        <f>(F10-G10)/G10</f>
        <v>0.12035085263530586</v>
      </c>
      <c r="I10" s="139">
        <f>+F10+'[2]Cargo Summary'!I10</f>
        <v>93518.841708656968</v>
      </c>
      <c r="J10" s="139">
        <f>'[1]Cargo Summary'!I10</f>
        <v>81649.420275406825</v>
      </c>
      <c r="K10" s="82">
        <f>(I10-J10)/J10</f>
        <v>0.14537055368199922</v>
      </c>
      <c r="M10" s="34"/>
    </row>
    <row r="11" spans="1:18" x14ac:dyDescent="0.2">
      <c r="A11" s="59" t="s">
        <v>16</v>
      </c>
      <c r="B11" s="162">
        <f>'Major Airline Stats'!J34</f>
        <v>3025910</v>
      </c>
      <c r="C11" s="111">
        <f>'Regional Major'!M31</f>
        <v>862</v>
      </c>
      <c r="D11" s="111">
        <f>Cargo!M22</f>
        <v>53463</v>
      </c>
      <c r="E11" s="111">
        <f>SUM(B11:D11)</f>
        <v>3080235</v>
      </c>
      <c r="F11" s="111">
        <f>E11*0.00045359237</f>
        <v>1397.17109380695</v>
      </c>
      <c r="G11" s="139">
        <f>'[24]Cargo Summary'!F11</f>
        <v>1315.2822488813699</v>
      </c>
      <c r="H11" s="34">
        <f>(F11-G11)/G11</f>
        <v>6.2259522619746037E-2</v>
      </c>
      <c r="I11" s="139">
        <f>+F11+'[2]Cargo Summary'!I11</f>
        <v>14354.899421952319</v>
      </c>
      <c r="J11" s="139">
        <f>'[1]Cargo Summary'!I11</f>
        <v>8535.3279121394899</v>
      </c>
      <c r="K11" s="82">
        <f>(I11-J11)/J11</f>
        <v>0.68182166751155071</v>
      </c>
      <c r="M11" s="34"/>
    </row>
    <row r="12" spans="1:18" ht="18" customHeight="1" thickBot="1" x14ac:dyDescent="0.25">
      <c r="A12" s="70" t="s">
        <v>74</v>
      </c>
      <c r="B12" s="164">
        <f>SUM(B10:B11)</f>
        <v>5855778</v>
      </c>
      <c r="C12" s="126">
        <f t="shared" ref="C12:J12" si="1">SUM(C10:C11)</f>
        <v>1210</v>
      </c>
      <c r="D12" s="126">
        <f t="shared" si="1"/>
        <v>16272102</v>
      </c>
      <c r="E12" s="126">
        <f t="shared" si="1"/>
        <v>22129090</v>
      </c>
      <c r="F12" s="126">
        <f t="shared" si="1"/>
        <v>10037.5863790433</v>
      </c>
      <c r="G12" s="126">
        <f t="shared" si="1"/>
        <v>9027.52280719597</v>
      </c>
      <c r="H12" s="43">
        <f>(F12-G12)/G12</f>
        <v>0.11188712489789482</v>
      </c>
      <c r="I12" s="126">
        <f t="shared" si="1"/>
        <v>107873.74113060928</v>
      </c>
      <c r="J12" s="126">
        <f t="shared" si="1"/>
        <v>90184.748187546313</v>
      </c>
      <c r="K12" s="307">
        <f>(I12-J12)/J12</f>
        <v>0.19614173458994766</v>
      </c>
      <c r="M12" s="34"/>
    </row>
    <row r="13" spans="1:18" ht="13.5" thickTop="1" x14ac:dyDescent="0.2">
      <c r="A13" s="59"/>
      <c r="B13" s="162"/>
      <c r="C13" s="111"/>
      <c r="D13" s="111"/>
      <c r="E13" s="111"/>
      <c r="F13" s="139"/>
      <c r="G13" s="139"/>
      <c r="H13" s="38"/>
      <c r="I13" s="139"/>
      <c r="J13" s="139"/>
      <c r="K13" s="83"/>
      <c r="M13" s="34"/>
    </row>
    <row r="14" spans="1:18" x14ac:dyDescent="0.2">
      <c r="A14" s="59" t="s">
        <v>72</v>
      </c>
      <c r="B14" s="162"/>
      <c r="C14" s="111"/>
      <c r="D14" s="111"/>
      <c r="E14" s="111"/>
      <c r="F14" s="139"/>
      <c r="G14" s="139"/>
      <c r="H14" s="38"/>
      <c r="I14" s="139"/>
      <c r="J14" s="139"/>
      <c r="K14" s="83"/>
      <c r="M14" s="34"/>
    </row>
    <row r="15" spans="1:18" x14ac:dyDescent="0.2">
      <c r="A15" s="59" t="s">
        <v>70</v>
      </c>
      <c r="B15" s="162">
        <f>'Major Airline Stats'!J38</f>
        <v>0</v>
      </c>
      <c r="C15" s="111">
        <f>'Regional Major'!M35</f>
        <v>0</v>
      </c>
      <c r="D15" s="111">
        <f>Cargo!M26</f>
        <v>0</v>
      </c>
      <c r="E15" s="111">
        <f>SUM(B15:D15)</f>
        <v>0</v>
      </c>
      <c r="F15" s="111">
        <f>E15*0.00045359237</f>
        <v>0</v>
      </c>
      <c r="G15" s="139">
        <f>'[24]Cargo Summary'!F15</f>
        <v>0</v>
      </c>
      <c r="H15" s="416" t="e">
        <f>(F15-G15)/G15</f>
        <v>#DIV/0!</v>
      </c>
      <c r="I15" s="139">
        <f>+F15+'[2]Cargo Summary'!I15</f>
        <v>0</v>
      </c>
      <c r="J15" s="139">
        <f>'[1]Cargo Summary'!I15</f>
        <v>0</v>
      </c>
      <c r="K15" s="82" t="e">
        <f>(I15-J15)/J15</f>
        <v>#DIV/0!</v>
      </c>
      <c r="L15" s="11"/>
      <c r="M15" s="34"/>
    </row>
    <row r="16" spans="1:18" ht="15" customHeight="1" x14ac:dyDescent="0.2">
      <c r="A16" s="59" t="s">
        <v>16</v>
      </c>
      <c r="B16" s="162">
        <f>'Major Airline Stats'!J39</f>
        <v>0</v>
      </c>
      <c r="C16" s="111">
        <f>'Regional Major'!M36</f>
        <v>0</v>
      </c>
      <c r="D16" s="111">
        <f>Cargo!M27</f>
        <v>0</v>
      </c>
      <c r="E16" s="111">
        <f>SUM(B16:D16)</f>
        <v>0</v>
      </c>
      <c r="F16" s="111">
        <f>E16*0.00045359237</f>
        <v>0</v>
      </c>
      <c r="G16" s="139">
        <f>'[24]Cargo Summary'!F16</f>
        <v>0</v>
      </c>
      <c r="H16" s="36" t="e">
        <f>(F16-G16)/G16</f>
        <v>#DIV/0!</v>
      </c>
      <c r="I16" s="139">
        <f>+F16+'[2]Cargo Summary'!I16</f>
        <v>0</v>
      </c>
      <c r="J16" s="139">
        <f>'[1]Cargo Summary'!I16</f>
        <v>0</v>
      </c>
      <c r="K16" s="82">
        <v>1</v>
      </c>
      <c r="L16" s="11"/>
      <c r="M16" s="34"/>
    </row>
    <row r="17" spans="1:13" ht="18" customHeight="1" thickBot="1" x14ac:dyDescent="0.25">
      <c r="A17" s="70" t="s">
        <v>75</v>
      </c>
      <c r="B17" s="164">
        <f>SUM(B15:B16)</f>
        <v>0</v>
      </c>
      <c r="C17" s="126">
        <f t="shared" ref="C17:J17" si="2">SUM(C15:C16)</f>
        <v>0</v>
      </c>
      <c r="D17" s="126">
        <f t="shared" si="2"/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43" t="e">
        <f>(F17-G17)/G17</f>
        <v>#DIV/0!</v>
      </c>
      <c r="I17" s="126">
        <f t="shared" si="2"/>
        <v>0</v>
      </c>
      <c r="J17" s="126">
        <f t="shared" si="2"/>
        <v>0</v>
      </c>
      <c r="K17" s="307" t="e">
        <f>(I17-J17)/J17</f>
        <v>#DIV/0!</v>
      </c>
      <c r="M17" s="34"/>
    </row>
    <row r="18" spans="1:13" ht="13.5" thickTop="1" x14ac:dyDescent="0.2">
      <c r="A18" s="59"/>
      <c r="B18" s="162"/>
      <c r="C18" s="111"/>
      <c r="D18" s="111"/>
      <c r="E18" s="111"/>
      <c r="F18" s="139"/>
      <c r="G18" s="139"/>
      <c r="H18" s="38"/>
      <c r="I18" s="139"/>
      <c r="J18" s="139"/>
      <c r="K18" s="83"/>
      <c r="M18" s="34"/>
    </row>
    <row r="19" spans="1:13" x14ac:dyDescent="0.2">
      <c r="A19" s="59" t="s">
        <v>14</v>
      </c>
      <c r="B19" s="162"/>
      <c r="C19" s="111"/>
      <c r="D19" s="111"/>
      <c r="E19" s="111"/>
      <c r="F19" s="139"/>
      <c r="G19" s="139"/>
      <c r="H19" s="38"/>
      <c r="I19" s="139"/>
      <c r="J19" s="139"/>
      <c r="K19" s="83"/>
      <c r="M19" s="34"/>
    </row>
    <row r="20" spans="1:13" x14ac:dyDescent="0.2">
      <c r="A20" s="59" t="s">
        <v>70</v>
      </c>
      <c r="B20" s="162">
        <f t="shared" ref="B20:D21" si="3">B15+B10+B5</f>
        <v>8102233</v>
      </c>
      <c r="C20" s="111">
        <f t="shared" si="3"/>
        <v>5767</v>
      </c>
      <c r="D20" s="111">
        <f t="shared" si="3"/>
        <v>33336131</v>
      </c>
      <c r="E20" s="111">
        <f>SUM(B20:D20)</f>
        <v>41444131</v>
      </c>
      <c r="F20" s="111">
        <f>E20*0.00045359237</f>
        <v>18798.741602880469</v>
      </c>
      <c r="G20" s="139">
        <f>'[24]Cargo Summary'!F20</f>
        <v>16749.443933871109</v>
      </c>
      <c r="H20" s="36">
        <f>(F20-G20)/G20</f>
        <v>0.12235019127203521</v>
      </c>
      <c r="I20" s="139">
        <f>+F20+'[2]Cargo Summary'!I20</f>
        <v>203856.72384288366</v>
      </c>
      <c r="J20" s="139">
        <f>+J5+J10+J15</f>
        <v>173546.32044878128</v>
      </c>
      <c r="K20" s="82">
        <f>(I20-J20)/J20</f>
        <v>0.1746531030777336</v>
      </c>
      <c r="M20" s="34"/>
    </row>
    <row r="21" spans="1:13" x14ac:dyDescent="0.2">
      <c r="A21" s="59" t="s">
        <v>16</v>
      </c>
      <c r="B21" s="162">
        <f t="shared" si="3"/>
        <v>5774670</v>
      </c>
      <c r="C21" s="113">
        <f t="shared" si="3"/>
        <v>3192</v>
      </c>
      <c r="D21" s="113">
        <f t="shared" si="3"/>
        <v>53548</v>
      </c>
      <c r="E21" s="111">
        <f>SUM(B21:D21)</f>
        <v>5831410</v>
      </c>
      <c r="F21" s="111">
        <f>E21*0.00045359237</f>
        <v>2645.0830823417</v>
      </c>
      <c r="G21" s="139">
        <f>'[24]Cargo Summary'!F21</f>
        <v>2054.64733742114</v>
      </c>
      <c r="H21" s="36">
        <f>(F21-G21)/G21</f>
        <v>0.28736597963407023</v>
      </c>
      <c r="I21" s="139">
        <f>+F21+'[2]Cargo Summary'!I21</f>
        <v>25583.629797240123</v>
      </c>
      <c r="J21" s="139">
        <f>+J6+J11+J16</f>
        <v>14896.967952936473</v>
      </c>
      <c r="K21" s="82">
        <f>(I21-J21)/J21</f>
        <v>0.71737160730060556</v>
      </c>
      <c r="M21" s="34"/>
    </row>
    <row r="22" spans="1:13" ht="18" customHeight="1" thickBot="1" x14ac:dyDescent="0.25">
      <c r="A22" s="85" t="s">
        <v>63</v>
      </c>
      <c r="B22" s="165">
        <f>SUM(B20:B21)</f>
        <v>13876903</v>
      </c>
      <c r="C22" s="166">
        <f t="shared" ref="C22:J22" si="4">SUM(C20:C21)</f>
        <v>8959</v>
      </c>
      <c r="D22" s="166">
        <f t="shared" si="4"/>
        <v>33389679</v>
      </c>
      <c r="E22" s="166">
        <f t="shared" si="4"/>
        <v>47275541</v>
      </c>
      <c r="F22" s="166">
        <f t="shared" si="4"/>
        <v>21443.824685222171</v>
      </c>
      <c r="G22" s="166">
        <f t="shared" si="4"/>
        <v>18804.091271292251</v>
      </c>
      <c r="H22" s="313">
        <f>(F22-G22)/G22</f>
        <v>0.14038080202045908</v>
      </c>
      <c r="I22" s="166">
        <f t="shared" si="4"/>
        <v>229440.35364012379</v>
      </c>
      <c r="J22" s="166">
        <f t="shared" si="4"/>
        <v>188443.28840171776</v>
      </c>
      <c r="K22" s="314">
        <f>(I22-J22)/J22</f>
        <v>0.21755651573543824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December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A2" sqref="A2:R2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18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2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24"/>
      <c r="K1" s="11"/>
    </row>
    <row r="2" spans="1:19" s="217" customFormat="1" ht="26.25" thickBot="1" x14ac:dyDescent="0.25">
      <c r="A2" s="562" t="s">
        <v>218</v>
      </c>
      <c r="B2" s="563"/>
      <c r="C2" s="457" t="s">
        <v>202</v>
      </c>
      <c r="D2" s="459" t="s">
        <v>176</v>
      </c>
      <c r="E2" s="460" t="s">
        <v>99</v>
      </c>
      <c r="F2" s="461" t="s">
        <v>203</v>
      </c>
      <c r="G2" s="459" t="s">
        <v>177</v>
      </c>
      <c r="H2" s="458" t="s">
        <v>100</v>
      </c>
      <c r="I2" s="460" t="s">
        <v>141</v>
      </c>
      <c r="J2" s="562" t="s">
        <v>211</v>
      </c>
      <c r="K2" s="563"/>
      <c r="L2" s="457" t="s">
        <v>204</v>
      </c>
      <c r="M2" s="459" t="s">
        <v>178</v>
      </c>
      <c r="N2" s="462" t="s">
        <v>100</v>
      </c>
      <c r="O2" s="463" t="s">
        <v>205</v>
      </c>
      <c r="P2" s="463" t="s">
        <v>179</v>
      </c>
      <c r="Q2" s="496" t="s">
        <v>100</v>
      </c>
      <c r="R2" s="460" t="s">
        <v>217</v>
      </c>
    </row>
    <row r="3" spans="1:19" s="217" customFormat="1" ht="13.5" customHeight="1" thickBot="1" x14ac:dyDescent="0.25">
      <c r="A3" s="564">
        <v>43070</v>
      </c>
      <c r="B3" s="565"/>
      <c r="C3" s="566" t="s">
        <v>9</v>
      </c>
      <c r="D3" s="567"/>
      <c r="E3" s="567"/>
      <c r="F3" s="567"/>
      <c r="G3" s="567"/>
      <c r="H3" s="568"/>
      <c r="I3" s="464"/>
      <c r="J3" s="564">
        <f>+A3</f>
        <v>43070</v>
      </c>
      <c r="K3" s="565"/>
      <c r="L3" s="556" t="s">
        <v>212</v>
      </c>
      <c r="M3" s="557"/>
      <c r="N3" s="557"/>
      <c r="O3" s="557"/>
      <c r="P3" s="557"/>
      <c r="Q3" s="557"/>
      <c r="R3" s="558"/>
    </row>
    <row r="4" spans="1:19" x14ac:dyDescent="0.2">
      <c r="A4" s="334"/>
      <c r="B4" s="335"/>
      <c r="C4" s="336"/>
      <c r="D4" s="337"/>
      <c r="E4" s="338"/>
      <c r="F4" s="465"/>
      <c r="G4" s="406"/>
      <c r="H4" s="482"/>
      <c r="I4" s="338"/>
      <c r="J4" s="339"/>
      <c r="K4" s="335"/>
      <c r="L4" s="491"/>
      <c r="M4" s="5"/>
      <c r="N4" s="82"/>
      <c r="O4" s="52"/>
      <c r="P4" s="11"/>
      <c r="Q4" s="11"/>
      <c r="R4" s="53"/>
    </row>
    <row r="5" spans="1:19" ht="14.1" customHeight="1" x14ac:dyDescent="0.2">
      <c r="A5" s="341" t="s">
        <v>213</v>
      </c>
      <c r="B5" s="53"/>
      <c r="C5" s="342">
        <f>+[3]DHL!$FK$19</f>
        <v>48</v>
      </c>
      <c r="D5" s="344">
        <f>+[3]DHL!$EW$19</f>
        <v>46</v>
      </c>
      <c r="E5" s="345">
        <f>(C5-D5)/D5</f>
        <v>4.3478260869565216E-2</v>
      </c>
      <c r="F5" s="342">
        <f>SUM([3]DHL!$EZ$19:$FK$19)</f>
        <v>530</v>
      </c>
      <c r="G5" s="344">
        <f>+SUM([3]DHL!$EL$19:$EW$19)</f>
        <v>518</v>
      </c>
      <c r="H5" s="343">
        <f>(F5-G5)/G5</f>
        <v>2.3166023166023165E-2</v>
      </c>
      <c r="I5" s="345">
        <f>+F5/$F$24</f>
        <v>3.5825334595106124E-2</v>
      </c>
      <c r="J5" s="341" t="s">
        <v>213</v>
      </c>
      <c r="K5" s="53"/>
      <c r="L5" s="342">
        <f>+[3]DHL!$FK$64</f>
        <v>1293211</v>
      </c>
      <c r="M5" s="344">
        <f>+[3]DHL!$EW$64</f>
        <v>1284720</v>
      </c>
      <c r="N5" s="345">
        <f>(L5-M5)/M5</f>
        <v>6.609222242979015E-3</v>
      </c>
      <c r="O5" s="342">
        <f>SUM([3]DHL!$EZ$64:$FK$64)</f>
        <v>15301913</v>
      </c>
      <c r="P5" s="344">
        <f>+SUM([3]DHL!$EL$64:$EW$64)</f>
        <v>13800058</v>
      </c>
      <c r="Q5" s="343">
        <f>(O5-P5)/P5</f>
        <v>0.10882961506393669</v>
      </c>
      <c r="R5" s="345">
        <f>O5/$O$24</f>
        <v>4.3503905434492597E-2</v>
      </c>
      <c r="S5" s="19"/>
    </row>
    <row r="6" spans="1:19" ht="14.1" customHeight="1" x14ac:dyDescent="0.2">
      <c r="A6" s="341"/>
      <c r="B6" s="356"/>
      <c r="C6" s="342"/>
      <c r="D6" s="344"/>
      <c r="E6" s="345"/>
      <c r="F6" s="342"/>
      <c r="G6" s="344"/>
      <c r="H6" s="343"/>
      <c r="I6" s="345"/>
      <c r="J6" s="341"/>
      <c r="K6" s="53"/>
      <c r="L6" s="346"/>
      <c r="M6" s="9"/>
      <c r="N6" s="83"/>
      <c r="O6" s="342"/>
      <c r="P6" s="344"/>
      <c r="Q6" s="38"/>
      <c r="R6" s="83"/>
      <c r="S6" s="19"/>
    </row>
    <row r="7" spans="1:19" ht="14.1" customHeight="1" x14ac:dyDescent="0.2">
      <c r="A7" s="341" t="s">
        <v>214</v>
      </c>
      <c r="B7" s="356"/>
      <c r="C7" s="342">
        <f>+[3]FedEx!$FK$19</f>
        <v>302</v>
      </c>
      <c r="D7" s="344">
        <f>+[3]FedEx!$EW$19</f>
        <v>346</v>
      </c>
      <c r="E7" s="345">
        <f>(C7-D7)/D7</f>
        <v>-0.12716763005780346</v>
      </c>
      <c r="F7" s="342">
        <f>SUM([3]FedEx!$EZ$19:$FK$19)</f>
        <v>2545</v>
      </c>
      <c r="G7" s="344">
        <f>+SUM([3]FedEx!$EL$19:$EW$19)</f>
        <v>2342</v>
      </c>
      <c r="H7" s="343">
        <f t="shared" ref="H7" si="0">(F7-G7)/G7</f>
        <v>8.6678052946199832E-2</v>
      </c>
      <c r="I7" s="345">
        <f>+F7/$F$24</f>
        <v>0.17202920102744357</v>
      </c>
      <c r="J7" s="341" t="s">
        <v>214</v>
      </c>
      <c r="K7" s="53"/>
      <c r="L7" s="342">
        <f>+[3]FedEx!$FK$64</f>
        <v>18016210</v>
      </c>
      <c r="M7" s="344">
        <f>+[3]FedEx!$EW$64</f>
        <v>18995074</v>
      </c>
      <c r="N7" s="345">
        <f>(L7-M7)/M7</f>
        <v>-5.1532518378185836E-2</v>
      </c>
      <c r="O7" s="342">
        <f>SUM([3]FedEx!$EZ$64:$FK$64)</f>
        <v>203736450</v>
      </c>
      <c r="P7" s="344">
        <f>+SUM([3]FedEx!$EL$64:$EW$64)</f>
        <v>199398241</v>
      </c>
      <c r="Q7" s="343">
        <f t="shared" ref="Q7" si="1">(O7-P7)/P7</f>
        <v>2.1756505866067293E-2</v>
      </c>
      <c r="R7" s="345">
        <f>O7/$O$24</f>
        <v>0.57923027365004809</v>
      </c>
      <c r="S7" s="19"/>
    </row>
    <row r="8" spans="1:19" ht="14.1" customHeight="1" x14ac:dyDescent="0.2">
      <c r="A8" s="341"/>
      <c r="B8" s="356"/>
      <c r="C8" s="342"/>
      <c r="D8" s="344"/>
      <c r="E8" s="345"/>
      <c r="F8" s="342"/>
      <c r="G8" s="344"/>
      <c r="H8" s="343"/>
      <c r="I8" s="345"/>
      <c r="J8" s="341"/>
      <c r="K8" s="53"/>
      <c r="L8" s="346"/>
      <c r="M8" s="9"/>
      <c r="N8" s="83"/>
      <c r="O8" s="342"/>
      <c r="P8" s="344"/>
      <c r="Q8" s="38"/>
      <c r="R8" s="83"/>
      <c r="S8" s="19"/>
    </row>
    <row r="9" spans="1:19" ht="14.1" customHeight="1" x14ac:dyDescent="0.2">
      <c r="A9" s="341" t="s">
        <v>84</v>
      </c>
      <c r="B9" s="356"/>
      <c r="C9" s="342">
        <f>+[3]UPS!$FK$19</f>
        <v>356</v>
      </c>
      <c r="D9" s="344">
        <f>+[3]UPS!$EW$19</f>
        <v>338</v>
      </c>
      <c r="E9" s="345">
        <f>(C9-D9)/D9</f>
        <v>5.3254437869822487E-2</v>
      </c>
      <c r="F9" s="342">
        <f>SUM([3]UPS!$EZ$19:$FK$19)</f>
        <v>2788</v>
      </c>
      <c r="G9" s="344">
        <f>+SUM([3]UPS!$EL$19:$EW$19)</f>
        <v>2640</v>
      </c>
      <c r="H9" s="343">
        <f>(F9-G9)/G9</f>
        <v>5.6060606060606061E-2</v>
      </c>
      <c r="I9" s="345">
        <f>+F9/$F$24</f>
        <v>0.18845477896444504</v>
      </c>
      <c r="J9" s="341" t="s">
        <v>84</v>
      </c>
      <c r="K9" s="53"/>
      <c r="L9" s="342">
        <f>+[3]UPS!$FK$64</f>
        <v>13762116</v>
      </c>
      <c r="M9" s="344">
        <f>+[3]UPS!$EW$64</f>
        <v>14403166</v>
      </c>
      <c r="N9" s="345">
        <f>(L9-M9)/M9</f>
        <v>-4.4507575626081097E-2</v>
      </c>
      <c r="O9" s="342">
        <f>SUM([3]UPS!$EZ$64:$FK$64)</f>
        <v>127719864</v>
      </c>
      <c r="P9" s="344">
        <f>+SUM([3]UPS!$EL$64:$EW$64)</f>
        <v>116125184</v>
      </c>
      <c r="Q9" s="343">
        <f>(O9-P9)/P9</f>
        <v>9.9846386465144377E-2</v>
      </c>
      <c r="R9" s="345">
        <f>O9/$O$24</f>
        <v>0.36311230403429001</v>
      </c>
      <c r="S9" s="19"/>
    </row>
    <row r="10" spans="1:19" ht="14.1" customHeight="1" x14ac:dyDescent="0.2">
      <c r="A10" s="341"/>
      <c r="B10" s="356"/>
      <c r="C10" s="342"/>
      <c r="D10" s="344"/>
      <c r="E10" s="345"/>
      <c r="F10" s="342"/>
      <c r="G10" s="344"/>
      <c r="H10" s="343"/>
      <c r="I10" s="345"/>
      <c r="J10" s="341"/>
      <c r="K10" s="53"/>
      <c r="L10" s="346"/>
      <c r="M10" s="9"/>
      <c r="N10" s="83"/>
      <c r="O10" s="342"/>
      <c r="P10" s="344"/>
      <c r="Q10" s="38"/>
      <c r="R10" s="83"/>
      <c r="S10" s="19"/>
    </row>
    <row r="11" spans="1:19" ht="14.1" customHeight="1" x14ac:dyDescent="0.2">
      <c r="A11" s="341" t="s">
        <v>196</v>
      </c>
      <c r="B11" s="356"/>
      <c r="C11" s="342">
        <f>+[3]IFL!$FK$19</f>
        <v>36</v>
      </c>
      <c r="D11" s="344">
        <f>+[3]IFL!$EW$19</f>
        <v>73</v>
      </c>
      <c r="E11" s="345">
        <f>(C11-D11)/D11</f>
        <v>-0.50684931506849318</v>
      </c>
      <c r="F11" s="342">
        <f>SUM([3]IFL!$EZ$19:$FK$19)</f>
        <v>578</v>
      </c>
      <c r="G11" s="344">
        <f>+SUM([3]IFL!$EL$19:$EW$19)</f>
        <v>789</v>
      </c>
      <c r="H11" s="343">
        <f>(F11-G11)/G11</f>
        <v>-0.26742712294043092</v>
      </c>
      <c r="I11" s="345">
        <f>+F11/$F$24</f>
        <v>3.9069893199945922E-2</v>
      </c>
      <c r="J11" s="341" t="s">
        <v>196</v>
      </c>
      <c r="K11" s="53"/>
      <c r="L11" s="342">
        <f>+[3]IFL!$FK$64</f>
        <v>22516</v>
      </c>
      <c r="M11" s="344">
        <f>+[3]IFL!$EW$64</f>
        <v>99831</v>
      </c>
      <c r="N11" s="345">
        <f>(L11-M11)/M11</f>
        <v>-0.77445883543187988</v>
      </c>
      <c r="O11" s="342">
        <f>SUM([3]IFL!$EZ$64:$FK$64)</f>
        <v>582814</v>
      </c>
      <c r="P11" s="344">
        <f>+SUM([3]IFL!$EL$64:$EW$64)</f>
        <v>1035055</v>
      </c>
      <c r="Q11" s="343">
        <f>(O11-P11)/P11</f>
        <v>-0.43692460787107934</v>
      </c>
      <c r="R11" s="345">
        <f>O11/$O$24</f>
        <v>1.6569617891500472E-3</v>
      </c>
      <c r="S11" s="19"/>
    </row>
    <row r="12" spans="1:19" ht="14.1" customHeight="1" x14ac:dyDescent="0.2">
      <c r="A12" s="341"/>
      <c r="B12" s="356"/>
      <c r="C12" s="342"/>
      <c r="D12" s="347"/>
      <c r="E12" s="345"/>
      <c r="F12" s="466"/>
      <c r="G12" s="347"/>
      <c r="H12" s="343"/>
      <c r="I12" s="345"/>
      <c r="J12" s="341"/>
      <c r="K12" s="53"/>
      <c r="L12" s="348"/>
      <c r="M12" s="139"/>
      <c r="N12" s="83"/>
      <c r="O12" s="348"/>
      <c r="P12" s="139"/>
      <c r="Q12" s="38"/>
      <c r="R12" s="83"/>
      <c r="S12" s="19"/>
    </row>
    <row r="13" spans="1:19" ht="14.1" customHeight="1" x14ac:dyDescent="0.2">
      <c r="A13" s="341" t="s">
        <v>167</v>
      </c>
      <c r="B13" s="354"/>
      <c r="C13" s="342">
        <f>+'[3]Suburban Air Freight'!$FK$19</f>
        <v>0</v>
      </c>
      <c r="D13" s="344">
        <f>+'[3]Suburban Air Freight'!$EW$19</f>
        <v>38</v>
      </c>
      <c r="E13" s="345">
        <f>(C13-D13)/D13</f>
        <v>-1</v>
      </c>
      <c r="F13" s="342">
        <f>SUM('[3]Suburban Air Freight'!$EZ$19:$FK$19)</f>
        <v>356</v>
      </c>
      <c r="G13" s="344">
        <f>+SUM('[3]Suburban Air Freight'!$EL$19:$EW$19)</f>
        <v>504</v>
      </c>
      <c r="H13" s="343">
        <f t="shared" ref="H13" si="2">(F13-G13)/G13</f>
        <v>-0.29365079365079366</v>
      </c>
      <c r="I13" s="345">
        <f>+F13/$F$24</f>
        <v>2.406380965256185E-2</v>
      </c>
      <c r="J13" s="341" t="s">
        <v>167</v>
      </c>
      <c r="K13" s="349"/>
      <c r="L13" s="342">
        <f>+'[3]Suburban Air Freight'!$FK$64</f>
        <v>0</v>
      </c>
      <c r="M13" s="344">
        <f>+'[3]Suburban Air Freight'!$EW$64</f>
        <v>91086</v>
      </c>
      <c r="N13" s="345">
        <f>(L13-M13)/M13</f>
        <v>-1</v>
      </c>
      <c r="O13" s="342">
        <f>SUM('[3]Suburban Air Freight'!$EZ$64:$FK$64)</f>
        <v>779480</v>
      </c>
      <c r="P13" s="344">
        <f>+SUM('[3]Suburban Air Freight'!$EL$64:$EW$64)</f>
        <v>1084593</v>
      </c>
      <c r="Q13" s="343">
        <f t="shared" ref="Q13" si="3">(O13-P13)/P13</f>
        <v>-0.2813156640324988</v>
      </c>
      <c r="R13" s="345">
        <f>O13/$O$24</f>
        <v>2.2160905115640303E-3</v>
      </c>
      <c r="S13" s="19"/>
    </row>
    <row r="14" spans="1:19" ht="14.1" customHeight="1" x14ac:dyDescent="0.2">
      <c r="A14" s="52"/>
      <c r="B14" s="351"/>
      <c r="C14" s="342"/>
      <c r="D14" s="9"/>
      <c r="E14" s="83"/>
      <c r="F14" s="346"/>
      <c r="G14" s="9"/>
      <c r="H14" s="38"/>
      <c r="I14" s="83"/>
      <c r="J14" s="52"/>
      <c r="K14" s="351"/>
      <c r="L14" s="346"/>
      <c r="M14" s="9"/>
      <c r="N14" s="83"/>
      <c r="O14" s="346"/>
      <c r="P14" s="9"/>
      <c r="Q14" s="38"/>
      <c r="R14" s="83"/>
      <c r="S14" s="19"/>
    </row>
    <row r="15" spans="1:19" ht="14.1" customHeight="1" x14ac:dyDescent="0.2">
      <c r="A15" s="341" t="s">
        <v>86</v>
      </c>
      <c r="B15" s="351"/>
      <c r="C15" s="342">
        <f>+[3]Bemidji!$FK$19</f>
        <v>640</v>
      </c>
      <c r="D15" s="344">
        <f>+[3]Bemidji!$EW$19</f>
        <v>612</v>
      </c>
      <c r="E15" s="345">
        <f>(C15-D15)/D15</f>
        <v>4.5751633986928102E-2</v>
      </c>
      <c r="F15" s="342">
        <f>SUM([3]Bemidji!$EZ$19:$FK$19)</f>
        <v>6676</v>
      </c>
      <c r="G15" s="344">
        <f>+SUM([3]Bemidji!$EL$19:$EW$19)</f>
        <v>6010</v>
      </c>
      <c r="H15" s="343">
        <f t="shared" ref="H15" si="4">(F15-G15)/G15</f>
        <v>0.1108153078202995</v>
      </c>
      <c r="I15" s="345">
        <f>+F15/$F$24</f>
        <v>0.45126402595646886</v>
      </c>
      <c r="J15" s="341" t="s">
        <v>86</v>
      </c>
      <c r="K15" s="351"/>
      <c r="L15" s="559" t="s">
        <v>219</v>
      </c>
      <c r="M15" s="560"/>
      <c r="N15" s="560"/>
      <c r="O15" s="560"/>
      <c r="P15" s="560"/>
      <c r="Q15" s="560"/>
      <c r="R15" s="561"/>
      <c r="S15" s="19"/>
    </row>
    <row r="16" spans="1:19" ht="14.1" customHeight="1" x14ac:dyDescent="0.2">
      <c r="A16" s="52"/>
      <c r="B16" s="351"/>
      <c r="C16" s="342"/>
      <c r="D16" s="9"/>
      <c r="E16" s="83"/>
      <c r="F16" s="346"/>
      <c r="G16" s="9"/>
      <c r="H16" s="38"/>
      <c r="I16" s="83"/>
      <c r="J16" s="52"/>
      <c r="K16" s="351"/>
      <c r="L16" s="346"/>
      <c r="M16" s="9"/>
      <c r="N16" s="83"/>
      <c r="O16" s="346"/>
      <c r="P16" s="9"/>
      <c r="Q16" s="38"/>
      <c r="R16" s="83"/>
      <c r="S16" s="19"/>
    </row>
    <row r="17" spans="1:19" ht="14.1" customHeight="1" x14ac:dyDescent="0.2">
      <c r="A17" s="341" t="s">
        <v>87</v>
      </c>
      <c r="B17" s="351"/>
      <c r="C17" s="342">
        <f>+'[3]CSA Air'!$FK$19</f>
        <v>5</v>
      </c>
      <c r="D17" s="344">
        <f>+'[3]CSA Air'!$EW$19</f>
        <v>72</v>
      </c>
      <c r="E17" s="345">
        <f>(C17-D17)/D17</f>
        <v>-0.93055555555555558</v>
      </c>
      <c r="F17" s="342">
        <f>SUM('[3]CSA Air'!$EZ$19:$FK$19)</f>
        <v>233</v>
      </c>
      <c r="G17" s="344">
        <f>+SUM('[3]CSA Air'!$EL$19:$EW$19)</f>
        <v>558</v>
      </c>
      <c r="H17" s="343">
        <f t="shared" ref="H17" si="5">(F17-G17)/G17</f>
        <v>-0.58243727598566308</v>
      </c>
      <c r="I17" s="345">
        <f>+F17/$F$24</f>
        <v>1.5749628227659861E-2</v>
      </c>
      <c r="J17" s="341" t="s">
        <v>87</v>
      </c>
      <c r="K17" s="351"/>
      <c r="L17" s="342">
        <f>+'[3]CSA Air'!$FK$64</f>
        <v>9344</v>
      </c>
      <c r="M17" s="344">
        <f>+'[3]CSA Air'!$EW$64</f>
        <v>74205</v>
      </c>
      <c r="N17" s="345">
        <f>(L17-M17)/M17</f>
        <v>-0.87407856613435753</v>
      </c>
      <c r="O17" s="342">
        <f>SUM('[3]CSA Air'!$EZ$64:$FK$64)</f>
        <v>334628</v>
      </c>
      <c r="P17" s="344">
        <f>+SUM('[3]CSA Air'!$EL$64:$EW$64)</f>
        <v>778325</v>
      </c>
      <c r="Q17" s="343">
        <f t="shared" ref="Q17" si="6">(O17-P17)/P17</f>
        <v>-0.57006648893457101</v>
      </c>
      <c r="R17" s="345">
        <f>O17/$O$24</f>
        <v>9.5135979846006102E-4</v>
      </c>
      <c r="S17" s="19"/>
    </row>
    <row r="18" spans="1:19" ht="14.1" customHeight="1" x14ac:dyDescent="0.2">
      <c r="A18" s="52"/>
      <c r="B18" s="351"/>
      <c r="C18" s="342"/>
      <c r="D18" s="9"/>
      <c r="E18" s="83"/>
      <c r="F18" s="346"/>
      <c r="G18" s="9"/>
      <c r="H18" s="38"/>
      <c r="I18" s="83"/>
      <c r="J18" s="52"/>
      <c r="K18" s="351"/>
      <c r="L18" s="346"/>
      <c r="M18" s="9"/>
      <c r="N18" s="83"/>
      <c r="O18" s="346"/>
      <c r="P18" s="9"/>
      <c r="Q18" s="38"/>
      <c r="R18" s="83"/>
      <c r="S18" s="19"/>
    </row>
    <row r="19" spans="1:19" ht="14.1" customHeight="1" x14ac:dyDescent="0.2">
      <c r="A19" s="341" t="s">
        <v>88</v>
      </c>
      <c r="B19" s="354"/>
      <c r="C19" s="342">
        <f>+'[3]Mountain Cargo'!$FK$19</f>
        <v>40</v>
      </c>
      <c r="D19" s="344">
        <f>+'[3]Mountain Cargo'!$EW$19</f>
        <v>44</v>
      </c>
      <c r="E19" s="345">
        <f>(C19-D19)/D19</f>
        <v>-9.0909090909090912E-2</v>
      </c>
      <c r="F19" s="342">
        <f>SUM('[3]Mountain Cargo'!$EZ$19:$FK$19)</f>
        <v>498</v>
      </c>
      <c r="G19" s="344">
        <f>+SUM('[3]Mountain Cargo'!$EL$19:$EW$19)</f>
        <v>506</v>
      </c>
      <c r="H19" s="343">
        <f>(F19-G19)/G19</f>
        <v>-1.5810276679841896E-2</v>
      </c>
      <c r="I19" s="345">
        <f>+F19/$F$24</f>
        <v>3.3662295525212924E-2</v>
      </c>
      <c r="J19" s="341" t="s">
        <v>88</v>
      </c>
      <c r="K19" s="354"/>
      <c r="L19" s="342">
        <f>+'[3]Mountain Cargo'!$FK$64</f>
        <v>192493</v>
      </c>
      <c r="M19" s="344">
        <f>+'[3]Mountain Cargo'!$EW$64</f>
        <v>201118</v>
      </c>
      <c r="N19" s="345">
        <f>(L19-M19)/M19</f>
        <v>-4.2885271333247148E-2</v>
      </c>
      <c r="O19" s="342">
        <f>SUM('[3]Mountain Cargo'!$EZ$64:$FK$64)</f>
        <v>2190605</v>
      </c>
      <c r="P19" s="344">
        <f>+SUM('[3]Mountain Cargo'!$EL$64:$EW$64)</f>
        <v>2206323</v>
      </c>
      <c r="Q19" s="343">
        <f t="shared" ref="Q19" si="7">(O19-P19)/P19</f>
        <v>-7.1240702290643757E-3</v>
      </c>
      <c r="R19" s="345">
        <f>O19/$O$24</f>
        <v>6.2279711539548451E-3</v>
      </c>
      <c r="S19" s="408"/>
    </row>
    <row r="20" spans="1:19" ht="14.1" customHeight="1" x14ac:dyDescent="0.2">
      <c r="A20" s="52"/>
      <c r="B20" s="422"/>
      <c r="C20" s="342"/>
      <c r="D20" s="9"/>
      <c r="E20" s="83"/>
      <c r="F20" s="346"/>
      <c r="G20" s="9"/>
      <c r="H20" s="38"/>
      <c r="I20" s="83"/>
      <c r="J20" s="52"/>
      <c r="K20" s="422"/>
      <c r="L20" s="346"/>
      <c r="M20" s="9"/>
      <c r="N20" s="83"/>
      <c r="O20" s="346"/>
      <c r="P20" s="9"/>
      <c r="Q20" s="38"/>
      <c r="R20" s="83"/>
      <c r="S20" s="317"/>
    </row>
    <row r="21" spans="1:19" s="7" customFormat="1" ht="14.1" customHeight="1" x14ac:dyDescent="0.2">
      <c r="A21" s="341" t="s">
        <v>131</v>
      </c>
      <c r="B21" s="356"/>
      <c r="C21" s="342">
        <f>+'[3]Misc Cargo'!$FK$19</f>
        <v>82</v>
      </c>
      <c r="D21" s="344">
        <f>+'[3]Misc Cargo'!$EW$19</f>
        <v>44</v>
      </c>
      <c r="E21" s="345">
        <f>(C21-D21)/D21</f>
        <v>0.86363636363636365</v>
      </c>
      <c r="F21" s="342">
        <f>SUM('[3]Misc Cargo'!$EZ$19:$FK$19)</f>
        <v>590</v>
      </c>
      <c r="G21" s="344">
        <f>+SUM('[3]Misc Cargo'!$EL$19:$EW$19)</f>
        <v>533</v>
      </c>
      <c r="H21" s="343">
        <f>(F21-G21)/G21</f>
        <v>0.10694183864915573</v>
      </c>
      <c r="I21" s="345">
        <f>+F21/$F$24</f>
        <v>3.9881032851155872E-2</v>
      </c>
      <c r="J21" s="341" t="s">
        <v>131</v>
      </c>
      <c r="K21" s="356"/>
      <c r="L21" s="342">
        <f>+'[3]Misc Cargo'!$FK$64</f>
        <v>93789</v>
      </c>
      <c r="M21" s="344">
        <f>+'[3]Misc Cargo'!$EW$64</f>
        <v>88536</v>
      </c>
      <c r="N21" s="345">
        <f>(L21-M21)/M21</f>
        <v>5.9331797235023041E-2</v>
      </c>
      <c r="O21" s="342">
        <f>SUM('[3]Misc Cargo'!$EZ$64:$FK$64)</f>
        <v>1090782</v>
      </c>
      <c r="P21" s="344">
        <f>+SUM('[3]Misc Cargo'!$EL$64:$EW$64)</f>
        <v>924172</v>
      </c>
      <c r="Q21" s="343">
        <f>(O21-P21)/P21</f>
        <v>0.18028029414438004</v>
      </c>
      <c r="R21" s="345">
        <f>O21/$O$24</f>
        <v>3.1011336280402785E-3</v>
      </c>
      <c r="S21" s="467"/>
    </row>
    <row r="22" spans="1:19" s="7" customFormat="1" ht="14.1" customHeight="1" thickBot="1" x14ac:dyDescent="0.25">
      <c r="A22" s="468"/>
      <c r="B22" s="469"/>
      <c r="C22" s="470"/>
      <c r="D22" s="472"/>
      <c r="E22" s="473"/>
      <c r="F22" s="470"/>
      <c r="G22" s="472"/>
      <c r="H22" s="471"/>
      <c r="I22" s="473"/>
      <c r="J22" s="341"/>
      <c r="K22" s="356"/>
      <c r="L22" s="358"/>
      <c r="M22" s="362"/>
      <c r="N22" s="361"/>
      <c r="O22" s="358"/>
      <c r="P22" s="362"/>
      <c r="Q22" s="359"/>
      <c r="R22" s="469"/>
      <c r="S22" s="467"/>
    </row>
    <row r="23" spans="1:19" ht="13.5" thickBot="1" x14ac:dyDescent="0.25">
      <c r="B23" s="7"/>
      <c r="D23" s="220"/>
      <c r="E23" s="220"/>
      <c r="F23" s="4"/>
      <c r="G23" s="7"/>
      <c r="H23"/>
      <c r="I23"/>
      <c r="J23"/>
      <c r="K23"/>
      <c r="M23"/>
      <c r="N23"/>
    </row>
    <row r="24" spans="1:19" s="474" customFormat="1" ht="15.75" thickBot="1" x14ac:dyDescent="0.3">
      <c r="B24" s="475" t="s">
        <v>215</v>
      </c>
      <c r="C24" s="476">
        <f>+SUM(C5:C21)</f>
        <v>1509</v>
      </c>
      <c r="D24" s="477">
        <f>SUM(D5:D22)</f>
        <v>1613</v>
      </c>
      <c r="E24" s="478">
        <f>(C24-D24)/D24</f>
        <v>-6.4476131432114073E-2</v>
      </c>
      <c r="F24" s="476">
        <f>+SUM(F5:F21)</f>
        <v>14794</v>
      </c>
      <c r="G24" s="476">
        <f>+SUM(G5:G21)</f>
        <v>14400</v>
      </c>
      <c r="H24" s="479">
        <f>(F24-G24)/G24</f>
        <v>2.736111111111111E-2</v>
      </c>
      <c r="I24" s="495"/>
      <c r="K24" s="475" t="s">
        <v>215</v>
      </c>
      <c r="L24" s="476">
        <f>+SUM(L5:L21)</f>
        <v>33389679</v>
      </c>
      <c r="M24" s="480">
        <f>SUM(M5:M22)</f>
        <v>35237736</v>
      </c>
      <c r="N24" s="481">
        <f>(L24-M24)/M24</f>
        <v>-5.2445395470355982E-2</v>
      </c>
      <c r="O24" s="476">
        <f>+SUM(O5:O21)</f>
        <v>351736536</v>
      </c>
      <c r="P24" s="476">
        <f>+SUM(P5:P21)</f>
        <v>335351951</v>
      </c>
      <c r="Q24" s="479">
        <f t="shared" ref="Q24" si="8">(O24-P24)/P24</f>
        <v>4.8857878867685493E-2</v>
      </c>
      <c r="R24" s="495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6"/>
      <c r="F94" s="224"/>
      <c r="G94" s="5"/>
      <c r="H94" s="36"/>
      <c r="I94" s="36"/>
      <c r="K94" s="11"/>
    </row>
    <row r="95" spans="4:14" x14ac:dyDescent="0.2">
      <c r="E95" s="36"/>
      <c r="F95" s="224"/>
      <c r="G95" s="5"/>
      <c r="H95" s="36"/>
      <c r="I95" s="36"/>
      <c r="K95" s="11"/>
    </row>
    <row r="96" spans="4:14" x14ac:dyDescent="0.2">
      <c r="E96" s="36"/>
      <c r="F96" s="224"/>
      <c r="G96" s="5"/>
      <c r="H96" s="36"/>
      <c r="I96" s="36"/>
      <c r="K96" s="11"/>
    </row>
    <row r="97" spans="5:11" x14ac:dyDescent="0.2">
      <c r="E97" s="36"/>
      <c r="F97" s="224"/>
      <c r="G97" s="5"/>
      <c r="H97" s="36"/>
      <c r="I97" s="36"/>
      <c r="K97" s="11"/>
    </row>
    <row r="98" spans="5:11" x14ac:dyDescent="0.2">
      <c r="E98" s="36"/>
      <c r="F98" s="224"/>
      <c r="G98" s="5"/>
      <c r="H98" s="36"/>
      <c r="I98" s="36"/>
      <c r="K98" s="11"/>
    </row>
    <row r="99" spans="5:11" x14ac:dyDescent="0.2">
      <c r="E99" s="36"/>
      <c r="F99" s="224"/>
      <c r="G99" s="5"/>
      <c r="H99" s="36"/>
      <c r="I99" s="36"/>
      <c r="K99" s="11"/>
    </row>
    <row r="100" spans="5:11" x14ac:dyDescent="0.2">
      <c r="E100" s="36"/>
      <c r="F100" s="224"/>
      <c r="G100" s="5"/>
      <c r="H100" s="36"/>
      <c r="I100" s="36"/>
      <c r="K100" s="11"/>
    </row>
    <row r="101" spans="5:11" x14ac:dyDescent="0.2">
      <c r="E101" s="36"/>
      <c r="F101" s="224"/>
      <c r="G101" s="5"/>
      <c r="H101" s="36"/>
      <c r="I101" s="36"/>
      <c r="K101" s="11"/>
    </row>
    <row r="102" spans="5:11" x14ac:dyDescent="0.2">
      <c r="E102" s="36"/>
      <c r="F102" s="224"/>
      <c r="G102" s="5"/>
      <c r="H102" s="36"/>
      <c r="I102" s="36"/>
      <c r="K102" s="11"/>
    </row>
    <row r="103" spans="5:11" x14ac:dyDescent="0.2">
      <c r="E103" s="36"/>
      <c r="F103" s="224"/>
      <c r="G103" s="5"/>
      <c r="H103" s="36"/>
      <c r="I103" s="36"/>
      <c r="K103" s="11"/>
    </row>
    <row r="104" spans="5:11" x14ac:dyDescent="0.2">
      <c r="E104" s="36"/>
      <c r="F104" s="224"/>
      <c r="G104" s="5"/>
      <c r="H104" s="36"/>
      <c r="I104" s="36"/>
      <c r="K104" s="11"/>
    </row>
    <row r="105" spans="5:11" x14ac:dyDescent="0.2">
      <c r="E105" s="36"/>
      <c r="F105" s="224"/>
      <c r="G105" s="5"/>
      <c r="H105" s="36"/>
      <c r="I105" s="36"/>
      <c r="K105" s="11"/>
    </row>
    <row r="106" spans="5:11" x14ac:dyDescent="0.2">
      <c r="E106" s="36"/>
      <c r="F106" s="224"/>
      <c r="G106" s="5"/>
      <c r="H106" s="36"/>
      <c r="I106" s="36"/>
      <c r="K106" s="11"/>
    </row>
    <row r="107" spans="5:11" x14ac:dyDescent="0.2">
      <c r="E107" s="36"/>
      <c r="F107" s="224"/>
      <c r="G107" s="5"/>
      <c r="H107" s="36"/>
      <c r="I107" s="36"/>
      <c r="K107" s="11"/>
    </row>
    <row r="108" spans="5:11" x14ac:dyDescent="0.2">
      <c r="E108" s="36"/>
      <c r="F108" s="224"/>
      <c r="G108" s="5"/>
      <c r="H108" s="36"/>
      <c r="I108" s="36"/>
      <c r="K108" s="11"/>
    </row>
    <row r="109" spans="5:11" x14ac:dyDescent="0.2">
      <c r="E109" s="36"/>
      <c r="F109" s="224"/>
      <c r="G109" s="5"/>
      <c r="H109" s="36"/>
      <c r="I109" s="36"/>
      <c r="K109" s="11"/>
    </row>
    <row r="110" spans="5:11" x14ac:dyDescent="0.2">
      <c r="E110" s="36"/>
      <c r="F110" s="224"/>
      <c r="G110" s="5"/>
      <c r="H110" s="36"/>
      <c r="I110" s="36"/>
      <c r="K110" s="11"/>
    </row>
    <row r="111" spans="5:11" x14ac:dyDescent="0.2">
      <c r="E111" s="36"/>
      <c r="F111" s="224"/>
      <c r="G111" s="5"/>
      <c r="H111" s="36"/>
      <c r="I111" s="36"/>
      <c r="K111" s="11"/>
    </row>
    <row r="112" spans="5:11" x14ac:dyDescent="0.2">
      <c r="E112" s="36"/>
      <c r="F112" s="224"/>
      <c r="G112" s="5"/>
      <c r="H112" s="36"/>
      <c r="I112" s="36"/>
      <c r="K112" s="11"/>
    </row>
    <row r="113" spans="5:11" x14ac:dyDescent="0.2">
      <c r="E113" s="36"/>
      <c r="F113" s="224"/>
      <c r="G113" s="5"/>
      <c r="H113" s="36"/>
      <c r="I113" s="36"/>
      <c r="K113" s="11"/>
    </row>
    <row r="114" spans="5:11" x14ac:dyDescent="0.2">
      <c r="E114" s="36"/>
      <c r="F114" s="224"/>
      <c r="G114" s="5"/>
      <c r="H114" s="36"/>
      <c r="I114" s="36"/>
      <c r="K114" s="11"/>
    </row>
    <row r="115" spans="5:11" x14ac:dyDescent="0.2">
      <c r="E115" s="36"/>
      <c r="F115" s="224"/>
      <c r="G115" s="5"/>
      <c r="H115" s="36"/>
      <c r="I115" s="36"/>
      <c r="K115" s="11"/>
    </row>
    <row r="116" spans="5:11" x14ac:dyDescent="0.2">
      <c r="E116" s="36"/>
      <c r="F116" s="224"/>
      <c r="G116" s="5"/>
      <c r="H116" s="36"/>
      <c r="I116" s="36"/>
      <c r="K116" s="11"/>
    </row>
    <row r="117" spans="5:11" x14ac:dyDescent="0.2">
      <c r="E117" s="36"/>
      <c r="F117" s="224"/>
      <c r="G117" s="5"/>
      <c r="H117" s="36"/>
      <c r="I117" s="36"/>
      <c r="K117" s="11"/>
    </row>
    <row r="118" spans="5:11" x14ac:dyDescent="0.2">
      <c r="E118" s="36"/>
      <c r="F118" s="224"/>
      <c r="G118" s="5"/>
      <c r="H118" s="36"/>
      <c r="I118" s="36"/>
      <c r="K118" s="11"/>
    </row>
    <row r="119" spans="5:11" x14ac:dyDescent="0.2">
      <c r="E119" s="36"/>
      <c r="F119" s="224"/>
      <c r="G119" s="5"/>
      <c r="H119" s="36"/>
      <c r="I119" s="36"/>
      <c r="K119" s="11"/>
    </row>
    <row r="120" spans="5:11" x14ac:dyDescent="0.2">
      <c r="E120" s="36"/>
      <c r="F120" s="224"/>
      <c r="G120" s="5"/>
      <c r="H120" s="36"/>
      <c r="I120" s="36"/>
      <c r="K120" s="11"/>
    </row>
    <row r="121" spans="5:11" x14ac:dyDescent="0.2">
      <c r="E121" s="36"/>
      <c r="F121" s="224"/>
      <c r="G121" s="5"/>
      <c r="H121" s="36"/>
      <c r="I121" s="36"/>
      <c r="K121" s="11"/>
    </row>
    <row r="122" spans="5:11" x14ac:dyDescent="0.2">
      <c r="E122" s="36"/>
      <c r="F122" s="224"/>
      <c r="G122" s="5"/>
      <c r="H122" s="36"/>
      <c r="I122" s="36"/>
      <c r="K122" s="11"/>
    </row>
    <row r="123" spans="5:11" x14ac:dyDescent="0.2">
      <c r="E123" s="36"/>
      <c r="F123" s="224"/>
      <c r="G123" s="5"/>
      <c r="H123" s="36"/>
      <c r="I123" s="36"/>
      <c r="K123" s="11"/>
    </row>
    <row r="124" spans="5:11" x14ac:dyDescent="0.2">
      <c r="E124" s="36"/>
      <c r="F124" s="224"/>
      <c r="G124" s="5"/>
      <c r="H124" s="36"/>
      <c r="I124" s="36"/>
      <c r="K124" s="11"/>
    </row>
    <row r="125" spans="5:11" x14ac:dyDescent="0.2">
      <c r="E125" s="36"/>
      <c r="F125" s="224"/>
      <c r="G125" s="5"/>
      <c r="H125" s="36"/>
      <c r="I125" s="36"/>
      <c r="K125" s="11"/>
    </row>
    <row r="126" spans="5:11" x14ac:dyDescent="0.2">
      <c r="E126" s="36"/>
      <c r="F126" s="224"/>
      <c r="G126" s="5"/>
      <c r="H126" s="36"/>
      <c r="I126" s="36"/>
      <c r="K126" s="11"/>
    </row>
    <row r="127" spans="5:11" x14ac:dyDescent="0.2">
      <c r="E127" s="36"/>
      <c r="F127" s="224"/>
      <c r="G127" s="5"/>
      <c r="H127" s="36"/>
      <c r="I127" s="36"/>
      <c r="K127" s="11"/>
    </row>
    <row r="128" spans="5:11" x14ac:dyDescent="0.2">
      <c r="E128" s="36"/>
      <c r="F128" s="224"/>
      <c r="G128" s="5"/>
      <c r="H128" s="36"/>
      <c r="I128" s="36"/>
      <c r="K128" s="11"/>
    </row>
    <row r="129" spans="5:11" x14ac:dyDescent="0.2">
      <c r="E129" s="36"/>
      <c r="F129" s="224"/>
      <c r="G129" s="5"/>
      <c r="H129" s="36"/>
      <c r="I129" s="36"/>
      <c r="K129" s="11"/>
    </row>
    <row r="130" spans="5:11" x14ac:dyDescent="0.2">
      <c r="E130" s="36"/>
      <c r="F130" s="224"/>
      <c r="G130" s="5"/>
      <c r="H130" s="36"/>
      <c r="I130" s="36"/>
      <c r="K130" s="11"/>
    </row>
    <row r="131" spans="5:11" x14ac:dyDescent="0.2">
      <c r="E131" s="36"/>
      <c r="F131" s="224"/>
      <c r="G131" s="5"/>
      <c r="H131" s="36"/>
      <c r="I131" s="36"/>
      <c r="K131" s="11"/>
    </row>
    <row r="132" spans="5:11" x14ac:dyDescent="0.2">
      <c r="E132" s="36"/>
      <c r="F132" s="224"/>
      <c r="G132" s="5"/>
      <c r="H132" s="36"/>
      <c r="I132" s="36"/>
      <c r="K132" s="11"/>
    </row>
    <row r="133" spans="5:11" x14ac:dyDescent="0.2">
      <c r="E133" s="36"/>
      <c r="F133" s="224"/>
      <c r="G133" s="5"/>
      <c r="H133" s="36"/>
      <c r="I133" s="36"/>
      <c r="K133" s="11"/>
    </row>
    <row r="134" spans="5:11" x14ac:dyDescent="0.2">
      <c r="E134" s="36"/>
      <c r="F134" s="224"/>
      <c r="G134" s="5"/>
      <c r="H134" s="36"/>
      <c r="I134" s="36"/>
      <c r="K134" s="11"/>
    </row>
    <row r="135" spans="5:11" x14ac:dyDescent="0.2">
      <c r="E135" s="36"/>
      <c r="F135" s="224"/>
      <c r="G135" s="5"/>
      <c r="H135" s="36"/>
      <c r="I135" s="36"/>
      <c r="K135" s="11"/>
    </row>
    <row r="136" spans="5:11" x14ac:dyDescent="0.2">
      <c r="E136" s="36"/>
      <c r="F136" s="224"/>
      <c r="G136" s="5"/>
      <c r="H136" s="36"/>
      <c r="I136" s="36"/>
      <c r="K136" s="11"/>
    </row>
    <row r="137" spans="5:11" x14ac:dyDescent="0.2">
      <c r="E137" s="36"/>
      <c r="F137" s="224"/>
      <c r="G137" s="5"/>
      <c r="H137" s="36"/>
      <c r="I137" s="36"/>
      <c r="K137" s="11"/>
    </row>
    <row r="138" spans="5:11" x14ac:dyDescent="0.2">
      <c r="E138" s="36"/>
      <c r="F138" s="224"/>
      <c r="G138" s="5"/>
      <c r="H138" s="36"/>
      <c r="I138" s="36"/>
      <c r="K138" s="11"/>
    </row>
    <row r="139" spans="5:11" x14ac:dyDescent="0.2">
      <c r="E139" s="36"/>
      <c r="F139" s="224"/>
      <c r="G139" s="5"/>
      <c r="H139" s="36"/>
      <c r="I139" s="36"/>
      <c r="K139" s="11"/>
    </row>
    <row r="140" spans="5:11" x14ac:dyDescent="0.2">
      <c r="E140" s="36"/>
      <c r="F140" s="224"/>
      <c r="G140" s="5"/>
      <c r="H140" s="36"/>
      <c r="I140" s="36"/>
      <c r="K140" s="11"/>
    </row>
    <row r="141" spans="5:11" x14ac:dyDescent="0.2">
      <c r="E141" s="36"/>
      <c r="F141" s="224"/>
      <c r="G141" s="5"/>
      <c r="H141" s="36"/>
      <c r="I141" s="36"/>
      <c r="K141" s="11"/>
    </row>
    <row r="142" spans="5:11" x14ac:dyDescent="0.2">
      <c r="E142" s="36"/>
      <c r="F142" s="224"/>
      <c r="G142" s="5"/>
      <c r="H142" s="36"/>
      <c r="I142" s="36"/>
      <c r="K142" s="11"/>
    </row>
    <row r="143" spans="5:11" x14ac:dyDescent="0.2">
      <c r="E143" s="36"/>
      <c r="F143" s="224"/>
      <c r="G143" s="5"/>
      <c r="H143" s="36"/>
      <c r="I143" s="36"/>
      <c r="K143" s="11"/>
    </row>
    <row r="144" spans="5:11" x14ac:dyDescent="0.2">
      <c r="E144" s="36"/>
      <c r="F144" s="224"/>
      <c r="G144" s="5"/>
      <c r="H144" s="36"/>
      <c r="I144" s="36"/>
      <c r="K144" s="11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F1147" s="224"/>
      <c r="G1147" s="5"/>
      <c r="H1147" s="36"/>
      <c r="I1147" s="36"/>
      <c r="K1147" s="11"/>
    </row>
    <row r="1148" spans="5:11" x14ac:dyDescent="0.2">
      <c r="F1148" s="224"/>
      <c r="G1148" s="5"/>
      <c r="H1148" s="36"/>
      <c r="I1148" s="36"/>
      <c r="K1148" s="11"/>
    </row>
    <row r="1149" spans="5:11" x14ac:dyDescent="0.2">
      <c r="F1149" s="224"/>
      <c r="G1149" s="5"/>
      <c r="H1149" s="36"/>
      <c r="I1149" s="36"/>
      <c r="K1149" s="11"/>
    </row>
    <row r="1150" spans="5:11" x14ac:dyDescent="0.2">
      <c r="F1150" s="224"/>
      <c r="G1150" s="5"/>
      <c r="H1150" s="36"/>
      <c r="I1150" s="36"/>
      <c r="K1150" s="11"/>
    </row>
    <row r="1151" spans="5:11" x14ac:dyDescent="0.2">
      <c r="F1151" s="224"/>
      <c r="G1151" s="5"/>
      <c r="H1151" s="36"/>
      <c r="I1151" s="36"/>
      <c r="K1151" s="11"/>
    </row>
    <row r="1152" spans="5:11" x14ac:dyDescent="0.2">
      <c r="F1152" s="224"/>
      <c r="G1152" s="5"/>
      <c r="H1152" s="36"/>
      <c r="I1152" s="36"/>
      <c r="K1152" s="11"/>
    </row>
    <row r="1153" spans="6:11" x14ac:dyDescent="0.2">
      <c r="F1153" s="224"/>
      <c r="G1153" s="5"/>
      <c r="H1153" s="36"/>
      <c r="I1153" s="36"/>
      <c r="K1153" s="11"/>
    </row>
    <row r="1154" spans="6:11" x14ac:dyDescent="0.2">
      <c r="F1154" s="224"/>
      <c r="G1154" s="5"/>
      <c r="H1154" s="36"/>
      <c r="I1154" s="36"/>
      <c r="K1154" s="11"/>
    </row>
    <row r="1155" spans="6:11" x14ac:dyDescent="0.2">
      <c r="F1155" s="224"/>
      <c r="G1155" s="5"/>
      <c r="H1155" s="36"/>
      <c r="I1155" s="36"/>
      <c r="K1155" s="11"/>
    </row>
    <row r="1156" spans="6:11" x14ac:dyDescent="0.2">
      <c r="F1156" s="224"/>
      <c r="G1156" s="5"/>
      <c r="H1156" s="36"/>
      <c r="I1156" s="36"/>
      <c r="K1156" s="11"/>
    </row>
    <row r="1157" spans="6:11" x14ac:dyDescent="0.2">
      <c r="F1157" s="224"/>
      <c r="G1157" s="5"/>
      <c r="H1157" s="36"/>
      <c r="I1157" s="36"/>
      <c r="K1157" s="11"/>
    </row>
    <row r="1158" spans="6:11" x14ac:dyDescent="0.2">
      <c r="F1158" s="224"/>
      <c r="G1158" s="5"/>
      <c r="H1158" s="36"/>
      <c r="I1158" s="36"/>
      <c r="K1158" s="11"/>
    </row>
    <row r="1159" spans="6:11" x14ac:dyDescent="0.2">
      <c r="F1159" s="224"/>
      <c r="G1159" s="5"/>
      <c r="H1159" s="36"/>
      <c r="I1159" s="36"/>
      <c r="K1159" s="11"/>
    </row>
    <row r="1160" spans="6:11" x14ac:dyDescent="0.2">
      <c r="F1160" s="224"/>
      <c r="G1160" s="5"/>
      <c r="H1160" s="36"/>
      <c r="I1160" s="36"/>
      <c r="K1160" s="11"/>
    </row>
    <row r="1161" spans="6:11" x14ac:dyDescent="0.2">
      <c r="F1161" s="224"/>
      <c r="G1161" s="5"/>
      <c r="H1161" s="36"/>
      <c r="I1161" s="36"/>
      <c r="K1161" s="11"/>
    </row>
    <row r="1162" spans="6:11" x14ac:dyDescent="0.2">
      <c r="F1162" s="224"/>
      <c r="G1162" s="5"/>
      <c r="H1162" s="36"/>
      <c r="I1162" s="36"/>
      <c r="K1162" s="11"/>
    </row>
    <row r="1163" spans="6:11" x14ac:dyDescent="0.2">
      <c r="F1163" s="224"/>
      <c r="G1163" s="5"/>
      <c r="H1163" s="36"/>
      <c r="I1163" s="36"/>
      <c r="K1163" s="11"/>
    </row>
    <row r="1164" spans="6:11" x14ac:dyDescent="0.2">
      <c r="F1164" s="224"/>
      <c r="G1164" s="5"/>
      <c r="H1164" s="36"/>
      <c r="I1164" s="36"/>
      <c r="K1164" s="11"/>
    </row>
    <row r="1165" spans="6:11" x14ac:dyDescent="0.2">
      <c r="F1165" s="224"/>
      <c r="G1165" s="5"/>
      <c r="H1165" s="36"/>
      <c r="I1165" s="36"/>
      <c r="K1165" s="11"/>
    </row>
    <row r="1166" spans="6:11" x14ac:dyDescent="0.2">
      <c r="F1166" s="224"/>
      <c r="G1166" s="5"/>
      <c r="H1166" s="36"/>
      <c r="I1166" s="36"/>
      <c r="K1166" s="11"/>
    </row>
    <row r="1167" spans="6:11" x14ac:dyDescent="0.2">
      <c r="F1167" s="224"/>
      <c r="G1167" s="5"/>
      <c r="H1167" s="36"/>
      <c r="I1167" s="36"/>
      <c r="K1167" s="11"/>
    </row>
    <row r="1168" spans="6:11" x14ac:dyDescent="0.2">
      <c r="F1168" s="224"/>
      <c r="G1168" s="5"/>
      <c r="H1168" s="36"/>
      <c r="I1168" s="36"/>
      <c r="K1168" s="11"/>
    </row>
    <row r="1169" spans="6:11" x14ac:dyDescent="0.2">
      <c r="F1169" s="224"/>
      <c r="G1169" s="5"/>
      <c r="H1169" s="36"/>
      <c r="I1169" s="36"/>
      <c r="K1169" s="11"/>
    </row>
    <row r="1170" spans="6:11" x14ac:dyDescent="0.2">
      <c r="F1170" s="224"/>
      <c r="G1170" s="5"/>
      <c r="H1170" s="36"/>
      <c r="I1170" s="36"/>
      <c r="K1170" s="11"/>
    </row>
    <row r="1171" spans="6:11" x14ac:dyDescent="0.2">
      <c r="F1171" s="224"/>
      <c r="G1171" s="5"/>
      <c r="H1171" s="36"/>
      <c r="I1171" s="36"/>
      <c r="K1171" s="11"/>
    </row>
    <row r="1172" spans="6:11" x14ac:dyDescent="0.2">
      <c r="F1172" s="224"/>
      <c r="G1172" s="5"/>
      <c r="H1172" s="36"/>
      <c r="I1172" s="36"/>
      <c r="K1172" s="11"/>
    </row>
    <row r="1173" spans="6:11" x14ac:dyDescent="0.2">
      <c r="F1173" s="224"/>
      <c r="G1173" s="5"/>
      <c r="H1173" s="36"/>
      <c r="I1173" s="36"/>
      <c r="K1173" s="11"/>
    </row>
    <row r="1174" spans="6:11" x14ac:dyDescent="0.2">
      <c r="F1174" s="224"/>
      <c r="G1174" s="5"/>
      <c r="H1174" s="36"/>
      <c r="I1174" s="36"/>
      <c r="K1174" s="11"/>
    </row>
    <row r="1175" spans="6:11" x14ac:dyDescent="0.2">
      <c r="F1175" s="224"/>
      <c r="G1175" s="5"/>
      <c r="H1175" s="36"/>
      <c r="I1175" s="36"/>
      <c r="K1175" s="11"/>
    </row>
    <row r="1176" spans="6:11" x14ac:dyDescent="0.2">
      <c r="F1176" s="224"/>
      <c r="G1176" s="5"/>
      <c r="H1176" s="36"/>
      <c r="I1176" s="36"/>
      <c r="K1176" s="11"/>
    </row>
    <row r="1177" spans="6:11" x14ac:dyDescent="0.2">
      <c r="F1177" s="224"/>
      <c r="G1177" s="5"/>
      <c r="H1177" s="36"/>
      <c r="I1177" s="36"/>
      <c r="K1177" s="11"/>
    </row>
    <row r="1178" spans="6:11" x14ac:dyDescent="0.2">
      <c r="F1178" s="224"/>
      <c r="G1178" s="5"/>
      <c r="H1178" s="36"/>
      <c r="I1178" s="36"/>
      <c r="K1178" s="11"/>
    </row>
    <row r="1179" spans="6:11" x14ac:dyDescent="0.2">
      <c r="F1179" s="224"/>
      <c r="G1179" s="5"/>
      <c r="H1179" s="36"/>
      <c r="I1179" s="36"/>
      <c r="K1179" s="11"/>
    </row>
    <row r="1180" spans="6:11" x14ac:dyDescent="0.2">
      <c r="F1180" s="224"/>
      <c r="G1180" s="5"/>
      <c r="H1180" s="36"/>
      <c r="I1180" s="36"/>
      <c r="K1180" s="11"/>
    </row>
    <row r="1181" spans="6:11" x14ac:dyDescent="0.2">
      <c r="F1181" s="224"/>
      <c r="G1181" s="5"/>
      <c r="H1181" s="36"/>
      <c r="I1181" s="36"/>
      <c r="K1181" s="11"/>
    </row>
    <row r="1182" spans="6:11" x14ac:dyDescent="0.2">
      <c r="F1182" s="224"/>
      <c r="G1182" s="5"/>
      <c r="H1182" s="36"/>
      <c r="I1182" s="36"/>
      <c r="K1182" s="11"/>
    </row>
    <row r="1183" spans="6:11" x14ac:dyDescent="0.2">
      <c r="F1183" s="224"/>
      <c r="G1183" s="5"/>
      <c r="H1183" s="36"/>
      <c r="I1183" s="36"/>
      <c r="K1183" s="11"/>
    </row>
    <row r="1184" spans="6:11" x14ac:dyDescent="0.2">
      <c r="F1184" s="224"/>
      <c r="G1184" s="5"/>
      <c r="H1184" s="36"/>
      <c r="I1184" s="36"/>
      <c r="K1184" s="11"/>
    </row>
    <row r="1185" spans="6:11" x14ac:dyDescent="0.2">
      <c r="F1185" s="224"/>
      <c r="G1185" s="5"/>
      <c r="H1185" s="36"/>
      <c r="I1185" s="36"/>
      <c r="K1185" s="11"/>
    </row>
    <row r="1186" spans="6:11" x14ac:dyDescent="0.2">
      <c r="F1186" s="224"/>
      <c r="G1186" s="5"/>
      <c r="H1186" s="36"/>
      <c r="I1186" s="36"/>
      <c r="K1186" s="11"/>
    </row>
    <row r="1187" spans="6:11" x14ac:dyDescent="0.2">
      <c r="F1187" s="224"/>
      <c r="G1187" s="5"/>
      <c r="H1187" s="36"/>
      <c r="I1187" s="36"/>
      <c r="K1187" s="11"/>
    </row>
    <row r="1188" spans="6:11" x14ac:dyDescent="0.2">
      <c r="F1188" s="224"/>
      <c r="G1188" s="5"/>
      <c r="H1188" s="36"/>
      <c r="I1188" s="36"/>
      <c r="K1188" s="11"/>
    </row>
    <row r="1189" spans="6:11" x14ac:dyDescent="0.2">
      <c r="F1189" s="224"/>
      <c r="G1189" s="5"/>
      <c r="H1189" s="36"/>
      <c r="I1189" s="36"/>
      <c r="K1189" s="11"/>
    </row>
    <row r="1190" spans="6:11" x14ac:dyDescent="0.2">
      <c r="F1190" s="224"/>
      <c r="G1190" s="5"/>
      <c r="H1190" s="36"/>
      <c r="I1190" s="36"/>
      <c r="K1190" s="11"/>
    </row>
    <row r="1191" spans="6:11" x14ac:dyDescent="0.2">
      <c r="F1191" s="224"/>
      <c r="G1191" s="5"/>
      <c r="H1191" s="36"/>
      <c r="I1191" s="36"/>
      <c r="K1191" s="11"/>
    </row>
    <row r="1192" spans="6:11" x14ac:dyDescent="0.2">
      <c r="F1192" s="224"/>
      <c r="G1192" s="5"/>
      <c r="H1192" s="36"/>
      <c r="I1192" s="36"/>
      <c r="K1192" s="11"/>
    </row>
    <row r="1193" spans="6:11" x14ac:dyDescent="0.2">
      <c r="F1193" s="224"/>
      <c r="G1193" s="5"/>
      <c r="H1193" s="36"/>
      <c r="I1193" s="36"/>
      <c r="K1193" s="11"/>
    </row>
    <row r="1194" spans="6:11" x14ac:dyDescent="0.2">
      <c r="F1194" s="224"/>
      <c r="G1194" s="5"/>
      <c r="H1194" s="36"/>
      <c r="I1194" s="36"/>
      <c r="K1194" s="11"/>
    </row>
    <row r="1195" spans="6:11" x14ac:dyDescent="0.2">
      <c r="F1195" s="224"/>
      <c r="G1195" s="5"/>
      <c r="H1195" s="36"/>
      <c r="I1195" s="36"/>
      <c r="K1195" s="11"/>
    </row>
    <row r="1196" spans="6:11" x14ac:dyDescent="0.2">
      <c r="F1196" s="224"/>
      <c r="G1196" s="5"/>
      <c r="H1196" s="36"/>
      <c r="I1196" s="36"/>
      <c r="K1196" s="11"/>
    </row>
    <row r="1197" spans="6:11" x14ac:dyDescent="0.2">
      <c r="F1197" s="224"/>
      <c r="G1197" s="5"/>
      <c r="H1197" s="36"/>
      <c r="I1197" s="36"/>
      <c r="K1197" s="11"/>
    </row>
    <row r="1198" spans="6:11" x14ac:dyDescent="0.2">
      <c r="F1198" s="224"/>
      <c r="G1198" s="5"/>
      <c r="H1198" s="36"/>
      <c r="I1198" s="36"/>
      <c r="K1198" s="11"/>
    </row>
    <row r="1199" spans="6:11" x14ac:dyDescent="0.2">
      <c r="F1199" s="224"/>
      <c r="G1199" s="5"/>
      <c r="H1199" s="36"/>
      <c r="I1199" s="36"/>
      <c r="K1199" s="11"/>
    </row>
    <row r="1200" spans="6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December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zoomScaleSheetLayoutView="100" workbookViewId="0">
      <selection activeCell="L5" sqref="L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72">
        <v>43070</v>
      </c>
      <c r="B1" s="12" t="s">
        <v>18</v>
      </c>
      <c r="C1" s="531" t="s">
        <v>51</v>
      </c>
      <c r="D1" s="523" t="s">
        <v>163</v>
      </c>
      <c r="E1" s="262" t="s">
        <v>170</v>
      </c>
      <c r="F1" s="262" t="s">
        <v>171</v>
      </c>
      <c r="G1" s="262" t="s">
        <v>169</v>
      </c>
      <c r="H1" s="262" t="s">
        <v>49</v>
      </c>
      <c r="I1" s="262" t="s">
        <v>117</v>
      </c>
      <c r="J1" s="262" t="s">
        <v>222</v>
      </c>
      <c r="K1" s="262" t="s">
        <v>230</v>
      </c>
      <c r="L1" s="262" t="s">
        <v>226</v>
      </c>
      <c r="M1" s="262" t="s">
        <v>168</v>
      </c>
      <c r="N1" s="262" t="s">
        <v>162</v>
      </c>
      <c r="O1" s="262" t="s">
        <v>143</v>
      </c>
      <c r="P1" s="262" t="s">
        <v>21</v>
      </c>
    </row>
    <row r="2" spans="1:16" ht="16.5" thickTop="1" thickBot="1" x14ac:dyDescent="0.3">
      <c r="A2" s="569" t="s">
        <v>144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1"/>
    </row>
    <row r="3" spans="1:16" ht="13.5" thickTop="1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3"/>
    </row>
    <row r="4" spans="1:16" x14ac:dyDescent="0.2">
      <c r="A4" s="59" t="s">
        <v>30</v>
      </c>
      <c r="B4" s="20">
        <f>[3]Delta!$FK$32</f>
        <v>60180</v>
      </c>
      <c r="C4" s="20">
        <f>'[3]Atlantic Southeast'!$FK$32</f>
        <v>0</v>
      </c>
      <c r="D4" s="20">
        <f>[3]Pinnacle!$FK$32</f>
        <v>4901</v>
      </c>
      <c r="E4" s="20">
        <f>[3]Compass!$FK$32</f>
        <v>0</v>
      </c>
      <c r="F4" s="20">
        <f>'[3]Sky West'!$FK$32</f>
        <v>13476</v>
      </c>
      <c r="G4" s="20">
        <f>'[3]Go Jet'!$FK$32</f>
        <v>1288</v>
      </c>
      <c r="H4" s="20">
        <f>'[3]Sun Country'!$FK$32</f>
        <v>9590</v>
      </c>
      <c r="I4" s="20">
        <f>[3]Icelandair!$FK$32</f>
        <v>2133</v>
      </c>
      <c r="J4" s="20">
        <f>[3]KLM!$FK$32</f>
        <v>2820</v>
      </c>
      <c r="K4" s="20">
        <f>'[3]Air Georgian'!$FK$32</f>
        <v>0</v>
      </c>
      <c r="L4" s="20">
        <f>'[3]Sky Regional'!$FK$32</f>
        <v>4230</v>
      </c>
      <c r="M4" s="20">
        <f>[3]Condor!$FK$32</f>
        <v>0</v>
      </c>
      <c r="N4" s="20">
        <f>'[3]Air France'!$FK$32</f>
        <v>0</v>
      </c>
      <c r="O4" s="20">
        <f>'[3]Charter Misc'!$FK$32+[3]Ryan!$FK$32+[3]Omni!$FK$32</f>
        <v>0</v>
      </c>
      <c r="P4" s="270">
        <f>SUM(B4:O4)</f>
        <v>98618</v>
      </c>
    </row>
    <row r="5" spans="1:16" x14ac:dyDescent="0.2">
      <c r="A5" s="59" t="s">
        <v>31</v>
      </c>
      <c r="B5" s="14">
        <f>[3]Delta!$FK$33</f>
        <v>68494</v>
      </c>
      <c r="C5" s="14">
        <f>'[3]Atlantic Southeast'!$FK$33</f>
        <v>0</v>
      </c>
      <c r="D5" s="14">
        <f>[3]Pinnacle!$FK$33</f>
        <v>4890</v>
      </c>
      <c r="E5" s="14">
        <f>[3]Compass!$FK$33</f>
        <v>0</v>
      </c>
      <c r="F5" s="14">
        <f>'[3]Sky West'!$FK$33</f>
        <v>13245</v>
      </c>
      <c r="G5" s="14">
        <f>'[3]Go Jet'!$FK$33</f>
        <v>1191</v>
      </c>
      <c r="H5" s="14">
        <f>'[3]Sun Country'!$FK$33</f>
        <v>14031</v>
      </c>
      <c r="I5" s="14">
        <f>[3]Icelandair!$FK$33</f>
        <v>2333</v>
      </c>
      <c r="J5" s="14">
        <f>[3]KLM!$FK$33</f>
        <v>2948</v>
      </c>
      <c r="K5" s="14">
        <f>'[3]Air Georgian'!$FK$33</f>
        <v>0</v>
      </c>
      <c r="L5" s="14">
        <f>'[3]Sky Regional'!$FK$33</f>
        <v>4021</v>
      </c>
      <c r="M5" s="14">
        <f>[3]Condor!$FK$33</f>
        <v>0</v>
      </c>
      <c r="N5" s="14">
        <f>'[3]Air France'!$FK$33</f>
        <v>0</v>
      </c>
      <c r="O5" s="14">
        <f>'[3]Charter Misc'!$FK$33++[3]Ryan!$FK$33+[3]Omni!$FK$33</f>
        <v>0</v>
      </c>
      <c r="P5" s="271">
        <f>SUM(B5:O5)</f>
        <v>111153</v>
      </c>
    </row>
    <row r="6" spans="1:16" ht="15" x14ac:dyDescent="0.25">
      <c r="A6" s="57" t="s">
        <v>7</v>
      </c>
      <c r="B6" s="33">
        <f t="shared" ref="B6:O6" si="0">SUM(B4:B5)</f>
        <v>128674</v>
      </c>
      <c r="C6" s="33">
        <f t="shared" si="0"/>
        <v>0</v>
      </c>
      <c r="D6" s="33">
        <f t="shared" si="0"/>
        <v>9791</v>
      </c>
      <c r="E6" s="33">
        <f t="shared" si="0"/>
        <v>0</v>
      </c>
      <c r="F6" s="33">
        <f t="shared" si="0"/>
        <v>26721</v>
      </c>
      <c r="G6" s="33">
        <f t="shared" ref="G6" si="1">SUM(G4:G5)</f>
        <v>2479</v>
      </c>
      <c r="H6" s="33">
        <f t="shared" si="0"/>
        <v>23621</v>
      </c>
      <c r="I6" s="33">
        <f t="shared" si="0"/>
        <v>4466</v>
      </c>
      <c r="J6" s="33">
        <f t="shared" ref="J6:M6" si="2">SUM(J4:J5)</f>
        <v>5768</v>
      </c>
      <c r="K6" s="33">
        <f t="shared" si="0"/>
        <v>0</v>
      </c>
      <c r="L6" s="33">
        <f t="shared" si="0"/>
        <v>8251</v>
      </c>
      <c r="M6" s="33">
        <f t="shared" si="2"/>
        <v>0</v>
      </c>
      <c r="N6" s="33">
        <f t="shared" si="0"/>
        <v>0</v>
      </c>
      <c r="O6" s="33">
        <f t="shared" si="0"/>
        <v>0</v>
      </c>
      <c r="P6" s="272">
        <f>SUM(B6:O6)</f>
        <v>209771</v>
      </c>
    </row>
    <row r="7" spans="1:16" x14ac:dyDescent="0.2">
      <c r="A7" s="5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70"/>
    </row>
    <row r="8" spans="1:16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70">
        <f>SUM(B8:O8)</f>
        <v>0</v>
      </c>
    </row>
    <row r="9" spans="1:16" x14ac:dyDescent="0.2">
      <c r="A9" s="59" t="s">
        <v>30</v>
      </c>
      <c r="B9" s="20">
        <f>[3]Delta!$FK$37</f>
        <v>1761</v>
      </c>
      <c r="C9" s="20">
        <f>'[3]Atlantic Southeast'!$FK$37</f>
        <v>0</v>
      </c>
      <c r="D9" s="20">
        <f>[3]Pinnacle!$FK$37</f>
        <v>69</v>
      </c>
      <c r="E9" s="20">
        <f>[3]Compass!$FK$37</f>
        <v>0</v>
      </c>
      <c r="F9" s="20">
        <f>'[3]Sky West'!$FK$37</f>
        <v>107</v>
      </c>
      <c r="G9" s="20">
        <f>'[3]Go Jet'!$FK$37</f>
        <v>29</v>
      </c>
      <c r="H9" s="20">
        <f>'[3]Sun Country'!$FK$37</f>
        <v>65</v>
      </c>
      <c r="I9" s="20">
        <f>[3]Icelandair!$FK$37</f>
        <v>72</v>
      </c>
      <c r="J9" s="20">
        <f>[3]KLM!$FK$37</f>
        <v>22</v>
      </c>
      <c r="K9" s="20">
        <f>'[3]Air Georgian'!$FK$37</f>
        <v>0</v>
      </c>
      <c r="L9" s="20">
        <f>'[3]Sky Regional'!$FK$37</f>
        <v>42</v>
      </c>
      <c r="M9" s="20">
        <f>[3]Condor!$FK$37</f>
        <v>0</v>
      </c>
      <c r="N9" s="20">
        <f>'[3]Air France'!$FK$37</f>
        <v>0</v>
      </c>
      <c r="O9" s="20">
        <f>'[3]Charter Misc'!$FK$37+[3]Ryan!$FK$37+[3]Omni!$FK$37</f>
        <v>0</v>
      </c>
      <c r="P9" s="270">
        <f>SUM(B9:O9)</f>
        <v>2167</v>
      </c>
    </row>
    <row r="10" spans="1:16" x14ac:dyDescent="0.2">
      <c r="A10" s="59" t="s">
        <v>33</v>
      </c>
      <c r="B10" s="14">
        <f>[3]Delta!$FK$38</f>
        <v>1954</v>
      </c>
      <c r="C10" s="14">
        <f>'[3]Atlantic Southeast'!$FK$38</f>
        <v>0</v>
      </c>
      <c r="D10" s="14">
        <f>[3]Pinnacle!$FK$38</f>
        <v>60</v>
      </c>
      <c r="E10" s="14">
        <f>[3]Compass!$FK$38</f>
        <v>0</v>
      </c>
      <c r="F10" s="14">
        <f>'[3]Sky West'!$FK$38</f>
        <v>137</v>
      </c>
      <c r="G10" s="14">
        <f>'[3]Go Jet'!$FK$38</f>
        <v>32</v>
      </c>
      <c r="H10" s="14">
        <f>'[3]Sun Country'!$FK$38</f>
        <v>68</v>
      </c>
      <c r="I10" s="14">
        <f>[3]Icelandair!$FK$38</f>
        <v>82</v>
      </c>
      <c r="J10" s="14">
        <f>[3]KLM!$FK$38</f>
        <v>19</v>
      </c>
      <c r="K10" s="14">
        <f>'[3]Air Georgian'!$FK$38</f>
        <v>0</v>
      </c>
      <c r="L10" s="14">
        <f>'[3]Sky Regional'!$FK$38</f>
        <v>37</v>
      </c>
      <c r="M10" s="14">
        <f>[3]Condor!$FK$38</f>
        <v>0</v>
      </c>
      <c r="N10" s="14">
        <f>'[3]Air France'!$FK$38</f>
        <v>0</v>
      </c>
      <c r="O10" s="14">
        <f>'[3]Charter Misc'!$FK$38+[3]Ryan!$FK$38+[3]Omni!$FK$38</f>
        <v>0</v>
      </c>
      <c r="P10" s="271">
        <f>SUM(B10:O10)</f>
        <v>2389</v>
      </c>
    </row>
    <row r="11" spans="1:16" ht="15.75" thickBot="1" x14ac:dyDescent="0.3">
      <c r="A11" s="60" t="s">
        <v>34</v>
      </c>
      <c r="B11" s="273">
        <f t="shared" ref="B11:H11" si="3">SUM(B9:B10)</f>
        <v>3715</v>
      </c>
      <c r="C11" s="273">
        <f t="shared" si="3"/>
        <v>0</v>
      </c>
      <c r="D11" s="273">
        <f t="shared" si="3"/>
        <v>129</v>
      </c>
      <c r="E11" s="273">
        <f t="shared" si="3"/>
        <v>0</v>
      </c>
      <c r="F11" s="273">
        <f t="shared" si="3"/>
        <v>244</v>
      </c>
      <c r="G11" s="273">
        <f t="shared" ref="G11" si="4">SUM(G9:G10)</f>
        <v>61</v>
      </c>
      <c r="H11" s="273">
        <f t="shared" si="3"/>
        <v>133</v>
      </c>
      <c r="I11" s="273">
        <f t="shared" ref="I11:O11" si="5">SUM(I9:I10)</f>
        <v>154</v>
      </c>
      <c r="J11" s="273">
        <f t="shared" ref="J11" si="6">SUM(J9:J10)</f>
        <v>41</v>
      </c>
      <c r="K11" s="273">
        <f t="shared" si="5"/>
        <v>0</v>
      </c>
      <c r="L11" s="273">
        <f t="shared" ref="L11" si="7">SUM(L9:L10)</f>
        <v>79</v>
      </c>
      <c r="M11" s="273">
        <f t="shared" si="5"/>
        <v>0</v>
      </c>
      <c r="N11" s="273">
        <f t="shared" si="5"/>
        <v>0</v>
      </c>
      <c r="O11" s="273">
        <f t="shared" si="5"/>
        <v>0</v>
      </c>
      <c r="P11" s="274">
        <f>SUM(B11:O11)</f>
        <v>4556</v>
      </c>
    </row>
    <row r="12" spans="1:16" ht="15" x14ac:dyDescent="0.25">
      <c r="A12" s="377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4"/>
    </row>
    <row r="13" spans="1:16" ht="39" thickBot="1" x14ac:dyDescent="0.25">
      <c r="B13" s="518" t="s">
        <v>18</v>
      </c>
      <c r="C13" s="517" t="s">
        <v>51</v>
      </c>
      <c r="D13" s="523" t="s">
        <v>163</v>
      </c>
      <c r="E13" s="518" t="s">
        <v>121</v>
      </c>
      <c r="F13" s="518" t="s">
        <v>101</v>
      </c>
      <c r="G13" s="517" t="s">
        <v>169</v>
      </c>
      <c r="H13" s="518" t="s">
        <v>49</v>
      </c>
      <c r="I13" s="518" t="s">
        <v>117</v>
      </c>
      <c r="J13" s="262" t="s">
        <v>222</v>
      </c>
      <c r="K13" s="262" t="s">
        <v>230</v>
      </c>
      <c r="L13" s="262" t="s">
        <v>226</v>
      </c>
      <c r="M13" s="517" t="s">
        <v>168</v>
      </c>
      <c r="N13" s="518" t="s">
        <v>162</v>
      </c>
      <c r="O13" s="518" t="s">
        <v>143</v>
      </c>
      <c r="P13" s="517" t="s">
        <v>145</v>
      </c>
    </row>
    <row r="14" spans="1:16" ht="16.5" thickTop="1" thickBot="1" x14ac:dyDescent="0.3">
      <c r="A14" s="572" t="s">
        <v>146</v>
      </c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4"/>
    </row>
    <row r="15" spans="1:16" ht="13.5" thickTop="1" x14ac:dyDescent="0.2">
      <c r="A15" s="59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3"/>
    </row>
    <row r="16" spans="1:16" x14ac:dyDescent="0.2">
      <c r="A16" s="59" t="s">
        <v>30</v>
      </c>
      <c r="B16" s="20">
        <f>SUM([3]Delta!$EZ$32:$FK$32)</f>
        <v>893338</v>
      </c>
      <c r="C16" s="20">
        <f>SUM('[3]Atlantic Southeast'!$EZ$32:$FK$32)</f>
        <v>10536</v>
      </c>
      <c r="D16" s="20">
        <f>SUM([3]Pinnacle!$EZ$32:$FK$32)</f>
        <v>55244</v>
      </c>
      <c r="E16" s="20">
        <f>SUM([3]Compass!$EZ$32:$FK$32)</f>
        <v>52083</v>
      </c>
      <c r="F16" s="20">
        <f>SUM('[3]Sky West'!$EZ$32:$FK$32)</f>
        <v>118263</v>
      </c>
      <c r="G16" s="20">
        <f>SUM('[3]Go Jet'!$EZ$32:$FK$32)</f>
        <v>11753</v>
      </c>
      <c r="H16" s="20">
        <f>SUM('[3]Sun Country'!$EZ$32:$FK$32)</f>
        <v>139813</v>
      </c>
      <c r="I16" s="20">
        <f>SUM([3]Icelandair!$EZ$32:$FK$32)</f>
        <v>49008</v>
      </c>
      <c r="J16" s="20">
        <f>SUM([3]KLM!$EZ$32:$FK$32)</f>
        <v>27336</v>
      </c>
      <c r="K16" s="20">
        <f>SUM('[3]Air Georgian'!$EZ$32:$FK$32)</f>
        <v>18847</v>
      </c>
      <c r="L16" s="20">
        <f>SUM('[3]Sky Regional'!$EZ$32:$FK$32)</f>
        <v>34049</v>
      </c>
      <c r="M16" s="20">
        <f>SUM([3]Condor!$EZ$32:$FK$32)</f>
        <v>13710</v>
      </c>
      <c r="N16" s="20">
        <f>SUM('[3]Air France'!$EZ$32:$FK$32)</f>
        <v>32999</v>
      </c>
      <c r="O16" s="20">
        <f>SUM('[3]Charter Misc'!$EZ$32:$FK$32)+SUM([3]Ryan!$EZ$32:$FK$32)+SUM([3]Omni!$EZ$32:$FK$32)</f>
        <v>710</v>
      </c>
      <c r="P16" s="270">
        <f>SUM(B16:O16)</f>
        <v>1457689</v>
      </c>
    </row>
    <row r="17" spans="1:19" x14ac:dyDescent="0.2">
      <c r="A17" s="59" t="s">
        <v>31</v>
      </c>
      <c r="B17" s="14">
        <f>SUM([3]Delta!$EZ$33:$FK$33)</f>
        <v>876218</v>
      </c>
      <c r="C17" s="14">
        <f>SUM('[3]Atlantic Southeast'!$EZ$33:$FK$33)</f>
        <v>10476</v>
      </c>
      <c r="D17" s="14">
        <f>SUM([3]Pinnacle!$EZ$33:$FK$33)</f>
        <v>56619</v>
      </c>
      <c r="E17" s="14">
        <f>SUM([3]Compass!$EZ$33:$FK$33)</f>
        <v>52476</v>
      </c>
      <c r="F17" s="14">
        <f>SUM('[3]Sky West'!$EZ$33:$FK$33)</f>
        <v>116000</v>
      </c>
      <c r="G17" s="14">
        <f>SUM('[3]Go Jet'!$EZ$33:$FK$33)</f>
        <v>11594</v>
      </c>
      <c r="H17" s="14">
        <f>SUM('[3]Sun Country'!$EZ$33:$FK$33)</f>
        <v>139753</v>
      </c>
      <c r="I17" s="14">
        <f>SUM([3]Icelandair!$EZ$33:$FK$33)</f>
        <v>50398</v>
      </c>
      <c r="J17" s="14">
        <f>SUM([3]KLM!$EZ$33:$FK$33)</f>
        <v>25020</v>
      </c>
      <c r="K17" s="14">
        <f>SUM('[3]Air Georgian'!$EZ$33:$FK$33)</f>
        <v>18302</v>
      </c>
      <c r="L17" s="14">
        <f>SUM('[3]Sky Regional'!$EZ$33:$FK$33)</f>
        <v>31948</v>
      </c>
      <c r="M17" s="14">
        <f>SUM([3]Condor!$EZ$33:$FK$33)</f>
        <v>14402</v>
      </c>
      <c r="N17" s="14">
        <f>SUM('[3]Air France'!$EZ$33:$FK$33)</f>
        <v>30571</v>
      </c>
      <c r="O17" s="14">
        <f>SUM('[3]Charter Misc'!$EZ$33:$FK$33)++SUM([3]Ryan!$EZ$33:$FK$33)+SUM([3]Omni!$EZ$33:$FK$33)</f>
        <v>858</v>
      </c>
      <c r="P17" s="271">
        <f>SUM(B17:O17)</f>
        <v>1434635</v>
      </c>
    </row>
    <row r="18" spans="1:19" ht="15" x14ac:dyDescent="0.25">
      <c r="A18" s="57" t="s">
        <v>7</v>
      </c>
      <c r="B18" s="33">
        <f t="shared" ref="B18:O18" si="8">SUM(B16:B17)</f>
        <v>1769556</v>
      </c>
      <c r="C18" s="33">
        <f t="shared" si="8"/>
        <v>21012</v>
      </c>
      <c r="D18" s="33">
        <f t="shared" si="8"/>
        <v>111863</v>
      </c>
      <c r="E18" s="33">
        <f t="shared" si="8"/>
        <v>104559</v>
      </c>
      <c r="F18" s="33">
        <f t="shared" si="8"/>
        <v>234263</v>
      </c>
      <c r="G18" s="33">
        <f t="shared" ref="G18" si="9">SUM(G16:G17)</f>
        <v>23347</v>
      </c>
      <c r="H18" s="33">
        <f t="shared" si="8"/>
        <v>279566</v>
      </c>
      <c r="I18" s="33">
        <f t="shared" si="8"/>
        <v>99406</v>
      </c>
      <c r="J18" s="33">
        <f t="shared" ref="J18:M18" si="10">SUM(J16:J17)</f>
        <v>52356</v>
      </c>
      <c r="K18" s="33">
        <f t="shared" si="8"/>
        <v>37149</v>
      </c>
      <c r="L18" s="33">
        <f t="shared" si="8"/>
        <v>65997</v>
      </c>
      <c r="M18" s="33">
        <f t="shared" si="10"/>
        <v>28112</v>
      </c>
      <c r="N18" s="33">
        <f t="shared" si="8"/>
        <v>63570</v>
      </c>
      <c r="O18" s="33">
        <f t="shared" si="8"/>
        <v>1568</v>
      </c>
      <c r="P18" s="272">
        <f>SUM(B18:O18)</f>
        <v>2892324</v>
      </c>
    </row>
    <row r="19" spans="1:19" x14ac:dyDescent="0.2">
      <c r="A19" s="5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70"/>
    </row>
    <row r="20" spans="1:19" x14ac:dyDescent="0.2">
      <c r="A20" s="59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70">
        <f>SUM(B20:O20)</f>
        <v>0</v>
      </c>
    </row>
    <row r="21" spans="1:19" x14ac:dyDescent="0.2">
      <c r="A21" s="59" t="s">
        <v>30</v>
      </c>
      <c r="B21" s="20">
        <f>SUM([3]Delta!$EZ$37:$FK$37)</f>
        <v>23829</v>
      </c>
      <c r="C21" s="20">
        <f>SUM('[3]Atlantic Southeast'!$EZ$37:$FK$37)</f>
        <v>184</v>
      </c>
      <c r="D21" s="20">
        <f>SUM([3]Pinnacle!$EZ$37:$FK$37)</f>
        <v>900</v>
      </c>
      <c r="E21" s="20">
        <f>SUM([3]Compass!$EZ$37:$FK$37)</f>
        <v>729</v>
      </c>
      <c r="F21" s="20">
        <f>SUM('[3]Sky West'!$EZ$37:$FK$37)</f>
        <v>1257</v>
      </c>
      <c r="G21" s="20">
        <f>SUM('[3]Go Jet'!$EZ$37:$FK$37)</f>
        <v>183</v>
      </c>
      <c r="H21" s="20">
        <f>SUM('[3]Sun Country'!$EZ$37:$FK$37)</f>
        <v>997</v>
      </c>
      <c r="I21" s="20">
        <f>SUM([3]Icelandair!$EZ$37:$FK$37)</f>
        <v>653</v>
      </c>
      <c r="J21" s="20">
        <f>SUM([3]KLM!$EZ$37:$FK$37)</f>
        <v>191</v>
      </c>
      <c r="K21" s="20">
        <f>SUM('[3]Air Georgian'!$EZ$37:$FK$37)</f>
        <v>0</v>
      </c>
      <c r="L21" s="20">
        <f>SUM('[3]Sky Regional'!$EZ$37:$FK$37)</f>
        <v>329</v>
      </c>
      <c r="M21" s="20">
        <f>SUM([3]Condor!$EZ$37:$FK$37)</f>
        <v>118</v>
      </c>
      <c r="N21" s="20">
        <f>SUM('[3]Air France'!$EZ$37:$FK$37)</f>
        <v>114</v>
      </c>
      <c r="O21" s="20">
        <f>SUM('[3]Charter Misc'!$EZ$37:$FK$37)++SUM([3]Ryan!$EZ$37:$FK$37)+SUM([3]Omni!$EZ$37:$FK$37)</f>
        <v>0</v>
      </c>
      <c r="P21" s="270">
        <f>SUM(B21:O21)</f>
        <v>29484</v>
      </c>
    </row>
    <row r="22" spans="1:19" x14ac:dyDescent="0.2">
      <c r="A22" s="59" t="s">
        <v>33</v>
      </c>
      <c r="B22" s="14">
        <f>SUM([3]Delta!$EZ$38:$FK$38)</f>
        <v>23577</v>
      </c>
      <c r="C22" s="14">
        <f>SUM('[3]Atlantic Southeast'!$EZ$38:$FK$38)</f>
        <v>141</v>
      </c>
      <c r="D22" s="14">
        <f>SUM([3]Pinnacle!$EZ$38:$FK$38)</f>
        <v>952</v>
      </c>
      <c r="E22" s="14">
        <f>SUM([3]Compass!$EZ$38:$FK$38)</f>
        <v>784</v>
      </c>
      <c r="F22" s="14">
        <f>SUM('[3]Sky West'!$EZ$38:$FK$38)</f>
        <v>1098</v>
      </c>
      <c r="G22" s="14">
        <f>SUM('[3]Go Jet'!$EZ$38:$FK$38)</f>
        <v>163</v>
      </c>
      <c r="H22" s="14">
        <f>SUM('[3]Sun Country'!$EZ$38:$FK$38)</f>
        <v>1195</v>
      </c>
      <c r="I22" s="14">
        <f>SUM([3]Icelandair!$EZ$38:$FK$38)</f>
        <v>763</v>
      </c>
      <c r="J22" s="14">
        <f>SUM([3]KLM!$EZ$38:$FK$38)</f>
        <v>183</v>
      </c>
      <c r="K22" s="14">
        <f>SUM('[3]Air Georgian'!$EZ$38:$FK$38)</f>
        <v>0</v>
      </c>
      <c r="L22" s="14">
        <f>SUM('[3]Sky Regional'!$EZ$38:$FK$38)</f>
        <v>338</v>
      </c>
      <c r="M22" s="14">
        <f>SUM([3]Condor!$EZ$38:$FK$38)</f>
        <v>118</v>
      </c>
      <c r="N22" s="14">
        <f>SUM('[3]Air France'!$EZ$38:$FK$38)</f>
        <v>46</v>
      </c>
      <c r="O22" s="14">
        <f>SUM('[3]Charter Misc'!$EZ$38:$FK$38)++SUM([3]Ryan!$EZ$38:$FK$38)+SUM([3]Omni!$EZ$38:$FK$38)</f>
        <v>0</v>
      </c>
      <c r="P22" s="271">
        <f>SUM(B22:O22)</f>
        <v>29358</v>
      </c>
    </row>
    <row r="23" spans="1:19" ht="15.75" thickBot="1" x14ac:dyDescent="0.3">
      <c r="A23" s="60" t="s">
        <v>34</v>
      </c>
      <c r="B23" s="273">
        <f t="shared" ref="B23:O23" si="11">SUM(B21:B22)</f>
        <v>47406</v>
      </c>
      <c r="C23" s="273">
        <f t="shared" si="11"/>
        <v>325</v>
      </c>
      <c r="D23" s="273">
        <f t="shared" si="11"/>
        <v>1852</v>
      </c>
      <c r="E23" s="273">
        <f t="shared" si="11"/>
        <v>1513</v>
      </c>
      <c r="F23" s="273">
        <f t="shared" si="11"/>
        <v>2355</v>
      </c>
      <c r="G23" s="273">
        <f t="shared" ref="G23" si="12">SUM(G21:G22)</f>
        <v>346</v>
      </c>
      <c r="H23" s="273">
        <f t="shared" si="11"/>
        <v>2192</v>
      </c>
      <c r="I23" s="273">
        <f t="shared" si="11"/>
        <v>1416</v>
      </c>
      <c r="J23" s="273">
        <f t="shared" ref="J23:M23" si="13">SUM(J21:J22)</f>
        <v>374</v>
      </c>
      <c r="K23" s="273">
        <f t="shared" si="11"/>
        <v>0</v>
      </c>
      <c r="L23" s="273">
        <f t="shared" si="11"/>
        <v>667</v>
      </c>
      <c r="M23" s="273">
        <f t="shared" si="13"/>
        <v>236</v>
      </c>
      <c r="N23" s="273">
        <f t="shared" si="11"/>
        <v>160</v>
      </c>
      <c r="O23" s="273">
        <f t="shared" si="11"/>
        <v>0</v>
      </c>
      <c r="P23" s="274">
        <f>SUM(B23:O23)</f>
        <v>58842</v>
      </c>
    </row>
    <row r="25" spans="1:19" ht="39" thickBot="1" x14ac:dyDescent="0.25">
      <c r="B25" s="518" t="s">
        <v>18</v>
      </c>
      <c r="C25" s="517" t="s">
        <v>51</v>
      </c>
      <c r="D25" s="523" t="s">
        <v>163</v>
      </c>
      <c r="E25" s="518" t="s">
        <v>121</v>
      </c>
      <c r="F25" s="518" t="s">
        <v>101</v>
      </c>
      <c r="G25" s="517" t="s">
        <v>169</v>
      </c>
      <c r="H25" s="518" t="s">
        <v>49</v>
      </c>
      <c r="I25" s="518" t="s">
        <v>117</v>
      </c>
      <c r="J25" s="262" t="s">
        <v>222</v>
      </c>
      <c r="K25" s="262" t="s">
        <v>230</v>
      </c>
      <c r="L25" s="262" t="s">
        <v>226</v>
      </c>
      <c r="M25" s="517" t="s">
        <v>168</v>
      </c>
      <c r="N25" s="518" t="s">
        <v>162</v>
      </c>
      <c r="O25" s="518" t="s">
        <v>143</v>
      </c>
      <c r="P25" s="517" t="s">
        <v>21</v>
      </c>
    </row>
    <row r="26" spans="1:19" ht="16.5" thickTop="1" thickBot="1" x14ac:dyDescent="0.3">
      <c r="A26" s="575" t="s">
        <v>147</v>
      </c>
      <c r="B26" s="576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7"/>
    </row>
    <row r="27" spans="1:19" ht="13.5" thickTop="1" x14ac:dyDescent="0.2">
      <c r="A27" s="59" t="s">
        <v>22</v>
      </c>
      <c r="B27" s="20">
        <f>[3]Delta!$FK$15</f>
        <v>413</v>
      </c>
      <c r="C27" s="20">
        <f>'[3]Atlantic Southeast'!$FK$15</f>
        <v>0</v>
      </c>
      <c r="D27" s="20">
        <f>[3]Pinnacle!$FK$15</f>
        <v>75</v>
      </c>
      <c r="E27" s="20">
        <f>[3]Compass!$FK$15</f>
        <v>0</v>
      </c>
      <c r="F27" s="20">
        <f>'[3]Sky West'!$FK$15</f>
        <v>222</v>
      </c>
      <c r="G27" s="20">
        <f>'[3]Go Jet'!$FK$15</f>
        <v>20</v>
      </c>
      <c r="H27" s="20">
        <f>'[3]Sun Country'!$FK$15</f>
        <v>93</v>
      </c>
      <c r="I27" s="20">
        <f>[3]Icelandair!$FK$15</f>
        <v>16</v>
      </c>
      <c r="J27" s="20">
        <f>[3]KLM!$FK$15</f>
        <v>14</v>
      </c>
      <c r="K27" s="20">
        <f>'[3]Air Georgian'!$FK$15</f>
        <v>0</v>
      </c>
      <c r="L27" s="20">
        <f>'[3]Sky Regional'!$FK$15</f>
        <v>81</v>
      </c>
      <c r="M27" s="20">
        <f>[3]Condor!$FK$15</f>
        <v>0</v>
      </c>
      <c r="N27" s="20">
        <f>'[3]Air France'!$FK$15</f>
        <v>0</v>
      </c>
      <c r="O27" s="20">
        <f>'[3]Charter Misc'!$FK$15+[3]Ryan!$FK$15+[3]Omni!$FK$15</f>
        <v>0</v>
      </c>
      <c r="P27" s="270">
        <f>SUM(B27:O27)</f>
        <v>934</v>
      </c>
      <c r="R27" s="500"/>
      <c r="S27" s="500"/>
    </row>
    <row r="28" spans="1:19" x14ac:dyDescent="0.2">
      <c r="A28" s="59" t="s">
        <v>23</v>
      </c>
      <c r="B28" s="20">
        <f>[3]Delta!$FK$16</f>
        <v>409</v>
      </c>
      <c r="C28" s="20">
        <f>'[3]Atlantic Southeast'!$FK$16</f>
        <v>0</v>
      </c>
      <c r="D28" s="20">
        <f>[3]Pinnacle!$FK$16</f>
        <v>75</v>
      </c>
      <c r="E28" s="20">
        <f>[3]Compass!$FK$16</f>
        <v>0</v>
      </c>
      <c r="F28" s="20">
        <f>'[3]Sky West'!$FK$16</f>
        <v>222</v>
      </c>
      <c r="G28" s="20">
        <f>'[3]Go Jet'!$FK$16</f>
        <v>21</v>
      </c>
      <c r="H28" s="20">
        <f>'[3]Sun Country'!$FK$16</f>
        <v>100</v>
      </c>
      <c r="I28" s="20">
        <f>[3]Icelandair!$FK$16</f>
        <v>16</v>
      </c>
      <c r="J28" s="20">
        <f>[3]KLM!$FK$16</f>
        <v>14</v>
      </c>
      <c r="K28" s="20">
        <f>'[3]Air Georgian'!$FK$16</f>
        <v>0</v>
      </c>
      <c r="L28" s="20">
        <f>'[3]Sky Regional'!$FK$16</f>
        <v>81</v>
      </c>
      <c r="M28" s="20">
        <f>[3]Condor!$FK$16</f>
        <v>0</v>
      </c>
      <c r="N28" s="20">
        <f>'[3]Air France'!$FK$16</f>
        <v>0</v>
      </c>
      <c r="O28" s="20">
        <f>'[3]Charter Misc'!$FK$16+[3]Ryan!$FK$16+[3]Omni!$FK$16</f>
        <v>0</v>
      </c>
      <c r="P28" s="270">
        <f>SUM(B28:O28)</f>
        <v>938</v>
      </c>
      <c r="R28" s="499"/>
      <c r="S28" s="499"/>
    </row>
    <row r="29" spans="1:19" x14ac:dyDescent="0.2">
      <c r="A29" s="5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70"/>
    </row>
    <row r="30" spans="1:19" ht="15.75" thickBot="1" x14ac:dyDescent="0.3">
      <c r="A30" s="60" t="s">
        <v>28</v>
      </c>
      <c r="B30" s="375">
        <f t="shared" ref="B30:K30" si="14">SUM(B27:B28)</f>
        <v>822</v>
      </c>
      <c r="C30" s="375">
        <f t="shared" si="14"/>
        <v>0</v>
      </c>
      <c r="D30" s="375">
        <f t="shared" si="14"/>
        <v>150</v>
      </c>
      <c r="E30" s="375">
        <f t="shared" si="14"/>
        <v>0</v>
      </c>
      <c r="F30" s="375">
        <f>SUM(F27:F28)</f>
        <v>444</v>
      </c>
      <c r="G30" s="375">
        <f>SUM(G27:G28)</f>
        <v>41</v>
      </c>
      <c r="H30" s="375">
        <f t="shared" si="14"/>
        <v>193</v>
      </c>
      <c r="I30" s="375">
        <f t="shared" si="14"/>
        <v>32</v>
      </c>
      <c r="J30" s="375">
        <f>SUM(J27:J28)</f>
        <v>28</v>
      </c>
      <c r="K30" s="375">
        <f t="shared" si="14"/>
        <v>0</v>
      </c>
      <c r="L30" s="375">
        <f>SUM(L27:L28)</f>
        <v>162</v>
      </c>
      <c r="M30" s="375">
        <f>SUM(M27:M28)</f>
        <v>0</v>
      </c>
      <c r="N30" s="375">
        <f>SUM(N27:N28)</f>
        <v>0</v>
      </c>
      <c r="O30" s="375">
        <f>SUM(O27:O28)</f>
        <v>0</v>
      </c>
      <c r="P30" s="376">
        <f>SUM(B30:O30)</f>
        <v>1872</v>
      </c>
    </row>
    <row r="31" spans="1:19" ht="15" x14ac:dyDescent="0.25">
      <c r="A31" s="377"/>
    </row>
    <row r="32" spans="1:19" ht="39" thickBot="1" x14ac:dyDescent="0.25">
      <c r="B32" s="12" t="s">
        <v>18</v>
      </c>
      <c r="C32" s="262" t="s">
        <v>51</v>
      </c>
      <c r="D32" s="523" t="s">
        <v>163</v>
      </c>
      <c r="E32" s="12" t="s">
        <v>121</v>
      </c>
      <c r="F32" s="12" t="s">
        <v>101</v>
      </c>
      <c r="G32" s="262" t="s">
        <v>169</v>
      </c>
      <c r="H32" s="12" t="s">
        <v>49</v>
      </c>
      <c r="I32" s="12" t="s">
        <v>117</v>
      </c>
      <c r="J32" s="262" t="s">
        <v>222</v>
      </c>
      <c r="K32" s="262" t="s">
        <v>230</v>
      </c>
      <c r="L32" s="262" t="s">
        <v>226</v>
      </c>
      <c r="M32" s="262" t="s">
        <v>168</v>
      </c>
      <c r="N32" s="12" t="s">
        <v>162</v>
      </c>
      <c r="O32" s="12" t="s">
        <v>143</v>
      </c>
      <c r="P32" s="262" t="s">
        <v>145</v>
      </c>
    </row>
    <row r="33" spans="1:16" ht="16.5" thickTop="1" thickBot="1" x14ac:dyDescent="0.3">
      <c r="A33" s="578" t="s">
        <v>148</v>
      </c>
      <c r="B33" s="579"/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79"/>
      <c r="N33" s="579"/>
      <c r="O33" s="579"/>
      <c r="P33" s="580"/>
    </row>
    <row r="34" spans="1:16" ht="13.5" thickTop="1" x14ac:dyDescent="0.2">
      <c r="A34" s="59" t="s">
        <v>22</v>
      </c>
      <c r="B34" s="20">
        <f>SUM([3]Delta!$EZ$15:$FK$15)</f>
        <v>5263</v>
      </c>
      <c r="C34" s="20">
        <f>SUM('[3]Atlantic Southeast'!$EZ$15:$FK$15)</f>
        <v>166</v>
      </c>
      <c r="D34" s="20">
        <f>SUM([3]Pinnacle!$EZ$15:$FK$15)</f>
        <v>875</v>
      </c>
      <c r="E34" s="20">
        <f>SUM([3]Compass!$EZ$15:$FK$15)</f>
        <v>810</v>
      </c>
      <c r="F34" s="20">
        <f>SUM('[3]Sky West'!$EZ$15:$FK$15)</f>
        <v>1917</v>
      </c>
      <c r="G34" s="20">
        <f>SUM('[3]Go Jet'!$EZ$15:$FK$15)</f>
        <v>207</v>
      </c>
      <c r="H34" s="20">
        <f>SUM('[3]Sun Country'!$EZ$15:$FK$15)</f>
        <v>1208</v>
      </c>
      <c r="I34" s="20">
        <f>SUM([3]Icelandair!$EZ$15:$FK$15)</f>
        <v>279</v>
      </c>
      <c r="J34" s="20">
        <f>SUM([3]KLM!$EZ$15:$FK$15)</f>
        <v>116</v>
      </c>
      <c r="K34" s="20">
        <f>SUM('[3]Air Georgian'!$EZ$15:$FK$15)</f>
        <v>467</v>
      </c>
      <c r="L34" s="20">
        <f>SUM('[3]Sky Regional'!$EZ$15:$FK$15)</f>
        <v>573</v>
      </c>
      <c r="M34" s="20">
        <f>SUM([3]Condor!$EZ$15:$FK$15)</f>
        <v>60</v>
      </c>
      <c r="N34" s="20">
        <f>SUM('[3]Air France'!$EZ$15:$FK$15)</f>
        <v>128</v>
      </c>
      <c r="O34" s="20">
        <f>SUM('[3]Charter Misc'!$EZ$15:$FK$15)+SUM([3]Ryan!$EZ$15:$FK$15)+SUM([3]Omni!$EZ$15:$FK$15)</f>
        <v>5</v>
      </c>
      <c r="P34" s="270">
        <f>SUM(B34:O34)</f>
        <v>12074</v>
      </c>
    </row>
    <row r="35" spans="1:16" x14ac:dyDescent="0.2">
      <c r="A35" s="59" t="s">
        <v>23</v>
      </c>
      <c r="B35" s="20">
        <f>SUM([3]Delta!$EZ$16:$FK$16)</f>
        <v>5259</v>
      </c>
      <c r="C35" s="20">
        <f>SUM('[3]Atlantic Southeast'!$EZ$16:$FK$16)</f>
        <v>164</v>
      </c>
      <c r="D35" s="20">
        <f>SUM([3]Pinnacle!$EZ$16:$FK$16)</f>
        <v>885</v>
      </c>
      <c r="E35" s="20">
        <f>SUM([3]Compass!$EZ$16:$FK$16)</f>
        <v>808</v>
      </c>
      <c r="F35" s="20">
        <f>SUM('[3]Sky West'!$EZ$16:$FK$16)</f>
        <v>1893</v>
      </c>
      <c r="G35" s="20">
        <f>SUM('[3]Go Jet'!$EZ$16:$FK$16)</f>
        <v>207</v>
      </c>
      <c r="H35" s="20">
        <f>SUM('[3]Sun Country'!$EZ$16:$FK$16)</f>
        <v>1207</v>
      </c>
      <c r="I35" s="20">
        <f>SUM([3]Icelandair!$EZ$16:$FK$16)</f>
        <v>279</v>
      </c>
      <c r="J35" s="20">
        <f>SUM([3]KLM!$EZ$16:$FK$16)</f>
        <v>116</v>
      </c>
      <c r="K35" s="20">
        <f>SUM('[3]Air Georgian'!$EZ$16:$FK$16)</f>
        <v>468</v>
      </c>
      <c r="L35" s="20">
        <f>SUM('[3]Sky Regional'!$EZ$16:$FK$16)</f>
        <v>573</v>
      </c>
      <c r="M35" s="20">
        <f>SUM([3]Condor!$EZ$16:$FK$16)</f>
        <v>61</v>
      </c>
      <c r="N35" s="20">
        <f>SUM('[3]Air France'!$EZ$16:$FK$16)</f>
        <v>128</v>
      </c>
      <c r="O35" s="20">
        <f>SUM('[3]Charter Misc'!$EZ$16:$FK$16)+SUM([3]Ryan!$EZ$16:$FK$16)+SUM([3]Omni!$EZ$16:$FK$16)</f>
        <v>6</v>
      </c>
      <c r="P35" s="270">
        <f>SUM(B35:O35)</f>
        <v>12054</v>
      </c>
    </row>
    <row r="36" spans="1:16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70"/>
    </row>
    <row r="37" spans="1:16" ht="15.75" thickBot="1" x14ac:dyDescent="0.3">
      <c r="A37" s="60" t="s">
        <v>28</v>
      </c>
      <c r="B37" s="375">
        <f t="shared" ref="B37:K37" si="15">+SUM(B34:B35)</f>
        <v>10522</v>
      </c>
      <c r="C37" s="375">
        <f t="shared" si="15"/>
        <v>330</v>
      </c>
      <c r="D37" s="375">
        <f t="shared" si="15"/>
        <v>1760</v>
      </c>
      <c r="E37" s="375">
        <f t="shared" si="15"/>
        <v>1618</v>
      </c>
      <c r="F37" s="375">
        <f>+SUM(F34:F35)</f>
        <v>3810</v>
      </c>
      <c r="G37" s="375">
        <f>+SUM(G34:G35)</f>
        <v>414</v>
      </c>
      <c r="H37" s="375">
        <f t="shared" si="15"/>
        <v>2415</v>
      </c>
      <c r="I37" s="375">
        <f t="shared" si="15"/>
        <v>558</v>
      </c>
      <c r="J37" s="375">
        <f>+SUM(J34:J35)</f>
        <v>232</v>
      </c>
      <c r="K37" s="375">
        <f t="shared" si="15"/>
        <v>935</v>
      </c>
      <c r="L37" s="375">
        <f>+SUM(L34:L35)</f>
        <v>1146</v>
      </c>
      <c r="M37" s="375">
        <f>+SUM(M34:M35)</f>
        <v>121</v>
      </c>
      <c r="N37" s="375">
        <f>+SUM(N34:N35)</f>
        <v>256</v>
      </c>
      <c r="O37" s="375">
        <f>+SUM(O34:O35)</f>
        <v>11</v>
      </c>
      <c r="P37" s="376">
        <f>SUM(B37:O37)</f>
        <v>24128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7" orientation="landscape" r:id="rId1"/>
  <headerFooter alignWithMargins="0">
    <oddHeader>&amp;LSchedule 9&amp;CMinneapolis-St. Paul International Airport
&amp;"Arial,Bold"International Detail&amp;"Arial,Regular"
&amp;"Arial,Bold"December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2"/>
  <sheetViews>
    <sheetView zoomScaleNormal="100" zoomScaleSheetLayoutView="85" workbookViewId="0">
      <selection activeCell="A4" sqref="A4:XFD68"/>
    </sheetView>
  </sheetViews>
  <sheetFormatPr defaultRowHeight="12.75" x14ac:dyDescent="0.2"/>
  <cols>
    <col min="1" max="1" width="3.42578125" customWidth="1"/>
    <col min="2" max="2" width="14.42578125" bestFit="1" customWidth="1"/>
    <col min="3" max="3" width="9.7109375" style="2" bestFit="1" customWidth="1"/>
    <col min="4" max="4" width="9" style="2" bestFit="1" customWidth="1"/>
    <col min="5" max="5" width="9.28515625" style="3" bestFit="1" customWidth="1"/>
    <col min="6" max="6" width="8.7109375" style="218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2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17" customFormat="1" ht="26.25" thickBot="1" x14ac:dyDescent="0.25">
      <c r="A1" s="584" t="s">
        <v>136</v>
      </c>
      <c r="B1" s="585"/>
      <c r="C1" s="450" t="s">
        <v>202</v>
      </c>
      <c r="D1" s="451" t="s">
        <v>176</v>
      </c>
      <c r="E1" s="257" t="s">
        <v>99</v>
      </c>
      <c r="F1" s="256" t="s">
        <v>203</v>
      </c>
      <c r="G1" s="451" t="s">
        <v>177</v>
      </c>
      <c r="H1" s="255" t="s">
        <v>100</v>
      </c>
      <c r="I1" s="257" t="s">
        <v>141</v>
      </c>
      <c r="J1" s="590" t="s">
        <v>140</v>
      </c>
      <c r="K1" s="591"/>
      <c r="L1" s="448" t="s">
        <v>204</v>
      </c>
      <c r="M1" s="449" t="s">
        <v>178</v>
      </c>
      <c r="N1" s="333" t="s">
        <v>100</v>
      </c>
      <c r="O1" s="489" t="s">
        <v>205</v>
      </c>
      <c r="P1" s="258" t="s">
        <v>179</v>
      </c>
      <c r="Q1" s="485" t="s">
        <v>100</v>
      </c>
      <c r="R1" s="490" t="s">
        <v>216</v>
      </c>
    </row>
    <row r="2" spans="1:19" s="217" customFormat="1" ht="13.5" customHeight="1" thickBot="1" x14ac:dyDescent="0.25">
      <c r="A2" s="586">
        <v>43070</v>
      </c>
      <c r="B2" s="587"/>
      <c r="C2" s="588" t="s">
        <v>9</v>
      </c>
      <c r="D2" s="589"/>
      <c r="E2" s="589"/>
      <c r="F2" s="589"/>
      <c r="G2" s="589"/>
      <c r="H2" s="589"/>
      <c r="I2" s="452"/>
      <c r="J2" s="586">
        <f>+A2</f>
        <v>43070</v>
      </c>
      <c r="K2" s="587"/>
      <c r="L2" s="581" t="s">
        <v>142</v>
      </c>
      <c r="M2" s="582"/>
      <c r="N2" s="582"/>
      <c r="O2" s="582"/>
      <c r="P2" s="582"/>
      <c r="Q2" s="582"/>
      <c r="R2" s="583"/>
    </row>
    <row r="3" spans="1:19" x14ac:dyDescent="0.2">
      <c r="A3" s="334"/>
      <c r="B3" s="335"/>
      <c r="C3" s="336"/>
      <c r="D3" s="337"/>
      <c r="E3" s="338"/>
      <c r="F3" s="405"/>
      <c r="G3" s="406"/>
      <c r="H3" s="482"/>
      <c r="I3" s="338"/>
      <c r="J3" s="339"/>
      <c r="K3" s="335"/>
      <c r="L3" s="491"/>
      <c r="M3" s="5"/>
      <c r="N3" s="82"/>
      <c r="O3" s="334"/>
      <c r="P3" s="340"/>
      <c r="Q3" s="340"/>
      <c r="R3" s="335"/>
    </row>
    <row r="4" spans="1:19" ht="14.1" customHeight="1" x14ac:dyDescent="0.2">
      <c r="A4" s="341" t="s">
        <v>102</v>
      </c>
      <c r="B4" s="53"/>
      <c r="C4" s="342">
        <f>SUM(C5:C8)</f>
        <v>162</v>
      </c>
      <c r="D4" s="344">
        <f>SUM(D5:D8)</f>
        <v>168</v>
      </c>
      <c r="E4" s="345">
        <f>(C4-D4)/D4</f>
        <v>-3.5714285714285712E-2</v>
      </c>
      <c r="F4" s="342">
        <f>SUM(F5:F8)</f>
        <v>2081</v>
      </c>
      <c r="G4" s="344">
        <f>SUM(G5:G8)</f>
        <v>2214</v>
      </c>
      <c r="H4" s="343">
        <f>(F4-G4)/G4</f>
        <v>-6.0072267389340558E-2</v>
      </c>
      <c r="I4" s="345">
        <f>F4/$F$68</f>
        <v>5.5013323745875982E-3</v>
      </c>
      <c r="J4" s="341" t="s">
        <v>102</v>
      </c>
      <c r="K4" s="53"/>
      <c r="L4" s="342">
        <f>SUM(L5:L8)</f>
        <v>8251</v>
      </c>
      <c r="M4" s="344">
        <f>SUM(M5:M8)</f>
        <v>6556</v>
      </c>
      <c r="N4" s="345">
        <f>(L4-M4)/M4</f>
        <v>0.25854179377669312</v>
      </c>
      <c r="O4" s="342">
        <f>SUM(O5:O8)</f>
        <v>103146</v>
      </c>
      <c r="P4" s="344">
        <f>SUM(P5:P8)</f>
        <v>89282</v>
      </c>
      <c r="Q4" s="343">
        <f>(O4-P4)/P4</f>
        <v>0.15528325978360699</v>
      </c>
      <c r="R4" s="345">
        <f>O4/$O$68</f>
        <v>2.8033150247884896E-3</v>
      </c>
      <c r="S4" s="19"/>
    </row>
    <row r="5" spans="1:19" ht="14.1" customHeight="1" x14ac:dyDescent="0.2">
      <c r="A5" s="341"/>
      <c r="B5" s="421" t="s">
        <v>102</v>
      </c>
      <c r="C5" s="346">
        <v>0</v>
      </c>
      <c r="D5" s="9">
        <v>0</v>
      </c>
      <c r="E5" s="83" t="e">
        <f>(C5-D5)/D5</f>
        <v>#DIV/0!</v>
      </c>
      <c r="F5" s="284">
        <v>0</v>
      </c>
      <c r="G5" s="284">
        <v>0</v>
      </c>
      <c r="H5" s="428" t="e">
        <f>(F5-G5)/G5</f>
        <v>#DIV/0!</v>
      </c>
      <c r="I5" s="83">
        <f>F5/$F$68</f>
        <v>0</v>
      </c>
      <c r="J5" s="341"/>
      <c r="K5" s="421" t="s">
        <v>102</v>
      </c>
      <c r="L5" s="427">
        <v>0</v>
      </c>
      <c r="M5" s="284">
        <v>0</v>
      </c>
      <c r="N5" s="429" t="e">
        <f>(L5-M5)/M5</f>
        <v>#DIV/0!</v>
      </c>
      <c r="O5" s="427">
        <v>0</v>
      </c>
      <c r="P5" s="284">
        <v>0</v>
      </c>
      <c r="Q5" s="428" t="e">
        <f>(O5-P5)/P5</f>
        <v>#DIV/0!</v>
      </c>
      <c r="R5" s="429">
        <f>O5/$O$68</f>
        <v>0</v>
      </c>
      <c r="S5" s="19"/>
    </row>
    <row r="6" spans="1:19" ht="14.1" customHeight="1" x14ac:dyDescent="0.2">
      <c r="A6" s="341"/>
      <c r="B6" s="446" t="s">
        <v>180</v>
      </c>
      <c r="C6" s="427">
        <f>'[3]Jazz Air'!$FK$19</f>
        <v>0</v>
      </c>
      <c r="D6" s="284">
        <f>'[3]Jazz Air'!$EW$19</f>
        <v>0</v>
      </c>
      <c r="E6" s="429" t="e">
        <f>(C6-D6)/D6</f>
        <v>#DIV/0!</v>
      </c>
      <c r="F6" s="284">
        <f>SUM('[3]Jazz Air'!$EZ$19:$FK$19)</f>
        <v>0</v>
      </c>
      <c r="G6" s="284">
        <f>SUM('[3]Jazz Air'!$EL$19:$EW$19)</f>
        <v>185</v>
      </c>
      <c r="H6" s="428">
        <f>(F6-G6)/G6</f>
        <v>-1</v>
      </c>
      <c r="I6" s="429">
        <f>F6/$F$68</f>
        <v>0</v>
      </c>
      <c r="J6" s="430"/>
      <c r="K6" s="421" t="s">
        <v>180</v>
      </c>
      <c r="L6" s="427">
        <f>'[3]Jazz Air'!$FK$41</f>
        <v>0</v>
      </c>
      <c r="M6" s="284">
        <f>'[3]Jazz Air'!$EW$41</f>
        <v>0</v>
      </c>
      <c r="N6" s="429" t="e">
        <f>(L6-M6)/M6</f>
        <v>#DIV/0!</v>
      </c>
      <c r="O6" s="427">
        <f>SUM('[3]Jazz Air'!$EZ$41:$FK$41)</f>
        <v>0</v>
      </c>
      <c r="P6" s="284">
        <f>SUM('[3]Jazz Air'!$EL$41:$EW$41)</f>
        <v>6759</v>
      </c>
      <c r="Q6" s="428">
        <f>(O6-P6)/P6</f>
        <v>-1</v>
      </c>
      <c r="R6" s="429">
        <f>O6/$O$68</f>
        <v>0</v>
      </c>
      <c r="S6" s="19"/>
    </row>
    <row r="7" spans="1:19" ht="14.1" customHeight="1" x14ac:dyDescent="0.2">
      <c r="A7" s="341"/>
      <c r="B7" s="421" t="s">
        <v>181</v>
      </c>
      <c r="C7" s="346">
        <f>'[3]Air Georgian'!$FK$19</f>
        <v>0</v>
      </c>
      <c r="D7" s="9">
        <f>'[3]Air Georgian'!$EW$19</f>
        <v>168</v>
      </c>
      <c r="E7" s="83">
        <f>(C7-D7)/D7</f>
        <v>-1</v>
      </c>
      <c r="F7" s="284">
        <f>SUM('[3]Air Georgian'!$EZ$19:$FK$19)</f>
        <v>935</v>
      </c>
      <c r="G7" s="284">
        <f>SUM('[3]Air Georgian'!$EL$19:$EW$19)</f>
        <v>2029</v>
      </c>
      <c r="H7" s="428">
        <f>(F7-G7)/G7</f>
        <v>-0.53918186298669291</v>
      </c>
      <c r="I7" s="83">
        <f>F7/$F$68</f>
        <v>2.4717663480247017E-3</v>
      </c>
      <c r="J7" s="341"/>
      <c r="K7" s="421" t="s">
        <v>181</v>
      </c>
      <c r="L7" s="346">
        <f>'[3]Air Georgian'!$FK$41</f>
        <v>0</v>
      </c>
      <c r="M7" s="9">
        <f>'[3]Air Georgian'!$EW$41</f>
        <v>6556</v>
      </c>
      <c r="N7" s="83">
        <f>(L7-M7)/M7</f>
        <v>-1</v>
      </c>
      <c r="O7" s="346">
        <f>SUM('[3]Air Georgian'!$EZ$41:$FK$41)</f>
        <v>37149</v>
      </c>
      <c r="P7" s="9">
        <f>SUM('[3]Air Georgian'!$EL$41:$EW$41)</f>
        <v>82523</v>
      </c>
      <c r="Q7" s="38">
        <f>(O7-P7)/P7</f>
        <v>-0.54983459156841119</v>
      </c>
      <c r="R7" s="83">
        <f>O7/$O$68</f>
        <v>1.0096402173217342E-3</v>
      </c>
      <c r="S7" s="19"/>
    </row>
    <row r="8" spans="1:19" ht="14.1" customHeight="1" x14ac:dyDescent="0.2">
      <c r="A8" s="341"/>
      <c r="B8" s="421" t="s">
        <v>225</v>
      </c>
      <c r="C8" s="346">
        <f>'[3]Sky Regional'!$FK$19</f>
        <v>162</v>
      </c>
      <c r="D8" s="9">
        <f>'[3]Sky Regional'!$EW$19</f>
        <v>0</v>
      </c>
      <c r="E8" s="83" t="e">
        <f>(C8-D8)/D8</f>
        <v>#DIV/0!</v>
      </c>
      <c r="F8" s="284">
        <f>SUM('[3]Sky Regional'!$EZ$19:$FK$19)</f>
        <v>1146</v>
      </c>
      <c r="G8" s="284">
        <f>SUM('[3]Sky Regional'!$EL$19:$EW$19)</f>
        <v>0</v>
      </c>
      <c r="H8" s="428" t="e">
        <f>(F8-G8)/G8</f>
        <v>#DIV/0!</v>
      </c>
      <c r="I8" s="83">
        <f>F8/$F$68</f>
        <v>3.0295660265628964E-3</v>
      </c>
      <c r="J8" s="341"/>
      <c r="K8" s="421" t="s">
        <v>225</v>
      </c>
      <c r="L8" s="346">
        <f>'[3]Sky Regional'!$FK$41</f>
        <v>8251</v>
      </c>
      <c r="M8" s="9">
        <f>'[3]Sky Regional'!$EW$41</f>
        <v>0</v>
      </c>
      <c r="N8" s="83" t="e">
        <f>(L8-M8)/M8</f>
        <v>#DIV/0!</v>
      </c>
      <c r="O8" s="346">
        <f>SUM('[3]Sky Regional'!$EZ$41:$FK$41)</f>
        <v>65997</v>
      </c>
      <c r="P8" s="9">
        <f>SUM('[3]Sky Regional'!$EL$41:$EW$41)</f>
        <v>0</v>
      </c>
      <c r="Q8" s="38" t="e">
        <f>(O8-P8)/P8</f>
        <v>#DIV/0!</v>
      </c>
      <c r="R8" s="83">
        <f>O8/$O$68</f>
        <v>1.7936748074667554E-3</v>
      </c>
      <c r="S8" s="19"/>
    </row>
    <row r="9" spans="1:19" ht="14.1" customHeight="1" x14ac:dyDescent="0.2">
      <c r="A9" s="341"/>
      <c r="B9" s="53"/>
      <c r="C9" s="342"/>
      <c r="D9" s="344"/>
      <c r="E9" s="345"/>
      <c r="F9" s="344"/>
      <c r="G9" s="344"/>
      <c r="H9" s="343"/>
      <c r="I9" s="345"/>
      <c r="J9" s="341"/>
      <c r="K9" s="53"/>
      <c r="L9" s="346"/>
      <c r="M9" s="9"/>
      <c r="N9" s="83"/>
      <c r="O9" s="346"/>
      <c r="P9" s="9"/>
      <c r="Q9" s="38"/>
      <c r="R9" s="83"/>
      <c r="S9" s="19"/>
    </row>
    <row r="10" spans="1:19" ht="14.1" customHeight="1" x14ac:dyDescent="0.2">
      <c r="A10" s="341" t="s">
        <v>206</v>
      </c>
      <c r="B10" s="53"/>
      <c r="C10" s="342">
        <f>'[3]Air Choice One'!$FK$19</f>
        <v>260</v>
      </c>
      <c r="D10" s="344">
        <f>'[3]Air Choice One'!$EW$19</f>
        <v>250</v>
      </c>
      <c r="E10" s="345">
        <f>(C10-D10)/D10</f>
        <v>0.04</v>
      </c>
      <c r="F10" s="344">
        <f>SUM('[3]Air Choice One'!$EZ$19:$FK$19)</f>
        <v>2984</v>
      </c>
      <c r="G10" s="344">
        <f>SUM('[3]Air Choice One'!$EL$19:$EW$19)</f>
        <v>678</v>
      </c>
      <c r="H10" s="343">
        <f>(F10-G10)/G10</f>
        <v>3.4011799410029497</v>
      </c>
      <c r="I10" s="345">
        <f>F10/$F$68</f>
        <v>7.8885035107012936E-3</v>
      </c>
      <c r="J10" s="341" t="s">
        <v>206</v>
      </c>
      <c r="K10" s="53"/>
      <c r="L10" s="342">
        <f>'[3]Air Choice One'!$FK$41</f>
        <v>928</v>
      </c>
      <c r="M10" s="344">
        <f>'[3]Air Choice One'!$EW$41</f>
        <v>1025</v>
      </c>
      <c r="N10" s="345">
        <f>(L10-M10)/M10</f>
        <v>-9.4634146341463415E-2</v>
      </c>
      <c r="O10" s="342">
        <f>SUM('[3]Air Choice One'!$EZ$41:$FK$41)</f>
        <v>10128</v>
      </c>
      <c r="P10" s="344">
        <f>SUM('[3]Air Choice One'!$EL$41:$EW$41)</f>
        <v>3113</v>
      </c>
      <c r="Q10" s="343">
        <f>(O10-P10)/P10</f>
        <v>2.2534532605203985</v>
      </c>
      <c r="R10" s="345">
        <f>O10/$O$68</f>
        <v>2.7526006409417549E-4</v>
      </c>
      <c r="S10" s="19"/>
    </row>
    <row r="11" spans="1:19" ht="14.1" customHeight="1" x14ac:dyDescent="0.2">
      <c r="A11" s="341"/>
      <c r="B11" s="53"/>
      <c r="C11" s="342"/>
      <c r="D11" s="344"/>
      <c r="E11" s="345"/>
      <c r="F11" s="344"/>
      <c r="G11" s="344"/>
      <c r="H11" s="343"/>
      <c r="I11" s="345"/>
      <c r="J11" s="341"/>
      <c r="K11" s="53"/>
      <c r="L11" s="346"/>
      <c r="M11" s="9"/>
      <c r="N11" s="83"/>
      <c r="O11" s="346"/>
      <c r="P11" s="9"/>
      <c r="Q11" s="38"/>
      <c r="R11" s="83"/>
      <c r="S11" s="19"/>
    </row>
    <row r="12" spans="1:19" ht="14.1" customHeight="1" x14ac:dyDescent="0.2">
      <c r="A12" s="341" t="s">
        <v>162</v>
      </c>
      <c r="B12" s="53"/>
      <c r="C12" s="342">
        <f>'[3]Air France'!$FK$19</f>
        <v>0</v>
      </c>
      <c r="D12" s="344">
        <f>'[3]Air France'!$EW$19</f>
        <v>0</v>
      </c>
      <c r="E12" s="345" t="e">
        <f>(C12-D12)/D12</f>
        <v>#DIV/0!</v>
      </c>
      <c r="F12" s="344">
        <f>SUM('[3]Air France'!$EZ$19:$FK$19)</f>
        <v>256</v>
      </c>
      <c r="G12" s="344">
        <f>SUM('[3]Air France'!$EL$19:$EW$19)</f>
        <v>250</v>
      </c>
      <c r="H12" s="343">
        <f>(F12-G12)/G12</f>
        <v>2.4E-2</v>
      </c>
      <c r="I12" s="345">
        <f>F12/$F$68</f>
        <v>6.7676169528804665E-4</v>
      </c>
      <c r="J12" s="341" t="s">
        <v>162</v>
      </c>
      <c r="K12" s="53"/>
      <c r="L12" s="342">
        <f>'[3]Air France'!$FK$41</f>
        <v>0</v>
      </c>
      <c r="M12" s="344">
        <f>'[3]Air France'!$EW$41</f>
        <v>0</v>
      </c>
      <c r="N12" s="345" t="e">
        <f>(L12-M12)/M12</f>
        <v>#DIV/0!</v>
      </c>
      <c r="O12" s="342">
        <f>SUM('[3]Air France'!$EZ$41:$FK$41)</f>
        <v>63570</v>
      </c>
      <c r="P12" s="344">
        <f>SUM('[3]Air France'!$EL$41:$EW$41)</f>
        <v>52845</v>
      </c>
      <c r="Q12" s="343">
        <f>(O12-P12)/P12</f>
        <v>0.2029520295202952</v>
      </c>
      <c r="R12" s="345">
        <f>O12/$O$68</f>
        <v>1.7277134947143301E-3</v>
      </c>
      <c r="S12" s="19"/>
    </row>
    <row r="13" spans="1:19" ht="14.1" customHeight="1" x14ac:dyDescent="0.2">
      <c r="A13" s="341"/>
      <c r="B13" s="53"/>
      <c r="C13" s="342"/>
      <c r="D13" s="344"/>
      <c r="E13" s="345"/>
      <c r="F13" s="344"/>
      <c r="G13" s="344"/>
      <c r="H13" s="343"/>
      <c r="I13" s="345"/>
      <c r="J13" s="341"/>
      <c r="K13" s="53"/>
      <c r="L13" s="346"/>
      <c r="M13" s="9"/>
      <c r="N13" s="83"/>
      <c r="O13" s="346"/>
      <c r="P13" s="9"/>
      <c r="Q13" s="38"/>
      <c r="R13" s="83"/>
      <c r="S13" s="19"/>
    </row>
    <row r="14" spans="1:19" ht="14.1" customHeight="1" x14ac:dyDescent="0.2">
      <c r="A14" s="341" t="s">
        <v>132</v>
      </c>
      <c r="B14" s="53"/>
      <c r="C14" s="342">
        <f>SUM(C15:C17)</f>
        <v>402</v>
      </c>
      <c r="D14" s="344">
        <f>SUM(D15:D17)</f>
        <v>174</v>
      </c>
      <c r="E14" s="345">
        <f>(C14-D14)/D14</f>
        <v>1.3103448275862069</v>
      </c>
      <c r="F14" s="344">
        <f>SUM(F15:F17)</f>
        <v>3108</v>
      </c>
      <c r="G14" s="344">
        <f>SUM(G15:G17)</f>
        <v>2198</v>
      </c>
      <c r="H14" s="343">
        <f>(F14-G14)/G14</f>
        <v>0.4140127388535032</v>
      </c>
      <c r="I14" s="345">
        <f>F14/$F$68</f>
        <v>8.2163099568564411E-3</v>
      </c>
      <c r="J14" s="341" t="s">
        <v>132</v>
      </c>
      <c r="K14" s="53"/>
      <c r="L14" s="342">
        <f>SUM(L15:L17)</f>
        <v>31696</v>
      </c>
      <c r="M14" s="344">
        <f>SUM(M15:M17)</f>
        <v>20065</v>
      </c>
      <c r="N14" s="345">
        <f>(L14-M14)/M14</f>
        <v>0.57966608522302521</v>
      </c>
      <c r="O14" s="342">
        <f>SUM(O15:O17)</f>
        <v>321768</v>
      </c>
      <c r="P14" s="344">
        <f>SUM(P15:P17)</f>
        <v>276412</v>
      </c>
      <c r="Q14" s="343">
        <f>(O14-P14)/P14</f>
        <v>0.16408838979494378</v>
      </c>
      <c r="R14" s="345">
        <f>O14/$O$68</f>
        <v>8.7450513727739577E-3</v>
      </c>
      <c r="S14" s="19"/>
    </row>
    <row r="15" spans="1:19" ht="14.1" customHeight="1" x14ac:dyDescent="0.2">
      <c r="A15" s="341"/>
      <c r="B15" s="421" t="s">
        <v>132</v>
      </c>
      <c r="C15" s="427">
        <f>[3]Alaska!$FK$19</f>
        <v>96</v>
      </c>
      <c r="D15" s="284">
        <f>[3]Alaska!$EW$19</f>
        <v>114</v>
      </c>
      <c r="E15" s="429">
        <f>(C15-D15)/D15</f>
        <v>-0.15789473684210525</v>
      </c>
      <c r="F15" s="284">
        <f>SUM([3]Alaska!$EZ$19:$FK$19)</f>
        <v>1547</v>
      </c>
      <c r="G15" s="284">
        <f>SUM([3]Alaska!$EL$19:$EW$19)</f>
        <v>1588</v>
      </c>
      <c r="H15" s="428">
        <f>(F15-G15)/G15</f>
        <v>-2.5818639798488665E-2</v>
      </c>
      <c r="I15" s="429">
        <f>F15/$F$68</f>
        <v>4.0896497758226881E-3</v>
      </c>
      <c r="J15" s="341"/>
      <c r="K15" s="421" t="s">
        <v>132</v>
      </c>
      <c r="L15" s="427">
        <f>[3]Alaska!$FK$41</f>
        <v>13557</v>
      </c>
      <c r="M15" s="284">
        <f>[3]Alaska!$EW$41</f>
        <v>16069</v>
      </c>
      <c r="N15" s="429">
        <f>(L15-M15)/M15</f>
        <v>-0.15632584479432449</v>
      </c>
      <c r="O15" s="427">
        <f>SUM([3]Alaska!$EZ$41:$FK$41)</f>
        <v>225748</v>
      </c>
      <c r="P15" s="284">
        <f>SUM([3]Alaska!$EL$41:$EW$41)</f>
        <v>235417</v>
      </c>
      <c r="Q15" s="428">
        <f>(O15-P15)/P15</f>
        <v>-4.1071800252318227E-2</v>
      </c>
      <c r="R15" s="429">
        <f>O15/$O$68</f>
        <v>6.1354076766520459E-3</v>
      </c>
      <c r="S15" s="19"/>
    </row>
    <row r="16" spans="1:19" ht="14.1" customHeight="1" x14ac:dyDescent="0.2">
      <c r="A16" s="341"/>
      <c r="B16" s="421" t="s">
        <v>101</v>
      </c>
      <c r="C16" s="346">
        <f>'[3]Sky West_AS'!$FK$19</f>
        <v>146</v>
      </c>
      <c r="D16" s="9">
        <f>'[3]Sky West_AS'!$EW$19</f>
        <v>60</v>
      </c>
      <c r="E16" s="83">
        <f>(C16-D16)/D16</f>
        <v>1.4333333333333333</v>
      </c>
      <c r="F16" s="9">
        <f>SUM('[3]Sky West_AS'!$EZ$19:$FK$19)</f>
        <v>1349</v>
      </c>
      <c r="G16" s="9">
        <f>SUM('[3]Sky West_AS'!$EL$19:$EW$19)</f>
        <v>610</v>
      </c>
      <c r="H16" s="38">
        <f>(F16-G16)/G16</f>
        <v>1.2114754098360656</v>
      </c>
      <c r="I16" s="83">
        <f>F16/$F$68</f>
        <v>3.5662169021233397E-3</v>
      </c>
      <c r="J16" s="341"/>
      <c r="K16" s="421" t="s">
        <v>101</v>
      </c>
      <c r="L16" s="346">
        <f>'[3]Sky West_AS'!$FK$41</f>
        <v>9088</v>
      </c>
      <c r="M16" s="9">
        <f>'[3]Sky West_AS'!$EW$41</f>
        <v>3996</v>
      </c>
      <c r="N16" s="83">
        <f>(L16-M16)/M16</f>
        <v>1.2742742742742743</v>
      </c>
      <c r="O16" s="346">
        <f>SUM('[3]Sky West_AS'!$EZ$41:$FK$41)</f>
        <v>84015</v>
      </c>
      <c r="P16" s="9">
        <f>SUM('[3]Sky West_AS'!$EL$41:$EW$41)</f>
        <v>40995</v>
      </c>
      <c r="Q16" s="38">
        <f>(O16-P16)/P16</f>
        <v>1.0493962678375413</v>
      </c>
      <c r="R16" s="429">
        <f>O16/$O$68</f>
        <v>2.2833702887906943E-3</v>
      </c>
      <c r="S16" s="19"/>
    </row>
    <row r="17" spans="1:22" ht="14.1" customHeight="1" x14ac:dyDescent="0.2">
      <c r="A17" s="341"/>
      <c r="B17" s="421" t="s">
        <v>228</v>
      </c>
      <c r="C17" s="346">
        <f>[3]Horizon_AS!$FK$19</f>
        <v>160</v>
      </c>
      <c r="D17" s="9">
        <f>[3]Horizon_AS!$EW$19</f>
        <v>0</v>
      </c>
      <c r="E17" s="83" t="e">
        <f>(C17-D17)/D17</f>
        <v>#DIV/0!</v>
      </c>
      <c r="F17" s="9">
        <f>SUM([3]Horizon_AS!$EZ$19:$FK$19)</f>
        <v>212</v>
      </c>
      <c r="G17" s="9">
        <f>SUM([3]Horizon_AS!$EL$19:$EW$19)</f>
        <v>0</v>
      </c>
      <c r="H17" s="38" t="e">
        <f>(F17-G17)/G17</f>
        <v>#DIV/0!</v>
      </c>
      <c r="I17" s="83">
        <f>F17/$F$68</f>
        <v>5.6044327891041363E-4</v>
      </c>
      <c r="J17" s="341"/>
      <c r="K17" s="421" t="s">
        <v>228</v>
      </c>
      <c r="L17" s="346">
        <f>[3]Horizon_AS!$FK$41</f>
        <v>9051</v>
      </c>
      <c r="M17" s="9">
        <f>[3]Horizon_AS!$EW$41</f>
        <v>0</v>
      </c>
      <c r="N17" s="83" t="e">
        <f>(L17-M17)/M17</f>
        <v>#DIV/0!</v>
      </c>
      <c r="O17" s="346">
        <f>SUM([3]Horizon_AS!$EZ$41:$FK$41)</f>
        <v>12005</v>
      </c>
      <c r="P17" s="9">
        <f>SUM([3]Horizon_AS!$EL$41:$EW$41)</f>
        <v>0</v>
      </c>
      <c r="Q17" s="38" t="e">
        <f>(O17-P17)/P17</f>
        <v>#DIV/0!</v>
      </c>
      <c r="R17" s="429">
        <f>O17/$O$68</f>
        <v>3.2627340733121804E-4</v>
      </c>
      <c r="S17" s="19"/>
    </row>
    <row r="18" spans="1:22" ht="14.1" customHeight="1" x14ac:dyDescent="0.2">
      <c r="A18" s="341"/>
      <c r="B18" s="53"/>
      <c r="C18" s="342"/>
      <c r="D18" s="347"/>
      <c r="E18" s="345"/>
      <c r="F18" s="347"/>
      <c r="G18" s="347"/>
      <c r="H18" s="343"/>
      <c r="I18" s="345"/>
      <c r="J18" s="341"/>
      <c r="K18" s="53"/>
      <c r="L18" s="348"/>
      <c r="M18" s="139"/>
      <c r="N18" s="83"/>
      <c r="O18" s="348"/>
      <c r="P18" s="139"/>
      <c r="Q18" s="38"/>
      <c r="R18" s="83"/>
      <c r="S18" s="19"/>
    </row>
    <row r="19" spans="1:22" ht="14.1" customHeight="1" x14ac:dyDescent="0.2">
      <c r="A19" s="341" t="s">
        <v>17</v>
      </c>
      <c r="B19" s="354"/>
      <c r="C19" s="342">
        <f>SUM(C20:C26)</f>
        <v>1697</v>
      </c>
      <c r="D19" s="344">
        <f>SUM(D20:D26)</f>
        <v>1806</v>
      </c>
      <c r="E19" s="345">
        <f t="shared" ref="E19:E26" si="0">(C19-D19)/D19</f>
        <v>-6.0354374307862682E-2</v>
      </c>
      <c r="F19" s="342">
        <f>SUM(F20:F26)</f>
        <v>22684</v>
      </c>
      <c r="G19" s="344">
        <f>SUM(G20:G26)</f>
        <v>21870</v>
      </c>
      <c r="H19" s="343">
        <f t="shared" ref="H19:H26" si="1">(F19-G19)/G19</f>
        <v>3.7219935985368081E-2</v>
      </c>
      <c r="I19" s="345">
        <f t="shared" ref="I19:I26" si="2">F19/$F$68</f>
        <v>5.9967430843414264E-2</v>
      </c>
      <c r="J19" s="341" t="s">
        <v>17</v>
      </c>
      <c r="K19" s="349"/>
      <c r="L19" s="342">
        <f>SUM(L20:L26)</f>
        <v>180569</v>
      </c>
      <c r="M19" s="344">
        <f>SUM(M20:M26)</f>
        <v>181277</v>
      </c>
      <c r="N19" s="345">
        <f t="shared" ref="N19:N26" si="3">(L19-M19)/M19</f>
        <v>-3.905625093089581E-3</v>
      </c>
      <c r="O19" s="342">
        <f>SUM(O20:O26)</f>
        <v>2363226</v>
      </c>
      <c r="P19" s="344">
        <f>SUM(P20:P26)</f>
        <v>2403295</v>
      </c>
      <c r="Q19" s="343">
        <f t="shared" ref="Q19:Q26" si="4">(O19-P19)/P19</f>
        <v>-1.6672526676916485E-2</v>
      </c>
      <c r="R19" s="345">
        <f t="shared" ref="R19:R26" si="5">O19/$O$68</f>
        <v>6.4228054919927127E-2</v>
      </c>
      <c r="S19" s="19"/>
    </row>
    <row r="20" spans="1:22" ht="14.1" customHeight="1" x14ac:dyDescent="0.2">
      <c r="A20" s="52"/>
      <c r="B20" s="351" t="s">
        <v>17</v>
      </c>
      <c r="C20" s="346">
        <f>[3]American!$FK$19</f>
        <v>1272</v>
      </c>
      <c r="D20" s="9">
        <f>[3]American!$EW$19</f>
        <v>1482</v>
      </c>
      <c r="E20" s="83">
        <f t="shared" si="0"/>
        <v>-0.1417004048582996</v>
      </c>
      <c r="F20" s="9">
        <f>SUM([3]American!$EZ$19:$FK$19)</f>
        <v>17199</v>
      </c>
      <c r="G20" s="9">
        <f>SUM([3]American!$EL$19:$EW$19)</f>
        <v>17348</v>
      </c>
      <c r="H20" s="38">
        <f t="shared" si="1"/>
        <v>-8.5888863269541153E-3</v>
      </c>
      <c r="I20" s="83">
        <f t="shared" si="2"/>
        <v>4.5467282801793421E-2</v>
      </c>
      <c r="J20" s="52"/>
      <c r="K20" s="350" t="s">
        <v>17</v>
      </c>
      <c r="L20" s="346">
        <f>[3]American!$FK$41</f>
        <v>156295</v>
      </c>
      <c r="M20" s="9">
        <f>[3]American!$EW$41</f>
        <v>166669</v>
      </c>
      <c r="N20" s="83">
        <f t="shared" si="3"/>
        <v>-6.2243128596199654E-2</v>
      </c>
      <c r="O20" s="346">
        <f>SUM([3]American!$EZ$41:$FK$41)</f>
        <v>2077399</v>
      </c>
      <c r="P20" s="9">
        <f>SUM([3]American!$EL$41:$EW$41)</f>
        <v>2148747</v>
      </c>
      <c r="Q20" s="38">
        <f t="shared" si="4"/>
        <v>-3.3204467533869741E-2</v>
      </c>
      <c r="R20" s="83">
        <f t="shared" si="5"/>
        <v>5.6459812587793839E-2</v>
      </c>
      <c r="S20" s="19"/>
    </row>
    <row r="21" spans="1:22" ht="14.1" customHeight="1" x14ac:dyDescent="0.2">
      <c r="A21" s="52"/>
      <c r="B21" s="422" t="s">
        <v>182</v>
      </c>
      <c r="C21" s="346">
        <f>'[3]American Eagle'!$FK$19</f>
        <v>18</v>
      </c>
      <c r="D21" s="9">
        <f>'[3]American Eagle'!$EW$19</f>
        <v>12</v>
      </c>
      <c r="E21" s="83">
        <f t="shared" si="0"/>
        <v>0.5</v>
      </c>
      <c r="F21" s="9">
        <f>SUM('[3]American Eagle'!$EZ$19:$FK$19)</f>
        <v>164</v>
      </c>
      <c r="G21" s="9">
        <f>SUM('[3]American Eagle'!$EL$19:$EW$19)</f>
        <v>188</v>
      </c>
      <c r="H21" s="38">
        <f t="shared" si="1"/>
        <v>-0.1276595744680851</v>
      </c>
      <c r="I21" s="83">
        <f t="shared" si="2"/>
        <v>4.3355046104390493E-4</v>
      </c>
      <c r="J21" s="52"/>
      <c r="K21" s="420" t="s">
        <v>182</v>
      </c>
      <c r="L21" s="346">
        <f>'[3]American Eagle'!$FK$41</f>
        <v>1063</v>
      </c>
      <c r="M21" s="9">
        <f>'[3]American Eagle'!$EW$41</f>
        <v>512</v>
      </c>
      <c r="N21" s="83">
        <f t="shared" si="3"/>
        <v>1.076171875</v>
      </c>
      <c r="O21" s="346">
        <f>SUM('[3]American Eagle'!$EZ$41:$FK$41)</f>
        <v>8613</v>
      </c>
      <c r="P21" s="9">
        <f>SUM('[3]American Eagle'!$EL$41:$EW$41)</f>
        <v>9339</v>
      </c>
      <c r="Q21" s="38">
        <f t="shared" si="4"/>
        <v>-7.7738515901060068E-2</v>
      </c>
      <c r="R21" s="83">
        <f t="shared" si="5"/>
        <v>2.3408520261089389E-4</v>
      </c>
      <c r="S21" s="19"/>
    </row>
    <row r="22" spans="1:22" ht="14.1" customHeight="1" x14ac:dyDescent="0.2">
      <c r="A22" s="52"/>
      <c r="B22" s="422" t="s">
        <v>53</v>
      </c>
      <c r="C22" s="346">
        <f>[3]Republic!$FK$19</f>
        <v>343</v>
      </c>
      <c r="D22" s="9">
        <f>[3]Republic!$EW$19</f>
        <v>306</v>
      </c>
      <c r="E22" s="83">
        <f t="shared" si="0"/>
        <v>0.12091503267973856</v>
      </c>
      <c r="F22" s="9">
        <f>SUM([3]Republic!$EZ$19:$FK$19)</f>
        <v>4452</v>
      </c>
      <c r="G22" s="9">
        <f>SUM([3]Republic!$EL$19:$EW$19)</f>
        <v>4070</v>
      </c>
      <c r="H22" s="38">
        <f t="shared" si="1"/>
        <v>9.3857493857493854E-2</v>
      </c>
      <c r="I22" s="83">
        <f t="shared" si="2"/>
        <v>1.1769308857118688E-2</v>
      </c>
      <c r="J22" s="357"/>
      <c r="K22" s="352" t="s">
        <v>53</v>
      </c>
      <c r="L22" s="346">
        <f>[3]Republic!$FK$41</f>
        <v>20138</v>
      </c>
      <c r="M22" s="9">
        <f>[3]Republic!$EW$41</f>
        <v>13934</v>
      </c>
      <c r="N22" s="83">
        <f t="shared" si="3"/>
        <v>0.44524185445672454</v>
      </c>
      <c r="O22" s="346">
        <f>SUM([3]Republic!$EZ$41:$FK$41)</f>
        <v>232620</v>
      </c>
      <c r="P22" s="9">
        <f>SUM([3]Republic!$EL$41:$EW$41)</f>
        <v>231845</v>
      </c>
      <c r="Q22" s="38">
        <f t="shared" si="4"/>
        <v>3.3427505445448469E-3</v>
      </c>
      <c r="R22" s="83">
        <f t="shared" si="5"/>
        <v>6.3221757612151562E-3</v>
      </c>
      <c r="S22" s="19"/>
    </row>
    <row r="23" spans="1:22" ht="14.1" customHeight="1" x14ac:dyDescent="0.2">
      <c r="A23" s="52"/>
      <c r="B23" s="422" t="s">
        <v>210</v>
      </c>
      <c r="C23" s="346">
        <f>[3]PSA!$FK$19</f>
        <v>62</v>
      </c>
      <c r="D23" s="9">
        <f>[3]PSA!$EW$19</f>
        <v>6</v>
      </c>
      <c r="E23" s="83">
        <f t="shared" si="0"/>
        <v>9.3333333333333339</v>
      </c>
      <c r="F23" s="9">
        <f>SUM([3]PSA!$EZ$19:$FK$19)</f>
        <v>684</v>
      </c>
      <c r="G23" s="9">
        <f>SUM([3]PSA!$EL$19:$EW$19)</f>
        <v>142</v>
      </c>
      <c r="H23" s="38">
        <f t="shared" ref="H23" si="6">(F23-G23)/G23</f>
        <v>3.816901408450704</v>
      </c>
      <c r="I23" s="83">
        <f t="shared" si="2"/>
        <v>1.8082226545977499E-3</v>
      </c>
      <c r="J23" s="357"/>
      <c r="K23" s="422" t="s">
        <v>210</v>
      </c>
      <c r="L23" s="346">
        <f>[3]PSA!$FK$41</f>
        <v>3029</v>
      </c>
      <c r="M23" s="9">
        <f>[3]PSA!$EW$41</f>
        <v>162</v>
      </c>
      <c r="N23" s="83">
        <f t="shared" si="3"/>
        <v>17.697530864197532</v>
      </c>
      <c r="O23" s="346">
        <f>SUM([3]PSA!$EZ$41:$FK$41)</f>
        <v>33736</v>
      </c>
      <c r="P23" s="9">
        <f>SUM([3]PSA!$EL$41:$EW$41)</f>
        <v>8411</v>
      </c>
      <c r="Q23" s="38">
        <f t="shared" ref="Q23" si="7">(O23-P23)/P23</f>
        <v>3.0109380573059088</v>
      </c>
      <c r="R23" s="83">
        <f t="shared" si="5"/>
        <v>9.1688127194718637E-4</v>
      </c>
      <c r="S23" s="19"/>
    </row>
    <row r="24" spans="1:22" ht="14.1" customHeight="1" x14ac:dyDescent="0.2">
      <c r="A24" s="52"/>
      <c r="B24" s="421" t="s">
        <v>101</v>
      </c>
      <c r="C24" s="346">
        <f>'[3]Sky West_AA'!$FK$19</f>
        <v>2</v>
      </c>
      <c r="D24" s="9">
        <f>'[3]Sky West_AA'!$EW$19</f>
        <v>0</v>
      </c>
      <c r="E24" s="83" t="e">
        <f>(C24-D24)/D24</f>
        <v>#DIV/0!</v>
      </c>
      <c r="F24" s="9">
        <f>SUM('[3]Sky West_AA'!$EZ$19:$FK$19)</f>
        <v>183</v>
      </c>
      <c r="G24" s="9">
        <f>SUM('[3]Sky West_AA'!$EL$19:$EW$19)</f>
        <v>0</v>
      </c>
      <c r="H24" s="38" t="e">
        <f>(F24-G24)/G24</f>
        <v>#DIV/0!</v>
      </c>
      <c r="I24" s="83">
        <f t="shared" si="2"/>
        <v>4.8377886811606463E-4</v>
      </c>
      <c r="J24" s="357"/>
      <c r="K24" s="421" t="s">
        <v>101</v>
      </c>
      <c r="L24" s="346">
        <f>'[3]Sky West_AA'!$FK$41</f>
        <v>44</v>
      </c>
      <c r="M24" s="9">
        <f>'[3]Sky West_AA'!$EW$41</f>
        <v>0</v>
      </c>
      <c r="N24" s="83" t="e">
        <f>(L24-M24)/M24</f>
        <v>#DIV/0!</v>
      </c>
      <c r="O24" s="346">
        <f>SUM('[3]Sky West_AA'!$EZ$41:$FK$41)</f>
        <v>10768</v>
      </c>
      <c r="P24" s="9">
        <f>SUM('[3]Sky West_AA'!$EL$41:$EW$41)</f>
        <v>0</v>
      </c>
      <c r="Q24" s="38" t="e">
        <f>(O24-P24)/P24</f>
        <v>#DIV/0!</v>
      </c>
      <c r="R24" s="429">
        <f t="shared" si="5"/>
        <v>2.9265406498480269E-4</v>
      </c>
      <c r="S24" s="19"/>
    </row>
    <row r="25" spans="1:22" ht="14.1" customHeight="1" x14ac:dyDescent="0.2">
      <c r="A25" s="52"/>
      <c r="B25" s="422" t="s">
        <v>52</v>
      </c>
      <c r="C25" s="346">
        <f>[3]MESA!$FK$19</f>
        <v>0</v>
      </c>
      <c r="D25" s="9">
        <f>[3]MESA!$EW$19</f>
        <v>0</v>
      </c>
      <c r="E25" s="83" t="e">
        <f t="shared" si="0"/>
        <v>#DIV/0!</v>
      </c>
      <c r="F25" s="9">
        <f>SUM([3]MESA!$EZ$19:$FK$19)</f>
        <v>0</v>
      </c>
      <c r="G25" s="9">
        <f>SUM([3]MESA!$EL$19:$EW$19)</f>
        <v>14</v>
      </c>
      <c r="H25" s="38">
        <f t="shared" si="1"/>
        <v>-1</v>
      </c>
      <c r="I25" s="83">
        <f t="shared" si="2"/>
        <v>0</v>
      </c>
      <c r="J25" s="357"/>
      <c r="K25" s="420" t="s">
        <v>52</v>
      </c>
      <c r="L25" s="346">
        <f>[3]MESA!$FK$41</f>
        <v>0</v>
      </c>
      <c r="M25" s="9">
        <f>[3]MESA!$EW$41</f>
        <v>0</v>
      </c>
      <c r="N25" s="83" t="e">
        <f t="shared" si="3"/>
        <v>#DIV/0!</v>
      </c>
      <c r="O25" s="346">
        <f>SUM([3]MESA!$EZ$41:$FK$41)</f>
        <v>0</v>
      </c>
      <c r="P25" s="9">
        <f>SUM([3]MESA!$EL$41:$EW$41)</f>
        <v>1079</v>
      </c>
      <c r="Q25" s="38">
        <f t="shared" si="4"/>
        <v>-1</v>
      </c>
      <c r="R25" s="83">
        <f t="shared" si="5"/>
        <v>0</v>
      </c>
      <c r="S25" s="19"/>
    </row>
    <row r="26" spans="1:22" ht="14.1" customHeight="1" x14ac:dyDescent="0.2">
      <c r="A26" s="52"/>
      <c r="B26" s="422" t="s">
        <v>50</v>
      </c>
      <c r="C26" s="346">
        <f>'[3]Air Wisconsin'!$FK$19</f>
        <v>0</v>
      </c>
      <c r="D26" s="9">
        <f>'[3]Air Wisconsin'!$EW$19</f>
        <v>0</v>
      </c>
      <c r="E26" s="83" t="e">
        <f t="shared" si="0"/>
        <v>#DIV/0!</v>
      </c>
      <c r="F26" s="9">
        <f>SUM('[3]Air Wisconsin'!$EZ$19:$FK$19)</f>
        <v>2</v>
      </c>
      <c r="G26" s="9">
        <f>SUM('[3]Air Wisconsin'!$EL$19:$EW$19)</f>
        <v>108</v>
      </c>
      <c r="H26" s="483">
        <f t="shared" si="1"/>
        <v>-0.98148148148148151</v>
      </c>
      <c r="I26" s="83">
        <f t="shared" si="2"/>
        <v>5.2872007444378645E-6</v>
      </c>
      <c r="J26" s="52"/>
      <c r="K26" s="423" t="s">
        <v>50</v>
      </c>
      <c r="L26" s="346">
        <f>'[3]Air Wisconsin'!$FK$41</f>
        <v>0</v>
      </c>
      <c r="M26" s="9">
        <f>'[3]Air Wisconsin'!$EW$41</f>
        <v>0</v>
      </c>
      <c r="N26" s="83" t="e">
        <f t="shared" si="3"/>
        <v>#DIV/0!</v>
      </c>
      <c r="O26" s="346">
        <f>SUM('[3]Air Wisconsin'!$EZ$41:$FK$41)</f>
        <v>90</v>
      </c>
      <c r="P26" s="9">
        <f>SUM('[3]Air Wisconsin'!$EL$41:$EW$41)</f>
        <v>3874</v>
      </c>
      <c r="Q26" s="38">
        <f t="shared" si="4"/>
        <v>-0.97676819824470829</v>
      </c>
      <c r="R26" s="83">
        <f t="shared" si="5"/>
        <v>2.4460313752444503E-6</v>
      </c>
      <c r="S26" s="19"/>
    </row>
    <row r="27" spans="1:22" ht="14.1" customHeight="1" x14ac:dyDescent="0.2">
      <c r="A27" s="52"/>
      <c r="B27" s="351"/>
      <c r="C27" s="346"/>
      <c r="D27" s="9"/>
      <c r="E27" s="83"/>
      <c r="F27" s="9"/>
      <c r="G27" s="9"/>
      <c r="H27" s="38"/>
      <c r="I27" s="83"/>
      <c r="J27" s="52"/>
      <c r="K27" s="351"/>
      <c r="L27" s="346"/>
      <c r="M27" s="9"/>
      <c r="N27" s="83"/>
      <c r="O27" s="346"/>
      <c r="P27" s="9"/>
      <c r="Q27" s="38"/>
      <c r="R27" s="83"/>
      <c r="S27" s="19"/>
      <c r="T27" s="9"/>
      <c r="U27" s="11"/>
      <c r="V27" s="11"/>
    </row>
    <row r="28" spans="1:22" ht="14.1" customHeight="1" x14ac:dyDescent="0.2">
      <c r="A28" s="341" t="s">
        <v>207</v>
      </c>
      <c r="B28" s="351"/>
      <c r="C28" s="342">
        <f>'[3]Boutique Air'!$FK$19</f>
        <v>154</v>
      </c>
      <c r="D28" s="344">
        <f>'[3]Boutique Air'!$EW$19</f>
        <v>159</v>
      </c>
      <c r="E28" s="345">
        <f>(C28-D28)/D28</f>
        <v>-3.1446540880503145E-2</v>
      </c>
      <c r="F28" s="344">
        <f>SUM('[3]Boutique Air'!$EZ$19:$FK$19)</f>
        <v>1850</v>
      </c>
      <c r="G28" s="344">
        <f>SUM('[3]Boutique Air'!$EL$19:$EW$19)</f>
        <v>992</v>
      </c>
      <c r="H28" s="343">
        <f>(F28-G28)/G28</f>
        <v>0.86491935483870963</v>
      </c>
      <c r="I28" s="345">
        <f>F28/$F$68</f>
        <v>4.8906606886050252E-3</v>
      </c>
      <c r="J28" s="341" t="s">
        <v>207</v>
      </c>
      <c r="K28" s="351"/>
      <c r="L28" s="342">
        <f>'[3]Boutique Air'!$FK$41</f>
        <v>869</v>
      </c>
      <c r="M28" s="344">
        <f>'[3]Boutique Air'!$EW$41</f>
        <v>1041</v>
      </c>
      <c r="N28" s="345">
        <f>(L28-M28)/M28</f>
        <v>-0.16522574447646493</v>
      </c>
      <c r="O28" s="342">
        <f>SUM('[3]Boutique Air'!$EZ$41:$FK$41)</f>
        <v>11334</v>
      </c>
      <c r="P28" s="344">
        <f>SUM('[3]Boutique Air'!$EL$41:$EW$41)</f>
        <v>6458</v>
      </c>
      <c r="Q28" s="343">
        <f>(O28-P28)/P28</f>
        <v>0.75503251780737068</v>
      </c>
      <c r="R28" s="345">
        <f>O28/$O$68</f>
        <v>3.0803688452245108E-4</v>
      </c>
      <c r="S28" s="19"/>
      <c r="T28" s="9"/>
      <c r="U28" s="11"/>
      <c r="V28" s="11"/>
    </row>
    <row r="29" spans="1:22" ht="14.1" customHeight="1" x14ac:dyDescent="0.2">
      <c r="A29" s="52"/>
      <c r="B29" s="351"/>
      <c r="C29" s="346"/>
      <c r="D29" s="9"/>
      <c r="E29" s="83"/>
      <c r="F29" s="9"/>
      <c r="G29" s="9"/>
      <c r="H29" s="38"/>
      <c r="I29" s="83"/>
      <c r="J29" s="52"/>
      <c r="K29" s="351"/>
      <c r="L29" s="346"/>
      <c r="M29" s="9"/>
      <c r="N29" s="83"/>
      <c r="O29" s="346"/>
      <c r="P29" s="9"/>
      <c r="Q29" s="38"/>
      <c r="R29" s="83"/>
      <c r="S29" s="19"/>
      <c r="T29" s="9"/>
      <c r="U29" s="11"/>
      <c r="V29" s="11"/>
    </row>
    <row r="30" spans="1:22" ht="14.1" customHeight="1" x14ac:dyDescent="0.2">
      <c r="A30" s="341" t="s">
        <v>168</v>
      </c>
      <c r="B30" s="351"/>
      <c r="C30" s="342">
        <f>[3]Condor!$FK$19</f>
        <v>0</v>
      </c>
      <c r="D30" s="344">
        <f>[3]Condor!$EW$19</f>
        <v>0</v>
      </c>
      <c r="E30" s="345" t="e">
        <f>(C30-D30)/D30</f>
        <v>#DIV/0!</v>
      </c>
      <c r="F30" s="344">
        <f>SUM([3]Condor!$EZ$19:$FK$19)</f>
        <v>121</v>
      </c>
      <c r="G30" s="344">
        <f>SUM([3]Condor!$EL$19:$EW$19)</f>
        <v>84</v>
      </c>
      <c r="H30" s="343">
        <f>(F30-G30)/G30</f>
        <v>0.44047619047619047</v>
      </c>
      <c r="I30" s="345">
        <f>F30/$F$68</f>
        <v>3.1987564503849084E-4</v>
      </c>
      <c r="J30" s="341" t="s">
        <v>168</v>
      </c>
      <c r="K30" s="351"/>
      <c r="L30" s="342">
        <f>[3]Condor!$FK$41</f>
        <v>0</v>
      </c>
      <c r="M30" s="344">
        <f>[3]Condor!$EW$41</f>
        <v>0</v>
      </c>
      <c r="N30" s="345" t="e">
        <f>(L30-M30)/M30</f>
        <v>#DIV/0!</v>
      </c>
      <c r="O30" s="342">
        <f>SUM([3]Condor!$EZ$41:$FK$41)</f>
        <v>28112</v>
      </c>
      <c r="P30" s="344">
        <f>SUM([3]Condor!$EL$41:$EW$41)</f>
        <v>18861</v>
      </c>
      <c r="Q30" s="343">
        <f>(O30-P30)/P30</f>
        <v>0.49048300726366578</v>
      </c>
      <c r="R30" s="345">
        <f>O30/$O$68</f>
        <v>7.6403148912079983E-4</v>
      </c>
      <c r="S30" s="19"/>
      <c r="T30" s="9"/>
      <c r="U30" s="11"/>
      <c r="V30" s="11"/>
    </row>
    <row r="31" spans="1:22" ht="14.1" customHeight="1" x14ac:dyDescent="0.2">
      <c r="A31" s="52"/>
      <c r="B31" s="351"/>
      <c r="C31" s="346"/>
      <c r="D31" s="9"/>
      <c r="E31" s="83"/>
      <c r="F31" s="9"/>
      <c r="G31" s="9"/>
      <c r="H31" s="38"/>
      <c r="I31" s="83"/>
      <c r="J31" s="52"/>
      <c r="K31" s="351"/>
      <c r="L31" s="346"/>
      <c r="M31" s="9"/>
      <c r="N31" s="83"/>
      <c r="O31" s="346"/>
      <c r="P31" s="9"/>
      <c r="Q31" s="38"/>
      <c r="R31" s="83"/>
      <c r="S31" s="19"/>
      <c r="T31" s="9"/>
      <c r="U31" s="11"/>
      <c r="V31" s="11"/>
    </row>
    <row r="32" spans="1:22" ht="14.1" customHeight="1" x14ac:dyDescent="0.2">
      <c r="A32" s="341" t="s">
        <v>18</v>
      </c>
      <c r="B32" s="354"/>
      <c r="C32" s="342">
        <f>SUM(C33:C39)</f>
        <v>21665</v>
      </c>
      <c r="D32" s="344">
        <f>SUM(D33:D39)</f>
        <v>21764</v>
      </c>
      <c r="E32" s="345">
        <f t="shared" ref="E32:E39" si="8">(C32-D32)/D32</f>
        <v>-4.5487961771733141E-3</v>
      </c>
      <c r="F32" s="347">
        <f>SUM(F33:F39)</f>
        <v>274286</v>
      </c>
      <c r="G32" s="347">
        <f>SUM(G33:G39)</f>
        <v>277951</v>
      </c>
      <c r="H32" s="343">
        <f>(F32-G32)/G32</f>
        <v>-1.3185777349245011E-2</v>
      </c>
      <c r="I32" s="345">
        <f>F32/$F$68</f>
        <v>0.72510257169444214</v>
      </c>
      <c r="J32" s="341" t="s">
        <v>18</v>
      </c>
      <c r="K32" s="354"/>
      <c r="L32" s="342">
        <f>SUM(L33:L39)</f>
        <v>1964568</v>
      </c>
      <c r="M32" s="344">
        <f>SUM(M33:M39)</f>
        <v>1972522</v>
      </c>
      <c r="N32" s="345">
        <f t="shared" ref="N32:N39" si="9">(L32-M32)/M32</f>
        <v>-4.0324011595307937E-3</v>
      </c>
      <c r="O32" s="342">
        <f>SUM(O33:O39)</f>
        <v>25995533</v>
      </c>
      <c r="P32" s="344">
        <f>SUM(P33:P39)</f>
        <v>25843245</v>
      </c>
      <c r="Q32" s="343">
        <f t="shared" ref="Q32:Q39" si="10">(O32-P32)/P32</f>
        <v>5.8927584364889159E-3</v>
      </c>
      <c r="R32" s="345">
        <f t="shared" ref="R32:R39" si="11">O32/$O$68</f>
        <v>0.7065098814911388</v>
      </c>
      <c r="S32" s="408"/>
      <c r="U32" s="11"/>
      <c r="V32" s="11"/>
    </row>
    <row r="33" spans="1:22" ht="14.1" customHeight="1" x14ac:dyDescent="0.2">
      <c r="A33" s="52"/>
      <c r="B33" s="350" t="s">
        <v>18</v>
      </c>
      <c r="C33" s="346">
        <f>[3]Delta!$FK$19</f>
        <v>11228</v>
      </c>
      <c r="D33" s="9">
        <f>[3]Delta!$EW$19</f>
        <v>10115</v>
      </c>
      <c r="E33" s="83">
        <f t="shared" si="8"/>
        <v>0.11003460207612457</v>
      </c>
      <c r="F33" s="9">
        <f>SUM([3]Delta!$EZ$19:$FK$19)</f>
        <v>144882</v>
      </c>
      <c r="G33" s="9">
        <f>SUM([3]Delta!$EL$19:$EW$19)</f>
        <v>136098</v>
      </c>
      <c r="H33" s="38">
        <f t="shared" ref="H33:H39" si="12">(F33-G33)/G33</f>
        <v>6.4541727284750688E-2</v>
      </c>
      <c r="I33" s="83">
        <f t="shared" ref="I33:I39" si="13">F33/$F$68</f>
        <v>0.38301010912782335</v>
      </c>
      <c r="J33" s="52"/>
      <c r="K33" s="350" t="s">
        <v>18</v>
      </c>
      <c r="L33" s="346">
        <f>[3]Delta!$FK$41</f>
        <v>1452490</v>
      </c>
      <c r="M33" s="9">
        <f>[3]Delta!$EW$41</f>
        <v>1375588</v>
      </c>
      <c r="N33" s="83">
        <f t="shared" si="9"/>
        <v>5.5904820338647909E-2</v>
      </c>
      <c r="O33" s="346">
        <f>SUM([3]Delta!$EZ$41:$FK$41)</f>
        <v>19585534</v>
      </c>
      <c r="P33" s="9">
        <f>SUM([3]Delta!$EL$41:$EW$41)</f>
        <v>18661587</v>
      </c>
      <c r="Q33" s="38">
        <f t="shared" si="10"/>
        <v>4.9510633795507318E-2</v>
      </c>
      <c r="R33" s="83">
        <f t="shared" si="11"/>
        <v>0.53229811849907704</v>
      </c>
      <c r="S33" s="19"/>
      <c r="T33" s="9"/>
      <c r="U33" s="11"/>
      <c r="V33" s="11"/>
    </row>
    <row r="34" spans="1:22" ht="14.1" customHeight="1" x14ac:dyDescent="0.2">
      <c r="A34" s="52"/>
      <c r="B34" s="352" t="s">
        <v>121</v>
      </c>
      <c r="C34" s="346">
        <f>[3]Compass!$FK$19</f>
        <v>0</v>
      </c>
      <c r="D34" s="9">
        <f>[3]Compass!$EW$19</f>
        <v>1202</v>
      </c>
      <c r="E34" s="83">
        <f t="shared" si="8"/>
        <v>-1</v>
      </c>
      <c r="F34" s="9">
        <f>SUM([3]Compass!$EZ$19:$FK$19)</f>
        <v>9731</v>
      </c>
      <c r="G34" s="9">
        <f>SUM([3]Compass!$EL$19:$EW$19)</f>
        <v>17349</v>
      </c>
      <c r="H34" s="38">
        <f t="shared" si="12"/>
        <v>-0.43910311833535076</v>
      </c>
      <c r="I34" s="83">
        <f t="shared" si="13"/>
        <v>2.5724875222062432E-2</v>
      </c>
      <c r="J34" s="52"/>
      <c r="K34" s="352" t="s">
        <v>121</v>
      </c>
      <c r="L34" s="346">
        <f>[3]Compass!$FK$41</f>
        <v>0</v>
      </c>
      <c r="M34" s="9">
        <f>[3]Compass!$EW$41</f>
        <v>69144</v>
      </c>
      <c r="N34" s="83">
        <f t="shared" si="9"/>
        <v>-1</v>
      </c>
      <c r="O34" s="346">
        <f>SUM([3]Compass!$EZ$41:$FK$41)</f>
        <v>579555</v>
      </c>
      <c r="P34" s="9">
        <f>SUM([3]Compass!$EL$41:$EW$41)</f>
        <v>1023548</v>
      </c>
      <c r="Q34" s="38">
        <f t="shared" si="10"/>
        <v>-0.43377838655343959</v>
      </c>
      <c r="R34" s="83">
        <f t="shared" si="11"/>
        <v>1.5751219040886638E-2</v>
      </c>
      <c r="S34" s="9"/>
      <c r="T34" s="9"/>
      <c r="U34" s="11"/>
      <c r="V34" s="11"/>
    </row>
    <row r="35" spans="1:22" ht="14.1" customHeight="1" x14ac:dyDescent="0.2">
      <c r="A35" s="52"/>
      <c r="B35" s="351" t="s">
        <v>164</v>
      </c>
      <c r="C35" s="346">
        <f>[3]Pinnacle!$FK$19</f>
        <v>3161</v>
      </c>
      <c r="D35" s="9">
        <f>[3]Pinnacle!$EW$19</f>
        <v>3777</v>
      </c>
      <c r="E35" s="83">
        <f t="shared" si="8"/>
        <v>-0.16309240137675404</v>
      </c>
      <c r="F35" s="9">
        <f>SUM([3]Pinnacle!$EZ$19:$FK$19)</f>
        <v>36611</v>
      </c>
      <c r="G35" s="9">
        <f>SUM([3]Pinnacle!$EL$19:$EW$19)</f>
        <v>46482</v>
      </c>
      <c r="H35" s="38">
        <f t="shared" si="12"/>
        <v>-0.21236177445032486</v>
      </c>
      <c r="I35" s="83">
        <f t="shared" si="13"/>
        <v>9.678485322730733E-2</v>
      </c>
      <c r="J35" s="52"/>
      <c r="K35" s="351" t="s">
        <v>164</v>
      </c>
      <c r="L35" s="346">
        <f>[3]Pinnacle!$FK$41</f>
        <v>170099</v>
      </c>
      <c r="M35" s="9">
        <f>[3]Pinnacle!$EW$41</f>
        <v>196471</v>
      </c>
      <c r="N35" s="83">
        <f t="shared" si="9"/>
        <v>-0.13422846119783582</v>
      </c>
      <c r="O35" s="346">
        <f>SUM([3]Pinnacle!$EZ$41:$FK$41)</f>
        <v>1846302</v>
      </c>
      <c r="P35" s="9">
        <f>SUM([3]Pinnacle!$EL$41:$EW$41)</f>
        <v>2493688</v>
      </c>
      <c r="Q35" s="38">
        <f t="shared" si="10"/>
        <v>-0.25960986298205707</v>
      </c>
      <c r="R35" s="83">
        <f t="shared" si="11"/>
        <v>5.0179029113073099E-2</v>
      </c>
      <c r="S35" s="19"/>
      <c r="T35" s="11"/>
    </row>
    <row r="36" spans="1:22" ht="14.1" customHeight="1" x14ac:dyDescent="0.2">
      <c r="A36" s="52"/>
      <c r="B36" s="351" t="s">
        <v>160</v>
      </c>
      <c r="C36" s="346">
        <f>'[3]Go Jet'!$FK$19</f>
        <v>328</v>
      </c>
      <c r="D36" s="9">
        <f>'[3]Go Jet'!$EW$19</f>
        <v>482</v>
      </c>
      <c r="E36" s="83">
        <f t="shared" si="8"/>
        <v>-0.31950207468879666</v>
      </c>
      <c r="F36" s="9">
        <f>SUM('[3]Go Jet'!$EZ$19:$FK$19)</f>
        <v>4794</v>
      </c>
      <c r="G36" s="9">
        <f>SUM('[3]Go Jet'!$EL$19:$EW$19)</f>
        <v>1329</v>
      </c>
      <c r="H36" s="38">
        <f>(F36-G36)/G36</f>
        <v>2.6072234762979685</v>
      </c>
      <c r="I36" s="83">
        <f t="shared" si="13"/>
        <v>1.2673420184417562E-2</v>
      </c>
      <c r="J36" s="52"/>
      <c r="K36" s="350" t="s">
        <v>160</v>
      </c>
      <c r="L36" s="346">
        <f>'[3]Go Jet'!$FK$41</f>
        <v>18944</v>
      </c>
      <c r="M36" s="9">
        <f>'[3]Go Jet'!$EW$41</f>
        <v>26902</v>
      </c>
      <c r="N36" s="83">
        <f t="shared" si="9"/>
        <v>-0.29581443758828341</v>
      </c>
      <c r="O36" s="346">
        <f>SUM('[3]Go Jet'!$EZ$41:$FK$41)</f>
        <v>271791</v>
      </c>
      <c r="P36" s="9">
        <f>SUM('[3]Go Jet'!$EL$41:$EW$41)</f>
        <v>79817</v>
      </c>
      <c r="Q36" s="38">
        <f>(O36-P36)/P36</f>
        <v>2.4051768420261346</v>
      </c>
      <c r="R36" s="83">
        <f t="shared" si="11"/>
        <v>7.3867701501007157E-3</v>
      </c>
      <c r="S36" s="320"/>
      <c r="T36" s="318"/>
    </row>
    <row r="37" spans="1:22" ht="14.1" customHeight="1" x14ac:dyDescent="0.2">
      <c r="A37" s="52"/>
      <c r="B37" s="351" t="s">
        <v>101</v>
      </c>
      <c r="C37" s="346">
        <f>'[3]Sky West'!$FK$19</f>
        <v>6632</v>
      </c>
      <c r="D37" s="9">
        <f>'[3]Sky West'!$EW$19</f>
        <v>5054</v>
      </c>
      <c r="E37" s="83">
        <f t="shared" si="8"/>
        <v>0.31222793826671941</v>
      </c>
      <c r="F37" s="9">
        <f>SUM('[3]Sky West'!$EZ$19:$FK$19)</f>
        <v>72904</v>
      </c>
      <c r="G37" s="9">
        <f>SUM('[3]Sky West'!$EL$19:$EW$19)</f>
        <v>66285</v>
      </c>
      <c r="H37" s="38">
        <f t="shared" si="12"/>
        <v>9.9856679490080716E-2</v>
      </c>
      <c r="I37" s="83">
        <f t="shared" si="13"/>
        <v>0.19272904153624904</v>
      </c>
      <c r="J37" s="52"/>
      <c r="K37" s="351" t="s">
        <v>101</v>
      </c>
      <c r="L37" s="346">
        <f>'[3]Sky West'!$FK$41</f>
        <v>304589</v>
      </c>
      <c r="M37" s="9">
        <f>'[3]Sky West'!$EW$41</f>
        <v>239623</v>
      </c>
      <c r="N37" s="83">
        <f t="shared" si="9"/>
        <v>0.27111754714697672</v>
      </c>
      <c r="O37" s="346">
        <f>SUM('[3]Sky West'!$EZ$41:$FK$41)</f>
        <v>3414051</v>
      </c>
      <c r="P37" s="9">
        <f>SUM('[3]Sky West'!$EL$41:$EW$41)</f>
        <v>2996242</v>
      </c>
      <c r="Q37" s="38">
        <f t="shared" si="10"/>
        <v>0.13944434394818575</v>
      </c>
      <c r="R37" s="83">
        <f t="shared" si="11"/>
        <v>9.2787509585385453E-2</v>
      </c>
      <c r="S37" s="19"/>
    </row>
    <row r="38" spans="1:22" ht="14.1" customHeight="1" x14ac:dyDescent="0.2">
      <c r="A38" s="52"/>
      <c r="B38" s="351" t="s">
        <v>135</v>
      </c>
      <c r="C38" s="346">
        <f>'[3]Shuttle America_Delta'!$FK$19</f>
        <v>132</v>
      </c>
      <c r="D38" s="9">
        <f>'[3]Shuttle America_Delta'!$EW$19</f>
        <v>356</v>
      </c>
      <c r="E38" s="83">
        <f t="shared" si="8"/>
        <v>-0.6292134831460674</v>
      </c>
      <c r="F38" s="9">
        <f>SUM('[3]Shuttle America_Delta'!$EZ$19:$FK$19)</f>
        <v>290</v>
      </c>
      <c r="G38" s="9">
        <f>SUM('[3]Shuttle America_Delta'!$EL$19:$EW$19)</f>
        <v>1904</v>
      </c>
      <c r="H38" s="38">
        <f t="shared" si="12"/>
        <v>-0.84768907563025209</v>
      </c>
      <c r="I38" s="83">
        <f t="shared" si="13"/>
        <v>7.6664410794349044E-4</v>
      </c>
      <c r="J38" s="52"/>
      <c r="K38" s="351" t="s">
        <v>135</v>
      </c>
      <c r="L38" s="346">
        <f>'[3]Shuttle America_Delta'!$FK$41</f>
        <v>8010</v>
      </c>
      <c r="M38" s="9">
        <f>'[3]Shuttle America_Delta'!$EW$41</f>
        <v>21317</v>
      </c>
      <c r="N38" s="83">
        <f t="shared" si="9"/>
        <v>-0.62424356147675564</v>
      </c>
      <c r="O38" s="346">
        <f>SUM('[3]Shuttle America_Delta'!$EZ$41:$FK$41)</f>
        <v>16506</v>
      </c>
      <c r="P38" s="9">
        <f>SUM('[3]Shuttle America_Delta'!$EL$41:$EW$41)</f>
        <v>109951</v>
      </c>
      <c r="Q38" s="38">
        <f t="shared" si="10"/>
        <v>-0.84987858227755997</v>
      </c>
      <c r="R38" s="83">
        <f t="shared" si="11"/>
        <v>4.486021542198322E-4</v>
      </c>
      <c r="S38" s="19"/>
    </row>
    <row r="39" spans="1:22" ht="14.1" customHeight="1" x14ac:dyDescent="0.2">
      <c r="A39" s="52"/>
      <c r="B39" s="422" t="s">
        <v>183</v>
      </c>
      <c r="C39" s="346">
        <f>'[3]Atlantic Southeast'!$FK$19</f>
        <v>184</v>
      </c>
      <c r="D39" s="9">
        <f>'[3]Atlantic Southeast'!$EW$19</f>
        <v>778</v>
      </c>
      <c r="E39" s="83">
        <f t="shared" si="8"/>
        <v>-0.76349614395886889</v>
      </c>
      <c r="F39" s="9">
        <f>SUM('[3]Atlantic Southeast'!$EZ$19:$FK$19)</f>
        <v>5074</v>
      </c>
      <c r="G39" s="9">
        <f>SUM('[3]Atlantic Southeast'!$EL$19:$EW$19)</f>
        <v>8504</v>
      </c>
      <c r="H39" s="38">
        <f t="shared" si="12"/>
        <v>-0.40333960489181564</v>
      </c>
      <c r="I39" s="83">
        <f t="shared" si="13"/>
        <v>1.3413628288638863E-2</v>
      </c>
      <c r="J39" s="52"/>
      <c r="K39" s="422" t="s">
        <v>183</v>
      </c>
      <c r="L39" s="346">
        <f>'[3]Atlantic Southeast'!$FK$41</f>
        <v>10436</v>
      </c>
      <c r="M39" s="9">
        <f>'[3]Atlantic Southeast'!$EW$41</f>
        <v>43477</v>
      </c>
      <c r="N39" s="83">
        <f t="shared" si="9"/>
        <v>-0.75996503898613055</v>
      </c>
      <c r="O39" s="346">
        <f>SUM('[3]Atlantic Southeast'!$EZ$41:$FK$41)</f>
        <v>281794</v>
      </c>
      <c r="P39" s="9">
        <f>SUM('[3]Atlantic Southeast'!$EL$41:$EW$41)</f>
        <v>478412</v>
      </c>
      <c r="Q39" s="38">
        <f t="shared" si="10"/>
        <v>-0.41098049380032275</v>
      </c>
      <c r="R39" s="83">
        <f t="shared" si="11"/>
        <v>7.6586329483959402E-3</v>
      </c>
      <c r="S39" s="317"/>
    </row>
    <row r="40" spans="1:22" ht="14.1" customHeight="1" x14ac:dyDescent="0.2">
      <c r="A40" s="52"/>
      <c r="B40" s="355"/>
      <c r="C40" s="346"/>
      <c r="D40" s="9"/>
      <c r="E40" s="83"/>
      <c r="F40" s="9"/>
      <c r="G40" s="9"/>
      <c r="H40" s="38"/>
      <c r="I40" s="83"/>
      <c r="J40" s="52"/>
      <c r="K40" s="355"/>
      <c r="L40" s="346"/>
      <c r="M40" s="9"/>
      <c r="N40" s="83"/>
      <c r="O40" s="346"/>
      <c r="P40" s="9"/>
      <c r="Q40" s="38"/>
      <c r="R40" s="83"/>
      <c r="S40" s="317"/>
    </row>
    <row r="41" spans="1:22" s="7" customFormat="1" ht="14.1" customHeight="1" x14ac:dyDescent="0.2">
      <c r="A41" s="341" t="s">
        <v>47</v>
      </c>
      <c r="B41" s="356"/>
      <c r="C41" s="342">
        <f>[3]Frontier!$FK$19</f>
        <v>248</v>
      </c>
      <c r="D41" s="344">
        <f>[3]Frontier!$EW$19</f>
        <v>174</v>
      </c>
      <c r="E41" s="345">
        <f>(C41-D41)/D41</f>
        <v>0.42528735632183906</v>
      </c>
      <c r="F41" s="344">
        <f>SUM([3]Frontier!$EZ$19:$FK$19)</f>
        <v>2291</v>
      </c>
      <c r="G41" s="344">
        <f>SUM([3]Frontier!$EL$19:$EW$19)</f>
        <v>2164</v>
      </c>
      <c r="H41" s="343">
        <f>(F41-G41)/G41</f>
        <v>5.8687615526802218E-2</v>
      </c>
      <c r="I41" s="345">
        <f>F41/$F$68</f>
        <v>6.0564884527535738E-3</v>
      </c>
      <c r="J41" s="341" t="s">
        <v>47</v>
      </c>
      <c r="K41" s="356"/>
      <c r="L41" s="342">
        <f>[3]Frontier!$FK$41</f>
        <v>43467</v>
      </c>
      <c r="M41" s="344">
        <f>[3]Frontier!$EW$41</f>
        <v>27332</v>
      </c>
      <c r="N41" s="345">
        <f>(L41-M41)/M41</f>
        <v>0.59033367481340548</v>
      </c>
      <c r="O41" s="342">
        <f>SUM([3]Frontier!$EZ$41:$FK$41)</f>
        <v>346053</v>
      </c>
      <c r="P41" s="344">
        <f>SUM([3]Frontier!$EL$41:$EW$41)</f>
        <v>327798</v>
      </c>
      <c r="Q41" s="343">
        <f>(O41-P41)/P41</f>
        <v>5.5689784562443945E-2</v>
      </c>
      <c r="R41" s="345">
        <f>O41/$O$68</f>
        <v>9.4050721721940858E-3</v>
      </c>
      <c r="S41" s="319"/>
      <c r="T41"/>
    </row>
    <row r="42" spans="1:22" s="7" customFormat="1" ht="14.1" customHeight="1" x14ac:dyDescent="0.2">
      <c r="A42" s="341"/>
      <c r="B42" s="356"/>
      <c r="C42" s="342"/>
      <c r="D42" s="344"/>
      <c r="E42" s="345"/>
      <c r="F42" s="344"/>
      <c r="G42" s="344"/>
      <c r="H42" s="343"/>
      <c r="I42" s="345"/>
      <c r="J42" s="341"/>
      <c r="K42" s="356"/>
      <c r="L42" s="346"/>
      <c r="M42" s="9"/>
      <c r="N42" s="83"/>
      <c r="O42" s="346"/>
      <c r="P42" s="9"/>
      <c r="Q42" s="38"/>
      <c r="R42" s="83"/>
      <c r="S42" s="319"/>
    </row>
    <row r="43" spans="1:22" s="7" customFormat="1" ht="14.1" customHeight="1" x14ac:dyDescent="0.2">
      <c r="A43" s="341" t="s">
        <v>159</v>
      </c>
      <c r="B43" s="356"/>
      <c r="C43" s="342">
        <f>'[3]Great Lakes'!$FK$19</f>
        <v>0</v>
      </c>
      <c r="D43" s="344">
        <f>'[3]Great Lakes'!$EW$19</f>
        <v>0</v>
      </c>
      <c r="E43" s="345" t="e">
        <f>(C43-D43)/D43</f>
        <v>#DIV/0!</v>
      </c>
      <c r="F43" s="344">
        <f>SUM('[3]Great Lakes'!$EZ$19:$FK$19)</f>
        <v>0</v>
      </c>
      <c r="G43" s="344">
        <f>SUM('[3]Great Lakes'!$EL$19:$EW$19)</f>
        <v>571</v>
      </c>
      <c r="H43" s="343">
        <f>(F43-G43)/G43</f>
        <v>-1</v>
      </c>
      <c r="I43" s="345">
        <f>F43/$F$68</f>
        <v>0</v>
      </c>
      <c r="J43" s="341" t="s">
        <v>159</v>
      </c>
      <c r="K43" s="356"/>
      <c r="L43" s="342">
        <f>'[3]Great Lakes'!$FK$41</f>
        <v>0</v>
      </c>
      <c r="M43" s="344">
        <f>'[3]Great Lakes'!$EW$41</f>
        <v>0</v>
      </c>
      <c r="N43" s="345" t="e">
        <f>(L43-M43)/M43</f>
        <v>#DIV/0!</v>
      </c>
      <c r="O43" s="342">
        <f>SUM('[3]Great Lakes'!$EZ$41:$FK$41)</f>
        <v>0</v>
      </c>
      <c r="P43" s="344">
        <f>SUM('[3]Great Lakes'!$EL$41:$EW$41)</f>
        <v>1557</v>
      </c>
      <c r="Q43" s="343">
        <f>(O43-P43)/P43</f>
        <v>-1</v>
      </c>
      <c r="R43" s="345">
        <f>O43/$O$68</f>
        <v>0</v>
      </c>
      <c r="S43" s="319"/>
    </row>
    <row r="44" spans="1:22" s="7" customFormat="1" ht="14.1" customHeight="1" x14ac:dyDescent="0.2">
      <c r="A44" s="341"/>
      <c r="B44" s="356"/>
      <c r="C44" s="342"/>
      <c r="D44" s="344"/>
      <c r="E44" s="345"/>
      <c r="F44" s="344"/>
      <c r="G44" s="344"/>
      <c r="H44" s="343"/>
      <c r="I44" s="345"/>
      <c r="J44" s="341"/>
      <c r="K44" s="356"/>
      <c r="L44" s="346"/>
      <c r="M44" s="9"/>
      <c r="N44" s="83"/>
      <c r="O44" s="346"/>
      <c r="P44" s="9"/>
      <c r="Q44" s="38"/>
      <c r="R44" s="83"/>
      <c r="S44" s="319"/>
    </row>
    <row r="45" spans="1:22" s="7" customFormat="1" ht="14.1" customHeight="1" x14ac:dyDescent="0.2">
      <c r="A45" s="341" t="s">
        <v>48</v>
      </c>
      <c r="B45" s="356"/>
      <c r="C45" s="342">
        <f>[3]Icelandair!$FK$19</f>
        <v>32</v>
      </c>
      <c r="D45" s="344">
        <f>[3]Icelandair!$EW$19</f>
        <v>32</v>
      </c>
      <c r="E45" s="345">
        <f>(C45-D45)/D45</f>
        <v>0</v>
      </c>
      <c r="F45" s="344">
        <f>SUM([3]Icelandair!$EZ$19:$FK$19)</f>
        <v>558</v>
      </c>
      <c r="G45" s="344">
        <f>SUM([3]Icelandair!$EL$19:$EW$19)</f>
        <v>418</v>
      </c>
      <c r="H45" s="343">
        <f>(F45-G45)/G45</f>
        <v>0.3349282296650718</v>
      </c>
      <c r="I45" s="345">
        <f>F45/$F$68</f>
        <v>1.4751290076981643E-3</v>
      </c>
      <c r="J45" s="341" t="s">
        <v>48</v>
      </c>
      <c r="K45" s="356"/>
      <c r="L45" s="342">
        <f>[3]Icelandair!$FK$41</f>
        <v>4466</v>
      </c>
      <c r="M45" s="344">
        <f>[3]Icelandair!$EW$41</f>
        <v>4473</v>
      </c>
      <c r="N45" s="345">
        <f>(L45-M45)/M45</f>
        <v>-1.5649452269170579E-3</v>
      </c>
      <c r="O45" s="342">
        <f>SUM([3]Icelandair!$EZ$41:$FK$41)</f>
        <v>99406</v>
      </c>
      <c r="P45" s="344">
        <f>SUM([3]Icelandair!$EL$41:$EW$41)</f>
        <v>74564</v>
      </c>
      <c r="Q45" s="343">
        <f>(O45-P45)/P45</f>
        <v>0.33316345689608928</v>
      </c>
      <c r="R45" s="345">
        <f>O45/$O$68</f>
        <v>2.701668832083887E-3</v>
      </c>
      <c r="S45" s="19"/>
    </row>
    <row r="46" spans="1:22" s="7" customFormat="1" ht="14.1" customHeight="1" x14ac:dyDescent="0.2">
      <c r="A46" s="341"/>
      <c r="B46" s="356"/>
      <c r="C46" s="342"/>
      <c r="D46" s="344"/>
      <c r="E46" s="345"/>
      <c r="F46" s="344"/>
      <c r="G46" s="344"/>
      <c r="H46" s="343"/>
      <c r="I46" s="345"/>
      <c r="J46" s="341"/>
      <c r="K46" s="356"/>
      <c r="L46" s="346"/>
      <c r="M46" s="9"/>
      <c r="N46" s="83"/>
      <c r="O46" s="346"/>
      <c r="P46" s="9"/>
      <c r="Q46" s="38"/>
      <c r="R46" s="83"/>
      <c r="S46" s="19"/>
    </row>
    <row r="47" spans="1:22" s="7" customFormat="1" ht="14.1" customHeight="1" x14ac:dyDescent="0.2">
      <c r="A47" s="341" t="s">
        <v>222</v>
      </c>
      <c r="B47" s="356"/>
      <c r="C47" s="342">
        <f>[3]KLM!$FK$19</f>
        <v>28</v>
      </c>
      <c r="D47" s="344">
        <f>[3]KLM!$EW$19</f>
        <v>0</v>
      </c>
      <c r="E47" s="345" t="e">
        <f>(C47-D47)/D47</f>
        <v>#DIV/0!</v>
      </c>
      <c r="F47" s="344">
        <f>SUM([3]KLM!$EZ$19:$FK$19)</f>
        <v>232</v>
      </c>
      <c r="G47" s="344">
        <f>SUM([3]KLM!$EL$19:$EW$19)</f>
        <v>0</v>
      </c>
      <c r="H47" s="343" t="e">
        <f>(F47-G47)/G47</f>
        <v>#DIV/0!</v>
      </c>
      <c r="I47" s="345">
        <f>F47/$F$68</f>
        <v>6.1331528635479233E-4</v>
      </c>
      <c r="J47" s="341" t="s">
        <v>222</v>
      </c>
      <c r="K47" s="356"/>
      <c r="L47" s="342">
        <f>[3]KLM!$FK$41</f>
        <v>5768</v>
      </c>
      <c r="M47" s="344">
        <f>[3]KLM!$EW$41</f>
        <v>0</v>
      </c>
      <c r="N47" s="345" t="e">
        <f>(L47-M47)/M47</f>
        <v>#DIV/0!</v>
      </c>
      <c r="O47" s="342">
        <f>SUM([3]KLM!$EZ$41:$FK$41)</f>
        <v>52356</v>
      </c>
      <c r="P47" s="344">
        <f>SUM([3]KLM!$EL$41:$EW$41)</f>
        <v>0</v>
      </c>
      <c r="Q47" s="343" t="e">
        <f>(O47-P47)/P47</f>
        <v>#DIV/0!</v>
      </c>
      <c r="R47" s="345">
        <f>O47/$O$68</f>
        <v>1.4229379853588715E-3</v>
      </c>
      <c r="S47" s="19"/>
    </row>
    <row r="48" spans="1:22" s="7" customFormat="1" ht="14.1" customHeight="1" x14ac:dyDescent="0.2">
      <c r="A48" s="341"/>
      <c r="B48" s="356"/>
      <c r="C48" s="342"/>
      <c r="D48" s="344"/>
      <c r="E48" s="345"/>
      <c r="F48" s="344"/>
      <c r="G48" s="344"/>
      <c r="H48" s="343"/>
      <c r="I48" s="345"/>
      <c r="J48" s="341"/>
      <c r="K48" s="356"/>
      <c r="L48" s="346"/>
      <c r="M48" s="9"/>
      <c r="N48" s="83"/>
      <c r="O48" s="346"/>
      <c r="P48" s="9"/>
      <c r="Q48" s="38"/>
      <c r="R48" s="83"/>
      <c r="S48" s="19"/>
    </row>
    <row r="49" spans="1:20" ht="14.1" customHeight="1" x14ac:dyDescent="0.2">
      <c r="A49" s="353" t="s">
        <v>133</v>
      </c>
      <c r="B49" s="53"/>
      <c r="C49" s="342">
        <f>SUM(C50:C50)</f>
        <v>1256</v>
      </c>
      <c r="D49" s="344">
        <f>SUM(D50:D50)</f>
        <v>1304</v>
      </c>
      <c r="E49" s="345">
        <f>(C49-D49)/D49</f>
        <v>-3.6809815950920248E-2</v>
      </c>
      <c r="F49" s="342">
        <f>SUM(F50:F50)</f>
        <v>17648</v>
      </c>
      <c r="G49" s="344">
        <f>SUM(G50:G50)</f>
        <v>17197</v>
      </c>
      <c r="H49" s="343">
        <f>(F49-G49)/G49</f>
        <v>2.6225504448450312E-2</v>
      </c>
      <c r="I49" s="345">
        <f>F49/$F$68</f>
        <v>4.6654259368919718E-2</v>
      </c>
      <c r="J49" s="341" t="s">
        <v>133</v>
      </c>
      <c r="K49" s="53"/>
      <c r="L49" s="342">
        <f>SUM(L50:L50)</f>
        <v>152742</v>
      </c>
      <c r="M49" s="344">
        <f>SUM(M50:M50)</f>
        <v>157979</v>
      </c>
      <c r="N49" s="345">
        <f>(L49-M49)/M49</f>
        <v>-3.3149975629672299E-2</v>
      </c>
      <c r="O49" s="342">
        <f>SUM(O50:O50)</f>
        <v>2058405</v>
      </c>
      <c r="P49" s="344">
        <f>SUM(P50:P50)</f>
        <v>2109637</v>
      </c>
      <c r="Q49" s="343">
        <f>(O49-P49)/P49</f>
        <v>-2.4284746617546052E-2</v>
      </c>
      <c r="R49" s="345">
        <f>O49/$O$68</f>
        <v>5.5943591255111697E-2</v>
      </c>
      <c r="S49" s="19"/>
    </row>
    <row r="50" spans="1:20" ht="14.1" customHeight="1" x14ac:dyDescent="0.2">
      <c r="A50" s="353"/>
      <c r="B50" s="53" t="s">
        <v>133</v>
      </c>
      <c r="C50" s="417">
        <f>[3]Southwest!$FK$19</f>
        <v>1256</v>
      </c>
      <c r="D50" s="285">
        <f>[3]Southwest!$EW$19</f>
        <v>1304</v>
      </c>
      <c r="E50" s="419">
        <f>(C50-D50)/D50</f>
        <v>-3.6809815950920248E-2</v>
      </c>
      <c r="F50" s="285">
        <f>SUM([3]Southwest!$EZ$19:$FK$19)</f>
        <v>17648</v>
      </c>
      <c r="G50" s="285">
        <f>SUM([3]Southwest!$EL$19:$EW$19)</f>
        <v>17197</v>
      </c>
      <c r="H50" s="418">
        <f>(F50-G50)/G50</f>
        <v>2.6225504448450312E-2</v>
      </c>
      <c r="I50" s="419">
        <f>F50/$F$68</f>
        <v>4.6654259368919718E-2</v>
      </c>
      <c r="J50" s="341"/>
      <c r="K50" s="53" t="s">
        <v>133</v>
      </c>
      <c r="L50" s="417">
        <f>[3]Southwest!$FK$41</f>
        <v>152742</v>
      </c>
      <c r="M50" s="285">
        <f>[3]Southwest!$EW$41</f>
        <v>157979</v>
      </c>
      <c r="N50" s="419">
        <f>(L50-M50)/M50</f>
        <v>-3.3149975629672299E-2</v>
      </c>
      <c r="O50" s="417">
        <f>SUM([3]Southwest!$EZ$41:$FK$41)</f>
        <v>2058405</v>
      </c>
      <c r="P50" s="285">
        <f>SUM([3]Southwest!$EL$41:$EW$41)</f>
        <v>2109637</v>
      </c>
      <c r="Q50" s="418">
        <f>(O50-P50)/P50</f>
        <v>-2.4284746617546052E-2</v>
      </c>
      <c r="R50" s="419">
        <f>O50/$O$68</f>
        <v>5.5943591255111697E-2</v>
      </c>
      <c r="S50" s="19"/>
    </row>
    <row r="51" spans="1:20" ht="14.1" customHeight="1" x14ac:dyDescent="0.2">
      <c r="A51" s="341"/>
      <c r="B51" s="53"/>
      <c r="C51" s="342"/>
      <c r="D51" s="344"/>
      <c r="E51" s="345"/>
      <c r="F51" s="344"/>
      <c r="G51" s="344"/>
      <c r="H51" s="343"/>
      <c r="I51" s="345"/>
      <c r="J51" s="341"/>
      <c r="K51" s="53"/>
      <c r="L51" s="346"/>
      <c r="M51" s="9"/>
      <c r="N51" s="83"/>
      <c r="O51" s="346"/>
      <c r="P51" s="9"/>
      <c r="Q51" s="38"/>
      <c r="R51" s="83"/>
      <c r="S51" s="19"/>
      <c r="T51" s="7"/>
    </row>
    <row r="52" spans="1:20" ht="14.1" customHeight="1" x14ac:dyDescent="0.2">
      <c r="A52" s="341" t="s">
        <v>161</v>
      </c>
      <c r="B52" s="53"/>
      <c r="C52" s="342">
        <f>[3]Spirit!$FK$19</f>
        <v>718</v>
      </c>
      <c r="D52" s="344">
        <f>[3]Spirit!$EW$19</f>
        <v>766</v>
      </c>
      <c r="E52" s="345">
        <f>(C52-D52)/D52</f>
        <v>-6.2663185378590072E-2</v>
      </c>
      <c r="F52" s="344">
        <f>SUM([3]Spirit!$EZ$19:$FK$19)</f>
        <v>9161</v>
      </c>
      <c r="G52" s="344">
        <f>SUM([3]Spirit!$EL$19:$EW$19)</f>
        <v>8851</v>
      </c>
      <c r="H52" s="343">
        <f>(F52-G52)/G52</f>
        <v>3.5024291040560387E-2</v>
      </c>
      <c r="I52" s="345">
        <f>F52/$F$68</f>
        <v>2.421802300989764E-2</v>
      </c>
      <c r="J52" s="341" t="s">
        <v>161</v>
      </c>
      <c r="K52" s="53"/>
      <c r="L52" s="342">
        <f>[3]Spirit!$FK$41</f>
        <v>89435</v>
      </c>
      <c r="M52" s="344">
        <f>[3]Spirit!$EW$41</f>
        <v>93073</v>
      </c>
      <c r="N52" s="345">
        <f>(L52-M52)/M52</f>
        <v>-3.9087597907019218E-2</v>
      </c>
      <c r="O52" s="342">
        <f>SUM([3]Spirit!$EZ$41:$FK$41)</f>
        <v>1232433</v>
      </c>
      <c r="P52" s="344">
        <f>SUM([3]Spirit!$EL$41:$EW$41)</f>
        <v>1200623</v>
      </c>
      <c r="Q52" s="343">
        <f>(O52-P52)/P52</f>
        <v>2.6494578231468162E-2</v>
      </c>
      <c r="R52" s="345">
        <f>O52/$O$68</f>
        <v>3.3495219843184931E-2</v>
      </c>
      <c r="S52" s="19"/>
      <c r="T52" s="7"/>
    </row>
    <row r="53" spans="1:20" ht="14.1" customHeight="1" x14ac:dyDescent="0.2">
      <c r="A53" s="341"/>
      <c r="B53" s="53"/>
      <c r="C53" s="342"/>
      <c r="D53" s="344"/>
      <c r="E53" s="345"/>
      <c r="F53" s="344"/>
      <c r="G53" s="344"/>
      <c r="H53" s="343"/>
      <c r="I53" s="345"/>
      <c r="J53" s="341"/>
      <c r="K53" s="53"/>
      <c r="L53" s="346"/>
      <c r="M53" s="9"/>
      <c r="N53" s="83"/>
      <c r="O53" s="346"/>
      <c r="P53" s="9"/>
      <c r="Q53" s="38"/>
      <c r="R53" s="83">
        <f>O53/$O$68</f>
        <v>0</v>
      </c>
      <c r="S53" s="19"/>
      <c r="T53" s="7"/>
    </row>
    <row r="54" spans="1:20" s="7" customFormat="1" ht="14.1" customHeight="1" x14ac:dyDescent="0.2">
      <c r="A54" s="341" t="s">
        <v>49</v>
      </c>
      <c r="B54" s="356"/>
      <c r="C54" s="342">
        <f>'[3]Sun Country'!$FK$19</f>
        <v>1953</v>
      </c>
      <c r="D54" s="344">
        <f>'[3]Sun Country'!$EW$19</f>
        <v>1913</v>
      </c>
      <c r="E54" s="345">
        <f>(C54-D54)/D54</f>
        <v>2.0909566126502875E-2</v>
      </c>
      <c r="F54" s="344">
        <f>SUM('[3]Sun Country'!$EZ$19:$FK$19)</f>
        <v>21022</v>
      </c>
      <c r="G54" s="344">
        <f>SUM('[3]Sun Country'!$EL$19:$EW$19)</f>
        <v>19545</v>
      </c>
      <c r="H54" s="343">
        <f>(F54-G54)/G54</f>
        <v>7.5569199283704272E-2</v>
      </c>
      <c r="I54" s="345">
        <f>F54/$F$68</f>
        <v>5.5573767024786398E-2</v>
      </c>
      <c r="J54" s="341" t="s">
        <v>49</v>
      </c>
      <c r="K54" s="356"/>
      <c r="L54" s="342">
        <f>'[3]Sun Country'!$FK$41</f>
        <v>227101</v>
      </c>
      <c r="M54" s="344">
        <f>'[3]Sun Country'!$EW$41</f>
        <v>203168</v>
      </c>
      <c r="N54" s="345">
        <f>(L54-M54)/M54</f>
        <v>0.11779906284454245</v>
      </c>
      <c r="O54" s="342">
        <f>SUM('[3]Sun Country'!$EZ$41:$FK$41)</f>
        <v>2411903</v>
      </c>
      <c r="P54" s="344">
        <f>SUM('[3]Sun Country'!$EL$41:$EW$41)</f>
        <v>2197819</v>
      </c>
      <c r="Q54" s="343">
        <f>(O54-P54)/P54</f>
        <v>9.7407475319851181E-2</v>
      </c>
      <c r="R54" s="345">
        <f>O54/$O$68</f>
        <v>6.5551004578291286E-2</v>
      </c>
      <c r="S54" s="19"/>
    </row>
    <row r="55" spans="1:20" s="7" customFormat="1" ht="14.1" customHeight="1" x14ac:dyDescent="0.2">
      <c r="A55" s="341"/>
      <c r="B55" s="356"/>
      <c r="C55" s="342"/>
      <c r="D55" s="344"/>
      <c r="E55" s="345"/>
      <c r="F55" s="344"/>
      <c r="G55" s="344"/>
      <c r="H55" s="343"/>
      <c r="I55" s="345"/>
      <c r="J55" s="341"/>
      <c r="K55" s="356"/>
      <c r="L55" s="346"/>
      <c r="M55" s="9"/>
      <c r="N55" s="83"/>
      <c r="O55" s="346"/>
      <c r="P55" s="9"/>
      <c r="Q55" s="38"/>
      <c r="R55" s="83"/>
      <c r="S55" s="19"/>
    </row>
    <row r="56" spans="1:20" s="7" customFormat="1" ht="14.1" customHeight="1" x14ac:dyDescent="0.2">
      <c r="A56" s="341" t="s">
        <v>19</v>
      </c>
      <c r="B56" s="349"/>
      <c r="C56" s="342">
        <f>SUM(C57:C63)</f>
        <v>1474</v>
      </c>
      <c r="D56" s="344">
        <f>SUM(D57:D63)</f>
        <v>1452</v>
      </c>
      <c r="E56" s="345">
        <f t="shared" ref="E56:E63" si="14">(C56-D56)/D56</f>
        <v>1.5151515151515152E-2</v>
      </c>
      <c r="F56" s="344">
        <f>SUM(F57:F63)</f>
        <v>19990</v>
      </c>
      <c r="G56" s="344">
        <f>SUM(G57:G63)</f>
        <v>20058</v>
      </c>
      <c r="H56" s="343">
        <f t="shared" ref="H56:H63" si="15">(F56-G56)/G56</f>
        <v>-3.3901685113171803E-3</v>
      </c>
      <c r="I56" s="345">
        <f t="shared" ref="I56:I63" si="16">F56/$F$68</f>
        <v>5.2845571440656457E-2</v>
      </c>
      <c r="J56" s="341" t="s">
        <v>19</v>
      </c>
      <c r="K56" s="349"/>
      <c r="L56" s="342">
        <f>SUM(L57:L63)</f>
        <v>122122</v>
      </c>
      <c r="M56" s="344">
        <f>SUM(M57:M63)</f>
        <v>127863</v>
      </c>
      <c r="N56" s="345">
        <f t="shared" ref="N56:N63" si="17">(L56-M56)/M56</f>
        <v>-4.4899619123593221E-2</v>
      </c>
      <c r="O56" s="342">
        <f>SUM(O57:O63)</f>
        <v>1696922</v>
      </c>
      <c r="P56" s="344">
        <f>SUM(P57:P63)</f>
        <v>1736055</v>
      </c>
      <c r="Q56" s="343">
        <f t="shared" ref="Q56:Q63" si="18">(O56-P56)/P56</f>
        <v>-2.2541336535996843E-2</v>
      </c>
      <c r="R56" s="345">
        <f t="shared" ref="R56:R63" si="19">O56/$O$68</f>
        <v>4.6119160592695142E-2</v>
      </c>
      <c r="S56" s="19"/>
      <c r="T56"/>
    </row>
    <row r="57" spans="1:20" s="7" customFormat="1" ht="14.1" customHeight="1" x14ac:dyDescent="0.2">
      <c r="A57" s="357"/>
      <c r="B57" s="420" t="s">
        <v>19</v>
      </c>
      <c r="C57" s="346">
        <f>[3]United!$FK$19</f>
        <v>470</v>
      </c>
      <c r="D57" s="9">
        <f>[3]United!$EW$19+[3]Continental!$EW$19</f>
        <v>604</v>
      </c>
      <c r="E57" s="83">
        <f t="shared" si="14"/>
        <v>-0.22185430463576158</v>
      </c>
      <c r="F57" s="9">
        <f>SUM([3]United!$EZ$19:$FK$19)</f>
        <v>8642</v>
      </c>
      <c r="G57" s="9">
        <f>SUM([3]United!$EL$19:$EW$19)+SUM([3]Continental!$EL$19:$EW$19)</f>
        <v>7898</v>
      </c>
      <c r="H57" s="38">
        <f t="shared" si="15"/>
        <v>9.4201063560395037E-2</v>
      </c>
      <c r="I57" s="83">
        <f t="shared" si="16"/>
        <v>2.2845994416716014E-2</v>
      </c>
      <c r="J57" s="357"/>
      <c r="K57" s="420" t="s">
        <v>19</v>
      </c>
      <c r="L57" s="346">
        <f>[3]United!$FK$41</f>
        <v>59174</v>
      </c>
      <c r="M57" s="9">
        <f>[3]United!$EW$41+[3]Continental!$EW$41</f>
        <v>74473</v>
      </c>
      <c r="N57" s="83">
        <f t="shared" si="17"/>
        <v>-0.20543015589542518</v>
      </c>
      <c r="O57" s="346">
        <f>SUM([3]United!$EZ$41:$FK$41)</f>
        <v>1019899</v>
      </c>
      <c r="P57" s="9">
        <f>SUM([3]United!$EL$41:$EW$41)+SUM([3]Continental!$EL$41:$EW$41)</f>
        <v>977939</v>
      </c>
      <c r="Q57" s="38">
        <f t="shared" si="18"/>
        <v>4.2906561656708649E-2</v>
      </c>
      <c r="R57" s="83">
        <f t="shared" si="19"/>
        <v>2.7718943928671552E-2</v>
      </c>
      <c r="S57" s="19"/>
    </row>
    <row r="58" spans="1:20" s="7" customFormat="1" ht="14.1" customHeight="1" x14ac:dyDescent="0.2">
      <c r="A58" s="357"/>
      <c r="B58" s="422" t="s">
        <v>183</v>
      </c>
      <c r="C58" s="346">
        <f>'[3]Continental Express'!$FK$19</f>
        <v>16</v>
      </c>
      <c r="D58" s="9">
        <f>'[3]Continental Express'!$EW$19</f>
        <v>16</v>
      </c>
      <c r="E58" s="83">
        <f t="shared" si="14"/>
        <v>0</v>
      </c>
      <c r="F58" s="9">
        <f>SUM('[3]Continental Express'!$EZ$19:$FK$19)</f>
        <v>184</v>
      </c>
      <c r="G58" s="9">
        <f>SUM('[3]Continental Express'!$EL$19:$EW$19)</f>
        <v>1194</v>
      </c>
      <c r="H58" s="38">
        <f t="shared" si="15"/>
        <v>-0.84589614740368513</v>
      </c>
      <c r="I58" s="83">
        <f t="shared" si="16"/>
        <v>4.8642246848828357E-4</v>
      </c>
      <c r="J58" s="52"/>
      <c r="K58" s="420" t="s">
        <v>183</v>
      </c>
      <c r="L58" s="346">
        <f>'[3]Continental Express'!$FK$41</f>
        <v>643</v>
      </c>
      <c r="M58" s="9">
        <f>'[3]Continental Express'!$EW$41</f>
        <v>607</v>
      </c>
      <c r="N58" s="83">
        <f t="shared" si="17"/>
        <v>5.9308072487644151E-2</v>
      </c>
      <c r="O58" s="346">
        <f>SUM('[3]Continental Express'!$EZ$41:$FK$41)</f>
        <v>7476</v>
      </c>
      <c r="P58" s="9">
        <f>SUM('[3]Continental Express'!$EL$41:$EW$41)</f>
        <v>76649</v>
      </c>
      <c r="Q58" s="38">
        <f t="shared" si="18"/>
        <v>-0.90246448094560916</v>
      </c>
      <c r="R58" s="83">
        <f t="shared" si="19"/>
        <v>2.0318367290363901E-4</v>
      </c>
      <c r="S58" s="19"/>
    </row>
    <row r="59" spans="1:20" s="7" customFormat="1" ht="14.1" customHeight="1" x14ac:dyDescent="0.2">
      <c r="A59" s="357"/>
      <c r="B59" s="351" t="s">
        <v>160</v>
      </c>
      <c r="C59" s="346">
        <f>'[3]Go Jet_UA'!$FK$19</f>
        <v>100</v>
      </c>
      <c r="D59" s="9">
        <f>'[3]Go Jet_UA'!$EW$19</f>
        <v>64</v>
      </c>
      <c r="E59" s="83">
        <f t="shared" si="14"/>
        <v>0.5625</v>
      </c>
      <c r="F59" s="9">
        <f>SUM('[3]Go Jet_UA'!$EZ$19:$FK$19)</f>
        <v>502</v>
      </c>
      <c r="G59" s="9">
        <f>SUM('[3]Go Jet_UA'!$EL$19:$EW$19)</f>
        <v>344</v>
      </c>
      <c r="H59" s="38">
        <f t="shared" si="15"/>
        <v>0.45930232558139533</v>
      </c>
      <c r="I59" s="83">
        <f t="shared" si="16"/>
        <v>1.3270873868539042E-3</v>
      </c>
      <c r="J59" s="357"/>
      <c r="K59" s="350" t="s">
        <v>160</v>
      </c>
      <c r="L59" s="346">
        <f>'[3]Go Jet_UA'!$FK$41</f>
        <v>6496</v>
      </c>
      <c r="M59" s="9">
        <f>'[3]Go Jet_UA'!$EW$41</f>
        <v>3659</v>
      </c>
      <c r="N59" s="83">
        <f t="shared" si="17"/>
        <v>0.77534845586225742</v>
      </c>
      <c r="O59" s="346">
        <f>SUM('[3]Go Jet_UA'!$EZ$41:$FK$41)</f>
        <v>32878</v>
      </c>
      <c r="P59" s="9">
        <f>SUM('[3]Go Jet_UA'!$EL$41:$EW$41)</f>
        <v>21445</v>
      </c>
      <c r="Q59" s="38">
        <f t="shared" si="18"/>
        <v>0.53313126602937744</v>
      </c>
      <c r="R59" s="83">
        <f t="shared" si="19"/>
        <v>8.9356243950318925E-4</v>
      </c>
      <c r="S59" s="19"/>
    </row>
    <row r="60" spans="1:20" s="7" customFormat="1" ht="14.1" customHeight="1" x14ac:dyDescent="0.2">
      <c r="A60" s="357"/>
      <c r="B60" s="351" t="s">
        <v>52</v>
      </c>
      <c r="C60" s="346">
        <f>[3]MESA_UA!$FK$19</f>
        <v>212</v>
      </c>
      <c r="D60" s="9">
        <f>[3]MESA_UA!$EW$19</f>
        <v>288</v>
      </c>
      <c r="E60" s="83">
        <f t="shared" si="14"/>
        <v>-0.2638888888888889</v>
      </c>
      <c r="F60" s="9">
        <f>SUM([3]MESA_UA!$EZ$19:$FK$19)</f>
        <v>3558</v>
      </c>
      <c r="G60" s="9">
        <f>SUM([3]MESA_UA!$EL$19:$EW$19)</f>
        <v>3568</v>
      </c>
      <c r="H60" s="38">
        <f>(F60-G60)/G60</f>
        <v>-2.8026905829596411E-3</v>
      </c>
      <c r="I60" s="83">
        <f t="shared" si="16"/>
        <v>9.4059301243549619E-3</v>
      </c>
      <c r="J60" s="357"/>
      <c r="K60" s="350" t="s">
        <v>52</v>
      </c>
      <c r="L60" s="346">
        <f>[3]MESA_UA!$FK$41</f>
        <v>13074</v>
      </c>
      <c r="M60" s="9">
        <f>[3]MESA_UA!$EW$41</f>
        <v>18129</v>
      </c>
      <c r="N60" s="83">
        <f t="shared" si="17"/>
        <v>-0.27883501572066854</v>
      </c>
      <c r="O60" s="346">
        <f>SUM([3]MESA_UA!$EZ$41:$FK$41)</f>
        <v>205391</v>
      </c>
      <c r="P60" s="9">
        <f>SUM([3]MESA_UA!$EL$41:$EW$41)</f>
        <v>210329</v>
      </c>
      <c r="Q60" s="38">
        <f t="shared" si="18"/>
        <v>-2.3477504290896643E-2</v>
      </c>
      <c r="R60" s="83">
        <f t="shared" si="19"/>
        <v>5.5821425576981429E-3</v>
      </c>
      <c r="S60" s="19"/>
    </row>
    <row r="61" spans="1:20" s="7" customFormat="1" ht="14.1" customHeight="1" x14ac:dyDescent="0.2">
      <c r="A61" s="357"/>
      <c r="B61" s="422" t="s">
        <v>53</v>
      </c>
      <c r="C61" s="346">
        <f>[3]Republic_UA!$FK$19</f>
        <v>458</v>
      </c>
      <c r="D61" s="9">
        <f>[3]Republic_UA!$EW$19</f>
        <v>228</v>
      </c>
      <c r="E61" s="83">
        <f t="shared" si="14"/>
        <v>1.0087719298245614</v>
      </c>
      <c r="F61" s="9">
        <f>SUM([3]Republic_UA!$EZ$19:$FK$19)</f>
        <v>4038</v>
      </c>
      <c r="G61" s="9">
        <f>SUM([3]Republic_UA!$EL$19:$EW$19)</f>
        <v>2346</v>
      </c>
      <c r="H61" s="38">
        <f t="shared" ref="H61" si="20">(F61-G61)/G61</f>
        <v>0.72122762148337594</v>
      </c>
      <c r="I61" s="83">
        <f t="shared" si="16"/>
        <v>1.0674858303020049E-2</v>
      </c>
      <c r="J61" s="357"/>
      <c r="K61" s="422" t="s">
        <v>53</v>
      </c>
      <c r="L61" s="346">
        <f>[3]Republic_UA!$FK$41</f>
        <v>29205</v>
      </c>
      <c r="M61" s="9">
        <f>[3]Republic_UA!$EW$41</f>
        <v>14180</v>
      </c>
      <c r="N61" s="83">
        <f t="shared" si="17"/>
        <v>1.0595909732016926</v>
      </c>
      <c r="O61" s="346">
        <f>SUM([3]Republic_UA!$EZ$41:$FK$41)</f>
        <v>231473</v>
      </c>
      <c r="P61" s="9">
        <f>SUM([3]Republic_UA!$EL$41:$EW$41)</f>
        <v>141797</v>
      </c>
      <c r="Q61" s="38">
        <f t="shared" si="18"/>
        <v>0.63242522761412445</v>
      </c>
      <c r="R61" s="83">
        <f t="shared" si="19"/>
        <v>6.2910024502439849E-3</v>
      </c>
      <c r="S61" s="19"/>
    </row>
    <row r="62" spans="1:20" s="7" customFormat="1" ht="14.1" customHeight="1" x14ac:dyDescent="0.2">
      <c r="A62" s="357"/>
      <c r="B62" s="351" t="s">
        <v>101</v>
      </c>
      <c r="C62" s="346">
        <f>'[3]Sky West_UA'!$FK$19</f>
        <v>218</v>
      </c>
      <c r="D62" s="9">
        <f>'[3]Sky West_UA'!$EW$19+'[3]Sky West_CO'!$EW$19</f>
        <v>236</v>
      </c>
      <c r="E62" s="83">
        <f t="shared" si="14"/>
        <v>-7.6271186440677971E-2</v>
      </c>
      <c r="F62" s="9">
        <f>SUM('[3]Sky West_UA'!$EZ$19:$FK$19)</f>
        <v>3042</v>
      </c>
      <c r="G62" s="9">
        <f>SUM('[3]Sky West_UA'!$EL$19:$EW$19)+SUM('[3]Sky West_CO'!$EL$19:$EW$19)</f>
        <v>4042</v>
      </c>
      <c r="H62" s="38">
        <f t="shared" si="15"/>
        <v>-0.24740227610094012</v>
      </c>
      <c r="I62" s="83">
        <f t="shared" si="16"/>
        <v>8.0418323322899929E-3</v>
      </c>
      <c r="J62" s="357"/>
      <c r="K62" s="350" t="s">
        <v>101</v>
      </c>
      <c r="L62" s="346">
        <f>'[3]Sky West_UA'!$FK$41</f>
        <v>13530</v>
      </c>
      <c r="M62" s="9">
        <f>'[3]Sky West_UA'!$EW$41+'[3]Sky West_CO'!$EW$41</f>
        <v>15834</v>
      </c>
      <c r="N62" s="83">
        <f t="shared" si="17"/>
        <v>-0.14550966275104207</v>
      </c>
      <c r="O62" s="346">
        <f>SUM('[3]Sky West_UA'!$EZ$41:$FK$41)</f>
        <v>198532</v>
      </c>
      <c r="P62" s="9">
        <f>SUM('[3]Sky West_UA'!$EL$41:$EW$41)+SUM('[3]Sky West_CO'!$EL$41:$EW$41)</f>
        <v>269463</v>
      </c>
      <c r="Q62" s="38">
        <f t="shared" si="18"/>
        <v>-0.26323094450815138</v>
      </c>
      <c r="R62" s="83">
        <f t="shared" si="19"/>
        <v>5.3957277887781247E-3</v>
      </c>
      <c r="S62" s="19"/>
    </row>
    <row r="63" spans="1:20" s="7" customFormat="1" ht="14.1" customHeight="1" x14ac:dyDescent="0.2">
      <c r="A63" s="357"/>
      <c r="B63" s="352" t="s">
        <v>135</v>
      </c>
      <c r="C63" s="346">
        <f>'[3]Shuttle America'!$FK$19</f>
        <v>0</v>
      </c>
      <c r="D63" s="9">
        <f>'[3]Shuttle America'!$EW$19</f>
        <v>16</v>
      </c>
      <c r="E63" s="83">
        <f t="shared" si="14"/>
        <v>-1</v>
      </c>
      <c r="F63" s="9">
        <f>SUM('[3]Shuttle America'!$EZ$19:$FK$19)</f>
        <v>24</v>
      </c>
      <c r="G63" s="9">
        <f>SUM('[3]Shuttle America'!$EL$19:$EW$19)</f>
        <v>666</v>
      </c>
      <c r="H63" s="38">
        <f t="shared" si="15"/>
        <v>-0.963963963963964</v>
      </c>
      <c r="I63" s="83">
        <f t="shared" si="16"/>
        <v>6.3446408933254381E-5</v>
      </c>
      <c r="J63" s="357"/>
      <c r="K63" s="352" t="s">
        <v>135</v>
      </c>
      <c r="L63" s="346">
        <f>'[3]Shuttle America'!$FK$41</f>
        <v>0</v>
      </c>
      <c r="M63" s="9">
        <f>'[3]Shuttle America'!$EW$41</f>
        <v>981</v>
      </c>
      <c r="N63" s="83">
        <f t="shared" si="17"/>
        <v>-1</v>
      </c>
      <c r="O63" s="346">
        <f>SUM('[3]Shuttle America'!$EZ$41:$FK$41)</f>
        <v>1273</v>
      </c>
      <c r="P63" s="9">
        <f>SUM('[3]Shuttle America'!$EL$41:$EW$41)</f>
        <v>38433</v>
      </c>
      <c r="Q63" s="38">
        <f t="shared" si="18"/>
        <v>-0.96687742304790159</v>
      </c>
      <c r="R63" s="83">
        <f t="shared" si="19"/>
        <v>3.4597754896513166E-5</v>
      </c>
      <c r="S63" s="19"/>
    </row>
    <row r="64" spans="1:20" s="7" customFormat="1" ht="14.1" customHeight="1" thickBot="1" x14ac:dyDescent="0.25">
      <c r="A64" s="425"/>
      <c r="B64" s="426"/>
      <c r="C64" s="358"/>
      <c r="D64" s="360"/>
      <c r="E64" s="361"/>
      <c r="F64" s="362"/>
      <c r="G64" s="362"/>
      <c r="H64" s="359"/>
      <c r="I64" s="361"/>
      <c r="J64" s="425"/>
      <c r="K64" s="426"/>
      <c r="L64" s="358"/>
      <c r="M64" s="362"/>
      <c r="N64" s="361"/>
      <c r="O64" s="358"/>
      <c r="P64" s="362"/>
      <c r="Q64" s="359"/>
      <c r="R64" s="469"/>
      <c r="S64" s="19"/>
    </row>
    <row r="65" spans="2:20" s="222" customFormat="1" ht="14.1" customHeight="1" thickBot="1" x14ac:dyDescent="0.25">
      <c r="B65" s="254"/>
      <c r="C65" s="344"/>
      <c r="D65" s="344"/>
      <c r="E65" s="343"/>
      <c r="F65" s="424"/>
      <c r="G65" s="344"/>
      <c r="H65" s="343"/>
      <c r="I65" s="343"/>
      <c r="J65" s="363"/>
      <c r="K65" s="254"/>
      <c r="L65" s="364"/>
      <c r="M65" s="365"/>
      <c r="N65" s="363"/>
      <c r="O65" s="223"/>
      <c r="P65" s="223"/>
      <c r="Q65" s="223"/>
      <c r="R65" s="488"/>
      <c r="S65" s="221"/>
      <c r="T65"/>
    </row>
    <row r="66" spans="2:20" ht="14.1" customHeight="1" x14ac:dyDescent="0.2">
      <c r="B66" s="366" t="s">
        <v>137</v>
      </c>
      <c r="C66" s="435">
        <f>+C68-C67</f>
        <v>17715</v>
      </c>
      <c r="D66" s="436">
        <f>+D68-D67</f>
        <v>16913</v>
      </c>
      <c r="E66" s="437">
        <f>(C66-D66)/D66</f>
        <v>4.7419145036362562E-2</v>
      </c>
      <c r="F66" s="435">
        <f t="shared" ref="F66:G66" si="21">+F68-F67</f>
        <v>228393</v>
      </c>
      <c r="G66" s="436">
        <f t="shared" si="21"/>
        <v>213682</v>
      </c>
      <c r="H66" s="442">
        <f>(F66-G66)/G66</f>
        <v>6.8845293473479285E-2</v>
      </c>
      <c r="I66" s="524">
        <f>F66/$F$68</f>
        <v>0.60377981981219864</v>
      </c>
      <c r="K66" s="366" t="s">
        <v>137</v>
      </c>
      <c r="L66" s="435">
        <f>+L68-L67</f>
        <v>2206292</v>
      </c>
      <c r="M66" s="436">
        <f>+M68-M67</f>
        <v>2120890</v>
      </c>
      <c r="N66" s="437">
        <f>(L66-M66)/M66</f>
        <v>4.0267057697476058E-2</v>
      </c>
      <c r="O66" s="435">
        <f t="shared" ref="O66" si="22">+O68-O67</f>
        <v>29222280</v>
      </c>
      <c r="P66" s="436">
        <f>+P68-P67</f>
        <v>28016965</v>
      </c>
      <c r="Q66" s="486">
        <f>(O66-P66)/P66</f>
        <v>4.3020898230768392E-2</v>
      </c>
      <c r="R66" s="492">
        <f>+O66/O68</f>
        <v>0.794206819290871</v>
      </c>
    </row>
    <row r="67" spans="2:20" ht="14.1" customHeight="1" x14ac:dyDescent="0.2">
      <c r="B67" s="318" t="s">
        <v>138</v>
      </c>
      <c r="C67" s="438">
        <f>C63+C39+C37+C35+C34+C38+C21+C62+C59+C36+C58+C60+C26+C25+C22+C16+C7+C6+C61+C23+C24+C8+C17</f>
        <v>12334</v>
      </c>
      <c r="D67" s="367">
        <f>D63+D39+D37+D35+D34+D38+D21+D62+D59+D36+D58+D60+D26+D25+D22+D16+D7+D6+D61+D23+D24+D8+D17</f>
        <v>13049</v>
      </c>
      <c r="E67" s="368">
        <f>(C67-D67)/D67</f>
        <v>-5.4793470764043221E-2</v>
      </c>
      <c r="F67" s="438">
        <f t="shared" ref="F67:G67" si="23">F63+F39+F37+F35+F34+F38+F21+F62+F59+F36+F58+F60+F26+F25+F22+F16+F7+F6+F61+F23+F24+F8+F17</f>
        <v>149879</v>
      </c>
      <c r="G67" s="367">
        <f t="shared" si="23"/>
        <v>161359</v>
      </c>
      <c r="H67" s="443">
        <f>(F67-G67)/G67</f>
        <v>-7.1145706158317792E-2</v>
      </c>
      <c r="I67" s="525">
        <f>F67/$F$68</f>
        <v>0.39622018018780136</v>
      </c>
      <c r="K67" s="318" t="s">
        <v>138</v>
      </c>
      <c r="L67" s="438">
        <f t="shared" ref="L67:M67" si="24">L63+L39+L37+L35+L34+L38+L21+L62+L59+L36+L58+L60+L26+L25+L22+L16+L7+L6+L61+L23+L24+L8+L17</f>
        <v>625690</v>
      </c>
      <c r="M67" s="367">
        <f t="shared" si="24"/>
        <v>675484</v>
      </c>
      <c r="N67" s="368">
        <f>(L67-M67)/M67</f>
        <v>-7.3716031763890785E-2</v>
      </c>
      <c r="O67" s="438">
        <f>O63+O39+O37+O35+O34+O38+O21+O62+O59+O36+O58+O60+O26+O25+O22+O16+O7+O6+O61+O23+O24+O8+O17</f>
        <v>7572015</v>
      </c>
      <c r="P67" s="367">
        <f t="shared" ref="P67" si="25">P63+P39+P37+P35+P34+P38+P21+P62+P59+P36+P58+P60+P26+P25+P22+P16+P7+P6+P61+P23+P24+P8+P17</f>
        <v>8324599</v>
      </c>
      <c r="Q67" s="484">
        <f>(O67-P67)/P67</f>
        <v>-9.0404835115781554E-2</v>
      </c>
      <c r="R67" s="493">
        <f>+O67/O68</f>
        <v>0.20579318070912894</v>
      </c>
    </row>
    <row r="68" spans="2:20" ht="14.1" customHeight="1" thickBot="1" x14ac:dyDescent="0.25">
      <c r="B68" s="318" t="s">
        <v>139</v>
      </c>
      <c r="C68" s="439">
        <f>C56+C54+C49+C45+C41+C32+C19+C14+C4+C43+C52+C30+C28+C10+C47+C12</f>
        <v>30049</v>
      </c>
      <c r="D68" s="440">
        <f>D56+D54+D49+D45+D41+D32+D19+D14+D4+D43+D52+D30+D28+D10+D47+D12</f>
        <v>29962</v>
      </c>
      <c r="E68" s="441">
        <f>(C68-D68)/D68</f>
        <v>2.9036779921233565E-3</v>
      </c>
      <c r="F68" s="439">
        <f>F56+F54+F49+F45+F41+F32+F19+F14+F4+F43+F52+F30+F28+F10+F47+F12</f>
        <v>378272</v>
      </c>
      <c r="G68" s="440">
        <f>G56+G54+G49+G45+G41+G32+G19+G14+G4+G43+G52+G30+G28+G10+G47+G12</f>
        <v>375041</v>
      </c>
      <c r="H68" s="444">
        <f>(F68-G68)/G68</f>
        <v>8.6150580869824907E-3</v>
      </c>
      <c r="I68" s="526">
        <f>+H68/H68</f>
        <v>1</v>
      </c>
      <c r="K68" s="318" t="s">
        <v>139</v>
      </c>
      <c r="L68" s="439">
        <f>L56+L54+L49+L45+L41+L32+L19+L14+L4+L43+L52+L30+L28+L10+L47+L12</f>
        <v>2831982</v>
      </c>
      <c r="M68" s="440">
        <f>M56+M54+M49+M45+M41+M32+M19+M14+M4+M43+M52+M30+M28+M10+M47+M12</f>
        <v>2796374</v>
      </c>
      <c r="N68" s="441">
        <f>(L68-M68)/M68</f>
        <v>1.2733632911763592E-2</v>
      </c>
      <c r="O68" s="439">
        <f>O56+O54+O49+O45+O41+O32+O19+O14+O4+O43+O52+O30+O28+O10+O47+O12</f>
        <v>36794295</v>
      </c>
      <c r="P68" s="440">
        <f>P56+P54+P49+P45+P41+P32+P19+P14+P4+P43+P52+P30+P28+P10+P47+P12</f>
        <v>36341564</v>
      </c>
      <c r="Q68" s="487">
        <f>(O68-P68)/P68</f>
        <v>1.245766417757915E-2</v>
      </c>
      <c r="R68" s="494">
        <f>+O68/O68</f>
        <v>1</v>
      </c>
    </row>
    <row r="69" spans="2:20" x14ac:dyDescent="0.2">
      <c r="B69" s="318"/>
      <c r="E69" s="36"/>
      <c r="F69" s="224"/>
      <c r="G69" s="5"/>
      <c r="H69" s="36"/>
      <c r="I69" s="36"/>
      <c r="K69" s="11"/>
      <c r="L69" s="4"/>
      <c r="M69" s="4"/>
      <c r="N69" s="220"/>
      <c r="O69" s="4"/>
      <c r="P69" s="7"/>
      <c r="Q69" s="7"/>
    </row>
    <row r="70" spans="2:20" x14ac:dyDescent="0.2">
      <c r="B70" s="254"/>
      <c r="E70" s="220"/>
      <c r="F70" s="4"/>
      <c r="G70" s="4"/>
      <c r="H70"/>
      <c r="I70"/>
      <c r="J70"/>
      <c r="K70"/>
      <c r="N70"/>
      <c r="O70" s="2"/>
      <c r="P70" s="2"/>
    </row>
    <row r="71" spans="2:20" x14ac:dyDescent="0.2">
      <c r="B71" s="318"/>
      <c r="E71" s="220"/>
      <c r="F71" s="2"/>
      <c r="H71"/>
      <c r="I71"/>
      <c r="J71"/>
      <c r="K71"/>
      <c r="N71"/>
      <c r="O71" s="2"/>
      <c r="P71" s="2"/>
      <c r="R71" s="2"/>
    </row>
    <row r="72" spans="2:20" x14ac:dyDescent="0.2">
      <c r="B72" s="254"/>
      <c r="E72" s="220"/>
      <c r="F72" s="2"/>
      <c r="H72"/>
      <c r="I72"/>
      <c r="J72"/>
      <c r="K72"/>
      <c r="N72"/>
      <c r="O72" s="2"/>
      <c r="P72" s="2"/>
    </row>
    <row r="73" spans="2:20" x14ac:dyDescent="0.2">
      <c r="E73" s="220"/>
      <c r="F73" s="4"/>
      <c r="G73" s="4"/>
      <c r="H73"/>
      <c r="I73"/>
      <c r="J73"/>
      <c r="K73"/>
      <c r="N73"/>
      <c r="O73" s="2"/>
      <c r="P73" s="2"/>
    </row>
    <row r="74" spans="2:20" x14ac:dyDescent="0.2">
      <c r="D74" s="220"/>
      <c r="E74" s="220"/>
      <c r="F74" s="4"/>
      <c r="G74" s="7"/>
      <c r="H74"/>
      <c r="I74"/>
      <c r="J74"/>
      <c r="K74"/>
      <c r="M74"/>
      <c r="N74"/>
    </row>
    <row r="75" spans="2:20" x14ac:dyDescent="0.2">
      <c r="D75" s="3"/>
      <c r="F75" s="4"/>
      <c r="G75"/>
      <c r="H75"/>
      <c r="I75"/>
      <c r="J75"/>
      <c r="K75"/>
      <c r="L75"/>
      <c r="M75"/>
      <c r="N75"/>
    </row>
    <row r="76" spans="2:20" x14ac:dyDescent="0.2">
      <c r="D76" s="3"/>
      <c r="F76"/>
      <c r="G76"/>
      <c r="H76"/>
      <c r="I76"/>
      <c r="J76"/>
      <c r="K76"/>
      <c r="L76"/>
      <c r="M76"/>
      <c r="N76"/>
    </row>
    <row r="77" spans="2:20" x14ac:dyDescent="0.2">
      <c r="D77" s="3"/>
      <c r="F77"/>
      <c r="G77"/>
      <c r="H77"/>
      <c r="I77"/>
      <c r="J77"/>
      <c r="K77"/>
      <c r="L77"/>
      <c r="M77"/>
      <c r="N77"/>
    </row>
    <row r="78" spans="2:20" x14ac:dyDescent="0.2">
      <c r="D78" s="3"/>
      <c r="F78"/>
      <c r="G78"/>
      <c r="H78"/>
      <c r="I78"/>
      <c r="J78"/>
      <c r="K78"/>
      <c r="L78"/>
      <c r="M78"/>
      <c r="N78"/>
    </row>
    <row r="79" spans="2:20" x14ac:dyDescent="0.2">
      <c r="D79" s="3"/>
      <c r="F79"/>
      <c r="G79"/>
      <c r="H79"/>
      <c r="I79"/>
      <c r="J79"/>
      <c r="K79"/>
      <c r="L79"/>
      <c r="M79"/>
      <c r="N79"/>
    </row>
    <row r="80" spans="2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E1147" s="36"/>
      <c r="F1147" s="224"/>
      <c r="G1147" s="5"/>
      <c r="H1147" s="36"/>
      <c r="I1147" s="36"/>
      <c r="K1147" s="11"/>
    </row>
    <row r="1148" spans="5:11" x14ac:dyDescent="0.2">
      <c r="E1148" s="36"/>
      <c r="F1148" s="224"/>
      <c r="G1148" s="5"/>
      <c r="H1148" s="36"/>
      <c r="I1148" s="36"/>
      <c r="K1148" s="11"/>
    </row>
    <row r="1149" spans="5:11" x14ac:dyDescent="0.2">
      <c r="E1149" s="36"/>
      <c r="F1149" s="224"/>
      <c r="G1149" s="5"/>
      <c r="H1149" s="36"/>
      <c r="I1149" s="36"/>
      <c r="K1149" s="11"/>
    </row>
    <row r="1150" spans="5:11" x14ac:dyDescent="0.2">
      <c r="E1150" s="36"/>
      <c r="F1150" s="224"/>
      <c r="G1150" s="5"/>
      <c r="H1150" s="36"/>
      <c r="I1150" s="36"/>
      <c r="K1150" s="11"/>
    </row>
    <row r="1151" spans="5:11" x14ac:dyDescent="0.2">
      <c r="E1151" s="36"/>
      <c r="F1151" s="224"/>
      <c r="G1151" s="5"/>
      <c r="H1151" s="36"/>
      <c r="I1151" s="36"/>
      <c r="K1151" s="11"/>
    </row>
    <row r="1152" spans="5:11" x14ac:dyDescent="0.2">
      <c r="E1152" s="36"/>
      <c r="F1152" s="224"/>
      <c r="G1152" s="5"/>
      <c r="H1152" s="36"/>
      <c r="I1152" s="36"/>
      <c r="K1152" s="11"/>
    </row>
    <row r="1153" spans="5:11" x14ac:dyDescent="0.2">
      <c r="E1153" s="36"/>
      <c r="F1153" s="224"/>
      <c r="G1153" s="5"/>
      <c r="H1153" s="36"/>
      <c r="I1153" s="36"/>
      <c r="K1153" s="11"/>
    </row>
    <row r="1154" spans="5:11" x14ac:dyDescent="0.2">
      <c r="E1154" s="36"/>
      <c r="F1154" s="224"/>
      <c r="G1154" s="5"/>
      <c r="H1154" s="36"/>
      <c r="I1154" s="36"/>
      <c r="K1154" s="11"/>
    </row>
    <row r="1155" spans="5:11" x14ac:dyDescent="0.2">
      <c r="E1155" s="36"/>
      <c r="F1155" s="224"/>
      <c r="G1155" s="5"/>
      <c r="H1155" s="36"/>
      <c r="I1155" s="36"/>
      <c r="K1155" s="11"/>
    </row>
    <row r="1156" spans="5:11" x14ac:dyDescent="0.2">
      <c r="E1156" s="36"/>
      <c r="F1156" s="224"/>
      <c r="G1156" s="5"/>
      <c r="H1156" s="36"/>
      <c r="I1156" s="36"/>
      <c r="K1156" s="11"/>
    </row>
    <row r="1157" spans="5:11" x14ac:dyDescent="0.2">
      <c r="E1157" s="36"/>
      <c r="F1157" s="224"/>
      <c r="G1157" s="5"/>
      <c r="H1157" s="36"/>
      <c r="I1157" s="36"/>
      <c r="K1157" s="11"/>
    </row>
    <row r="1158" spans="5:11" x14ac:dyDescent="0.2">
      <c r="E1158" s="36"/>
      <c r="F1158" s="224"/>
      <c r="G1158" s="5"/>
      <c r="H1158" s="36"/>
      <c r="I1158" s="36"/>
      <c r="K1158" s="11"/>
    </row>
    <row r="1159" spans="5:11" x14ac:dyDescent="0.2">
      <c r="E1159" s="36"/>
      <c r="F1159" s="224"/>
      <c r="G1159" s="5"/>
      <c r="H1159" s="36"/>
      <c r="I1159" s="36"/>
      <c r="K1159" s="11"/>
    </row>
    <row r="1160" spans="5:11" x14ac:dyDescent="0.2">
      <c r="E1160" s="36"/>
      <c r="F1160" s="224"/>
      <c r="G1160" s="5"/>
      <c r="H1160" s="36"/>
      <c r="I1160" s="36"/>
      <c r="K1160" s="11"/>
    </row>
    <row r="1161" spans="5:11" x14ac:dyDescent="0.2">
      <c r="E1161" s="36"/>
      <c r="F1161" s="224"/>
      <c r="G1161" s="5"/>
      <c r="H1161" s="36"/>
      <c r="I1161" s="36"/>
      <c r="K1161" s="11"/>
    </row>
    <row r="1162" spans="5:11" x14ac:dyDescent="0.2">
      <c r="E1162" s="36"/>
      <c r="F1162" s="224"/>
      <c r="G1162" s="5"/>
      <c r="H1162" s="36"/>
      <c r="I1162" s="36"/>
      <c r="K1162" s="11"/>
    </row>
    <row r="1163" spans="5:11" x14ac:dyDescent="0.2">
      <c r="E1163" s="36"/>
      <c r="F1163" s="224"/>
      <c r="G1163" s="5"/>
      <c r="H1163" s="36"/>
      <c r="I1163" s="36"/>
      <c r="K1163" s="11"/>
    </row>
    <row r="1164" spans="5:11" x14ac:dyDescent="0.2">
      <c r="E1164" s="36"/>
      <c r="F1164" s="224"/>
      <c r="G1164" s="5"/>
      <c r="H1164" s="36"/>
      <c r="I1164" s="36"/>
      <c r="K1164" s="11"/>
    </row>
    <row r="1165" spans="5:11" x14ac:dyDescent="0.2">
      <c r="E1165" s="36"/>
      <c r="F1165" s="224"/>
      <c r="G1165" s="5"/>
      <c r="H1165" s="36"/>
      <c r="I1165" s="36"/>
      <c r="K1165" s="11"/>
    </row>
    <row r="1166" spans="5:11" x14ac:dyDescent="0.2">
      <c r="E1166" s="36"/>
      <c r="F1166" s="224"/>
      <c r="G1166" s="5"/>
      <c r="H1166" s="36"/>
      <c r="I1166" s="36"/>
      <c r="K1166" s="11"/>
    </row>
    <row r="1167" spans="5:11" x14ac:dyDescent="0.2">
      <c r="E1167" s="36"/>
      <c r="F1167" s="224"/>
      <c r="G1167" s="5"/>
      <c r="H1167" s="36"/>
      <c r="I1167" s="36"/>
      <c r="K1167" s="11"/>
    </row>
    <row r="1168" spans="5:11" x14ac:dyDescent="0.2">
      <c r="E1168" s="36"/>
      <c r="F1168" s="224"/>
      <c r="G1168" s="5"/>
      <c r="H1168" s="36"/>
      <c r="I1168" s="36"/>
      <c r="K1168" s="11"/>
    </row>
    <row r="1169" spans="5:11" x14ac:dyDescent="0.2">
      <c r="E1169" s="36"/>
      <c r="F1169" s="224"/>
      <c r="G1169" s="5"/>
      <c r="H1169" s="36"/>
      <c r="I1169" s="36"/>
      <c r="K1169" s="11"/>
    </row>
    <row r="1170" spans="5:11" x14ac:dyDescent="0.2">
      <c r="E1170" s="36"/>
      <c r="F1170" s="224"/>
      <c r="G1170" s="5"/>
      <c r="H1170" s="36"/>
      <c r="I1170" s="36"/>
      <c r="K1170" s="11"/>
    </row>
    <row r="1171" spans="5:11" x14ac:dyDescent="0.2">
      <c r="E1171" s="36"/>
      <c r="F1171" s="224"/>
      <c r="G1171" s="5"/>
      <c r="H1171" s="36"/>
      <c r="I1171" s="36"/>
      <c r="K1171" s="11"/>
    </row>
    <row r="1172" spans="5:11" x14ac:dyDescent="0.2">
      <c r="E1172" s="36"/>
      <c r="F1172" s="224"/>
      <c r="G1172" s="5"/>
      <c r="H1172" s="36"/>
      <c r="I1172" s="36"/>
      <c r="K1172" s="11"/>
    </row>
    <row r="1173" spans="5:11" x14ac:dyDescent="0.2">
      <c r="E1173" s="36"/>
      <c r="F1173" s="224"/>
      <c r="G1173" s="5"/>
      <c r="H1173" s="36"/>
      <c r="I1173" s="36"/>
      <c r="K1173" s="11"/>
    </row>
    <row r="1174" spans="5:11" x14ac:dyDescent="0.2">
      <c r="E1174" s="36"/>
      <c r="F1174" s="224"/>
      <c r="G1174" s="5"/>
      <c r="H1174" s="36"/>
      <c r="I1174" s="36"/>
      <c r="K1174" s="11"/>
    </row>
    <row r="1175" spans="5:11" x14ac:dyDescent="0.2">
      <c r="E1175" s="36"/>
      <c r="F1175" s="224"/>
      <c r="G1175" s="5"/>
      <c r="H1175" s="36"/>
      <c r="I1175" s="36"/>
      <c r="K1175" s="11"/>
    </row>
    <row r="1176" spans="5:11" x14ac:dyDescent="0.2">
      <c r="E1176" s="36"/>
      <c r="F1176" s="224"/>
      <c r="G1176" s="5"/>
      <c r="H1176" s="36"/>
      <c r="I1176" s="36"/>
      <c r="K1176" s="11"/>
    </row>
    <row r="1177" spans="5:11" x14ac:dyDescent="0.2">
      <c r="E1177" s="36"/>
      <c r="F1177" s="224"/>
      <c r="G1177" s="5"/>
      <c r="H1177" s="36"/>
      <c r="I1177" s="36"/>
      <c r="K1177" s="11"/>
    </row>
    <row r="1178" spans="5:11" x14ac:dyDescent="0.2">
      <c r="E1178" s="36"/>
      <c r="F1178" s="224"/>
      <c r="G1178" s="5"/>
      <c r="H1178" s="36"/>
      <c r="I1178" s="36"/>
      <c r="K1178" s="11"/>
    </row>
    <row r="1179" spans="5:11" x14ac:dyDescent="0.2">
      <c r="E1179" s="36"/>
      <c r="F1179" s="224"/>
      <c r="G1179" s="5"/>
      <c r="H1179" s="36"/>
      <c r="I1179" s="36"/>
      <c r="K1179" s="11"/>
    </row>
    <row r="1180" spans="5:11" x14ac:dyDescent="0.2">
      <c r="E1180" s="36"/>
      <c r="F1180" s="224"/>
      <c r="G1180" s="5"/>
      <c r="H1180" s="36"/>
      <c r="I1180" s="36"/>
      <c r="K1180" s="11"/>
    </row>
    <row r="1181" spans="5:11" x14ac:dyDescent="0.2">
      <c r="E1181" s="36"/>
      <c r="F1181" s="224"/>
      <c r="G1181" s="5"/>
      <c r="H1181" s="36"/>
      <c r="I1181" s="36"/>
      <c r="K1181" s="11"/>
    </row>
    <row r="1182" spans="5:11" x14ac:dyDescent="0.2">
      <c r="E1182" s="36"/>
      <c r="F1182" s="224"/>
      <c r="G1182" s="5"/>
      <c r="H1182" s="36"/>
      <c r="I1182" s="36"/>
      <c r="K1182" s="11"/>
    </row>
    <row r="1183" spans="5:11" x14ac:dyDescent="0.2">
      <c r="E1183" s="36"/>
      <c r="F1183" s="224"/>
      <c r="G1183" s="5"/>
      <c r="H1183" s="36"/>
      <c r="I1183" s="36"/>
      <c r="K1183" s="11"/>
    </row>
    <row r="1184" spans="5:11" x14ac:dyDescent="0.2">
      <c r="E1184" s="36"/>
      <c r="F1184" s="224"/>
      <c r="G1184" s="5"/>
      <c r="H1184" s="36"/>
      <c r="I1184" s="36"/>
      <c r="K1184" s="11"/>
    </row>
    <row r="1185" spans="5:11" x14ac:dyDescent="0.2">
      <c r="E1185" s="36"/>
      <c r="F1185" s="224"/>
      <c r="G1185" s="5"/>
      <c r="H1185" s="36"/>
      <c r="I1185" s="36"/>
      <c r="K1185" s="11"/>
    </row>
    <row r="1186" spans="5:11" x14ac:dyDescent="0.2">
      <c r="E1186" s="36"/>
      <c r="F1186" s="224"/>
      <c r="G1186" s="5"/>
      <c r="H1186" s="36"/>
      <c r="I1186" s="36"/>
      <c r="K1186" s="11"/>
    </row>
    <row r="1187" spans="5:11" x14ac:dyDescent="0.2">
      <c r="E1187" s="36"/>
      <c r="F1187" s="224"/>
      <c r="G1187" s="5"/>
      <c r="H1187" s="36"/>
      <c r="I1187" s="36"/>
      <c r="K1187" s="11"/>
    </row>
    <row r="1188" spans="5:11" x14ac:dyDescent="0.2">
      <c r="E1188" s="36"/>
      <c r="F1188" s="224"/>
      <c r="G1188" s="5"/>
      <c r="H1188" s="36"/>
      <c r="I1188" s="36"/>
      <c r="K1188" s="11"/>
    </row>
    <row r="1189" spans="5:11" x14ac:dyDescent="0.2">
      <c r="E1189" s="36"/>
      <c r="F1189" s="224"/>
      <c r="G1189" s="5"/>
      <c r="H1189" s="36"/>
      <c r="I1189" s="36"/>
      <c r="K1189" s="11"/>
    </row>
    <row r="1190" spans="5:11" x14ac:dyDescent="0.2">
      <c r="E1190" s="36"/>
      <c r="F1190" s="224"/>
      <c r="G1190" s="5"/>
      <c r="H1190" s="36"/>
      <c r="I1190" s="36"/>
      <c r="K1190" s="11"/>
    </row>
    <row r="1191" spans="5:11" x14ac:dyDescent="0.2">
      <c r="E1191" s="36"/>
      <c r="F1191" s="224"/>
      <c r="G1191" s="5"/>
      <c r="H1191" s="36"/>
      <c r="I1191" s="36"/>
      <c r="K1191" s="11"/>
    </row>
    <row r="1192" spans="5:11" x14ac:dyDescent="0.2">
      <c r="E1192" s="36"/>
      <c r="F1192" s="224"/>
      <c r="G1192" s="5"/>
      <c r="H1192" s="36"/>
      <c r="I1192" s="36"/>
      <c r="K1192" s="11"/>
    </row>
    <row r="1193" spans="5:11" x14ac:dyDescent="0.2">
      <c r="E1193" s="36"/>
      <c r="F1193" s="224"/>
      <c r="G1193" s="5"/>
      <c r="H1193" s="36"/>
      <c r="I1193" s="36"/>
      <c r="K1193" s="11"/>
    </row>
    <row r="1194" spans="5:11" x14ac:dyDescent="0.2">
      <c r="E1194" s="36"/>
      <c r="F1194" s="224"/>
      <c r="G1194" s="5"/>
      <c r="H1194" s="36"/>
      <c r="I1194" s="36"/>
      <c r="K1194" s="11"/>
    </row>
    <row r="1195" spans="5:11" x14ac:dyDescent="0.2">
      <c r="E1195" s="36"/>
      <c r="F1195" s="224"/>
      <c r="G1195" s="5"/>
      <c r="H1195" s="36"/>
      <c r="I1195" s="36"/>
      <c r="K1195" s="11"/>
    </row>
    <row r="1196" spans="5:11" x14ac:dyDescent="0.2">
      <c r="E1196" s="36"/>
      <c r="F1196" s="224"/>
      <c r="G1196" s="5"/>
      <c r="H1196" s="36"/>
      <c r="I1196" s="36"/>
      <c r="K1196" s="11"/>
    </row>
    <row r="1197" spans="5:11" x14ac:dyDescent="0.2">
      <c r="E1197" s="36"/>
      <c r="F1197" s="224"/>
      <c r="G1197" s="5"/>
      <c r="H1197" s="36"/>
      <c r="I1197" s="36"/>
      <c r="K1197" s="11"/>
    </row>
    <row r="1198" spans="5:11" x14ac:dyDescent="0.2">
      <c r="F1198" s="224"/>
      <c r="G1198" s="5"/>
      <c r="H1198" s="36"/>
      <c r="I1198" s="36"/>
      <c r="K1198" s="11"/>
    </row>
    <row r="1199" spans="5:11" x14ac:dyDescent="0.2">
      <c r="F1199" s="224"/>
      <c r="G1199" s="5"/>
      <c r="H1199" s="36"/>
      <c r="I1199" s="36"/>
      <c r="K1199" s="11"/>
    </row>
    <row r="1200" spans="5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  <row r="4662" spans="6:11" x14ac:dyDescent="0.2">
      <c r="F4662" s="224"/>
      <c r="G4662" s="5"/>
      <c r="H4662" s="36"/>
      <c r="I4662" s="36"/>
      <c r="K4662" s="11"/>
    </row>
    <row r="4663" spans="6:11" x14ac:dyDescent="0.2">
      <c r="F4663" s="224"/>
      <c r="G4663" s="5"/>
      <c r="H4663" s="36"/>
      <c r="I4663" s="36"/>
      <c r="K4663" s="11"/>
    </row>
    <row r="4664" spans="6:11" x14ac:dyDescent="0.2">
      <c r="F4664" s="224"/>
      <c r="G4664" s="5"/>
      <c r="H4664" s="36"/>
      <c r="I4664" s="36"/>
      <c r="K4664" s="11"/>
    </row>
    <row r="4665" spans="6:11" x14ac:dyDescent="0.2">
      <c r="F4665" s="224"/>
      <c r="G4665" s="5"/>
      <c r="H4665" s="36"/>
      <c r="I4665" s="36"/>
      <c r="K4665" s="11"/>
    </row>
    <row r="4666" spans="6:11" x14ac:dyDescent="0.2">
      <c r="F4666" s="224"/>
      <c r="G4666" s="5"/>
      <c r="H4666" s="36"/>
      <c r="I4666" s="36"/>
      <c r="K4666" s="11"/>
    </row>
    <row r="4667" spans="6:11" x14ac:dyDescent="0.2">
      <c r="F4667" s="224"/>
      <c r="G4667" s="5"/>
      <c r="H4667" s="36"/>
      <c r="I4667" s="36"/>
      <c r="K4667" s="11"/>
    </row>
    <row r="4668" spans="6:11" x14ac:dyDescent="0.2">
      <c r="F4668" s="224"/>
      <c r="G4668" s="5"/>
      <c r="H4668" s="36"/>
      <c r="I4668" s="36"/>
      <c r="K4668" s="11"/>
    </row>
    <row r="4669" spans="6:11" x14ac:dyDescent="0.2">
      <c r="F4669" s="224"/>
      <c r="G4669" s="5"/>
      <c r="H4669" s="36"/>
      <c r="I4669" s="36"/>
      <c r="K4669" s="11"/>
    </row>
    <row r="4670" spans="6:11" x14ac:dyDescent="0.2">
      <c r="F4670" s="224"/>
      <c r="G4670" s="5"/>
      <c r="H4670" s="36"/>
      <c r="I4670" s="36"/>
      <c r="K4670" s="11"/>
    </row>
    <row r="4671" spans="6:11" x14ac:dyDescent="0.2">
      <c r="F4671" s="224"/>
      <c r="G4671" s="5"/>
      <c r="H4671" s="36"/>
      <c r="I4671" s="36"/>
      <c r="K4671" s="11"/>
    </row>
    <row r="4672" spans="6:11" x14ac:dyDescent="0.2">
      <c r="F4672" s="224"/>
      <c r="G4672" s="5"/>
      <c r="H4672" s="36"/>
      <c r="I4672" s="36"/>
      <c r="K4672" s="11"/>
    </row>
    <row r="4673" spans="6:11" x14ac:dyDescent="0.2">
      <c r="F4673" s="224"/>
      <c r="G4673" s="5"/>
      <c r="H4673" s="36"/>
      <c r="I4673" s="36"/>
      <c r="K4673" s="11"/>
    </row>
    <row r="4674" spans="6:11" x14ac:dyDescent="0.2">
      <c r="F4674" s="224"/>
      <c r="G4674" s="5"/>
      <c r="H4674" s="36"/>
      <c r="I4674" s="36"/>
      <c r="K4674" s="11"/>
    </row>
    <row r="4675" spans="6:11" x14ac:dyDescent="0.2">
      <c r="F4675" s="224"/>
      <c r="G4675" s="5"/>
      <c r="H4675" s="36"/>
      <c r="I4675" s="36"/>
      <c r="K4675" s="11"/>
    </row>
    <row r="4676" spans="6:11" x14ac:dyDescent="0.2">
      <c r="F4676" s="224"/>
      <c r="G4676" s="5"/>
      <c r="H4676" s="36"/>
      <c r="I4676" s="36"/>
      <c r="K4676" s="11"/>
    </row>
    <row r="4677" spans="6:11" x14ac:dyDescent="0.2">
      <c r="F4677" s="224"/>
      <c r="G4677" s="5"/>
      <c r="H4677" s="36"/>
      <c r="I4677" s="36"/>
      <c r="K4677" s="11"/>
    </row>
    <row r="4678" spans="6:11" x14ac:dyDescent="0.2">
      <c r="F4678" s="224"/>
      <c r="G4678" s="5"/>
      <c r="H4678" s="36"/>
      <c r="I4678" s="36"/>
      <c r="K4678" s="11"/>
    </row>
    <row r="4679" spans="6:11" x14ac:dyDescent="0.2">
      <c r="F4679" s="224"/>
      <c r="G4679" s="5"/>
      <c r="H4679" s="36"/>
      <c r="I4679" s="36"/>
      <c r="K4679" s="11"/>
    </row>
    <row r="4680" spans="6:11" x14ac:dyDescent="0.2">
      <c r="F4680" s="224"/>
      <c r="G4680" s="5"/>
      <c r="H4680" s="36"/>
      <c r="I4680" s="36"/>
      <c r="K4680" s="11"/>
    </row>
    <row r="4681" spans="6:11" x14ac:dyDescent="0.2">
      <c r="F4681" s="224"/>
      <c r="G4681" s="5"/>
      <c r="H4681" s="36"/>
      <c r="I4681" s="36"/>
      <c r="K4681" s="11"/>
    </row>
    <row r="4682" spans="6:11" x14ac:dyDescent="0.2">
      <c r="F4682" s="224"/>
      <c r="G4682" s="5"/>
      <c r="H4682" s="36"/>
      <c r="I4682" s="36"/>
      <c r="K4682" s="11"/>
    </row>
    <row r="4683" spans="6:11" x14ac:dyDescent="0.2">
      <c r="F4683" s="224"/>
      <c r="G4683" s="5"/>
      <c r="H4683" s="36"/>
      <c r="I4683" s="36"/>
      <c r="K4683" s="11"/>
    </row>
    <row r="4684" spans="6:11" x14ac:dyDescent="0.2">
      <c r="F4684" s="224"/>
      <c r="G4684" s="5"/>
      <c r="H4684" s="36"/>
      <c r="I4684" s="36"/>
      <c r="K4684" s="11"/>
    </row>
    <row r="4685" spans="6:11" x14ac:dyDescent="0.2">
      <c r="F4685" s="224"/>
      <c r="G4685" s="5"/>
      <c r="H4685" s="36"/>
      <c r="I4685" s="36"/>
      <c r="K4685" s="11"/>
    </row>
    <row r="4686" spans="6:11" x14ac:dyDescent="0.2">
      <c r="F4686" s="224"/>
      <c r="G4686" s="5"/>
      <c r="H4686" s="36"/>
      <c r="I4686" s="36"/>
      <c r="K4686" s="11"/>
    </row>
    <row r="4687" spans="6:11" x14ac:dyDescent="0.2">
      <c r="F4687" s="224"/>
      <c r="G4687" s="5"/>
      <c r="H4687" s="36"/>
      <c r="I4687" s="36"/>
      <c r="K4687" s="11"/>
    </row>
    <row r="4688" spans="6:11" x14ac:dyDescent="0.2">
      <c r="F4688" s="224"/>
      <c r="G4688" s="5"/>
      <c r="H4688" s="36"/>
      <c r="I4688" s="36"/>
      <c r="K4688" s="11"/>
    </row>
    <row r="4689" spans="6:11" x14ac:dyDescent="0.2">
      <c r="F4689" s="224"/>
      <c r="G4689" s="5"/>
      <c r="H4689" s="36"/>
      <c r="I4689" s="36"/>
      <c r="K4689" s="11"/>
    </row>
    <row r="4690" spans="6:11" x14ac:dyDescent="0.2">
      <c r="F4690" s="224"/>
      <c r="G4690" s="5"/>
      <c r="H4690" s="36"/>
      <c r="I4690" s="36"/>
      <c r="K4690" s="11"/>
    </row>
    <row r="4691" spans="6:11" x14ac:dyDescent="0.2">
      <c r="F4691" s="224"/>
      <c r="G4691" s="5"/>
      <c r="H4691" s="36"/>
      <c r="I4691" s="36"/>
      <c r="K4691" s="11"/>
    </row>
    <row r="4692" spans="6:11" x14ac:dyDescent="0.2">
      <c r="F4692" s="224"/>
      <c r="G4692" s="5"/>
      <c r="H4692" s="36"/>
      <c r="I4692" s="36"/>
      <c r="K4692" s="11"/>
    </row>
    <row r="4693" spans="6:11" x14ac:dyDescent="0.2">
      <c r="F4693" s="224"/>
      <c r="G4693" s="5"/>
      <c r="H4693" s="36"/>
      <c r="I4693" s="36"/>
      <c r="K4693" s="11"/>
    </row>
    <row r="4694" spans="6:11" x14ac:dyDescent="0.2">
      <c r="F4694" s="224"/>
      <c r="G4694" s="5"/>
      <c r="H4694" s="36"/>
      <c r="I4694" s="36"/>
      <c r="K4694" s="11"/>
    </row>
    <row r="4695" spans="6:11" x14ac:dyDescent="0.2">
      <c r="F4695" s="224"/>
      <c r="G4695" s="5"/>
      <c r="H4695" s="36"/>
      <c r="I4695" s="36"/>
      <c r="K4695" s="11"/>
    </row>
    <row r="4696" spans="6:11" x14ac:dyDescent="0.2">
      <c r="F4696" s="224"/>
      <c r="G4696" s="5"/>
      <c r="H4696" s="36"/>
      <c r="I4696" s="36"/>
      <c r="K4696" s="11"/>
    </row>
    <row r="4697" spans="6:11" x14ac:dyDescent="0.2">
      <c r="F4697" s="224"/>
      <c r="G4697" s="5"/>
      <c r="H4697" s="36"/>
      <c r="I4697" s="36"/>
      <c r="K4697" s="11"/>
    </row>
    <row r="4698" spans="6:11" x14ac:dyDescent="0.2">
      <c r="F4698" s="224"/>
      <c r="G4698" s="5"/>
      <c r="H4698" s="36"/>
      <c r="I4698" s="36"/>
      <c r="K4698" s="11"/>
    </row>
    <row r="4699" spans="6:11" x14ac:dyDescent="0.2">
      <c r="F4699" s="224"/>
      <c r="G4699" s="5"/>
      <c r="H4699" s="36"/>
      <c r="I4699" s="36"/>
      <c r="K4699" s="11"/>
    </row>
    <row r="4700" spans="6:11" x14ac:dyDescent="0.2">
      <c r="F4700" s="224"/>
      <c r="G4700" s="5"/>
      <c r="H4700" s="36"/>
      <c r="I4700" s="36"/>
      <c r="K4700" s="11"/>
    </row>
    <row r="4701" spans="6:11" x14ac:dyDescent="0.2">
      <c r="F4701" s="224"/>
      <c r="G4701" s="5"/>
      <c r="H4701" s="36"/>
      <c r="I4701" s="36"/>
      <c r="K4701" s="11"/>
    </row>
    <row r="4702" spans="6:11" x14ac:dyDescent="0.2">
      <c r="F4702" s="224"/>
      <c r="G4702" s="5"/>
      <c r="H4702" s="36"/>
      <c r="I4702" s="36"/>
      <c r="K4702" s="11"/>
    </row>
    <row r="4703" spans="6:11" x14ac:dyDescent="0.2">
      <c r="F4703" s="224"/>
      <c r="G4703" s="5"/>
      <c r="H4703" s="36"/>
      <c r="I4703" s="36"/>
      <c r="K4703" s="11"/>
    </row>
    <row r="4704" spans="6:11" x14ac:dyDescent="0.2">
      <c r="F4704" s="224"/>
      <c r="G4704" s="5"/>
      <c r="H4704" s="36"/>
      <c r="I4704" s="36"/>
      <c r="K4704" s="11"/>
    </row>
    <row r="4705" spans="6:11" x14ac:dyDescent="0.2">
      <c r="F4705" s="224"/>
      <c r="G4705" s="5"/>
      <c r="H4705" s="36"/>
      <c r="I4705" s="36"/>
      <c r="K4705" s="11"/>
    </row>
    <row r="4706" spans="6:11" x14ac:dyDescent="0.2">
      <c r="F4706" s="224"/>
      <c r="G4706" s="5"/>
      <c r="H4706" s="36"/>
      <c r="I4706" s="36"/>
      <c r="K4706" s="11"/>
    </row>
    <row r="4707" spans="6:11" x14ac:dyDescent="0.2">
      <c r="F4707" s="224"/>
      <c r="G4707" s="5"/>
      <c r="H4707" s="36"/>
      <c r="I4707" s="36"/>
      <c r="K4707" s="11"/>
    </row>
    <row r="4708" spans="6:11" x14ac:dyDescent="0.2">
      <c r="F4708" s="224"/>
      <c r="G4708" s="5"/>
      <c r="H4708" s="36"/>
      <c r="I4708" s="36"/>
      <c r="K4708" s="11"/>
    </row>
    <row r="4709" spans="6:11" x14ac:dyDescent="0.2">
      <c r="F4709" s="224"/>
      <c r="G4709" s="5"/>
      <c r="H4709" s="36"/>
      <c r="I4709" s="36"/>
      <c r="K4709" s="11"/>
    </row>
    <row r="4710" spans="6:11" x14ac:dyDescent="0.2">
      <c r="F4710" s="224"/>
      <c r="G4710" s="5"/>
      <c r="H4710" s="36"/>
      <c r="I4710" s="36"/>
      <c r="K4710" s="11"/>
    </row>
    <row r="4711" spans="6:11" x14ac:dyDescent="0.2">
      <c r="F4711" s="224"/>
      <c r="G4711" s="5"/>
      <c r="H4711" s="36"/>
      <c r="I4711" s="36"/>
      <c r="K4711" s="11"/>
    </row>
    <row r="4712" spans="6:11" x14ac:dyDescent="0.2">
      <c r="F4712" s="224"/>
      <c r="G4712" s="5"/>
      <c r="H4712" s="36"/>
      <c r="I4712" s="36"/>
      <c r="K4712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9" orientation="portrait" r:id="rId1"/>
  <headerFooter alignWithMargins="0">
    <oddHeader>&amp;L
Schedule 10
&amp;CMinneapolis-St. Paul International Airport
&amp;"Arial,Bold"&amp;A
December 2017</oddHeader>
    <oddFooter>&amp;LPrinted on &amp;D&amp;RPage &amp;P of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2018-01-25T16:38:40Z</cp:lastPrinted>
  <dcterms:created xsi:type="dcterms:W3CDTF">2007-09-24T12:26:24Z</dcterms:created>
  <dcterms:modified xsi:type="dcterms:W3CDTF">2019-05-19T07:38:17Z</dcterms:modified>
</cp:coreProperties>
</file>