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24270B2B-E71B-42FF-A5C5-AA2E59F3F8C8}" xr6:coauthVersionLast="47" xr6:coauthVersionMax="47" xr10:uidLastSave="{00000000-0000-0000-0000-000000000000}"/>
  <bookViews>
    <workbookView xWindow="-24375" yWindow="480" windowWidth="23865" windowHeight="1392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9" i="17"/>
  <c r="L19" i="17"/>
  <c r="F19" i="17"/>
  <c r="C19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3" i="7"/>
  <c r="J23" i="7"/>
  <c r="E22" i="7"/>
  <c r="E23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T1048576" i="17"/>
  <c r="O22" i="7" l="1"/>
  <c r="J22" i="7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B12" i="8" s="1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Q5" i="17" s="1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P26" i="8"/>
  <c r="D15" i="5" s="1"/>
  <c r="F31" i="8"/>
  <c r="N31" i="8"/>
  <c r="G31" i="8"/>
  <c r="O31" i="8"/>
  <c r="H31" i="8"/>
  <c r="B18" i="8"/>
  <c r="I31" i="8"/>
  <c r="M18" i="16"/>
  <c r="M23" i="16"/>
  <c r="P33" i="17" l="1"/>
  <c r="N18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H18" i="3"/>
  <c r="I20" i="15"/>
  <c r="H17" i="4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3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3" i="7" l="1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23" i="7" l="1"/>
  <c r="F23" i="7" s="1"/>
  <c r="F18" i="1"/>
  <c r="B6" i="5"/>
  <c r="B7" i="5" s="1"/>
  <c r="B28" i="1"/>
  <c r="B10" i="5"/>
  <c r="B12" i="5" s="1"/>
  <c r="C27" i="1"/>
  <c r="B27" i="1"/>
  <c r="K6" i="2"/>
  <c r="D5" i="1" s="1"/>
  <c r="B8" i="1"/>
  <c r="K21" i="15"/>
  <c r="D6" i="1"/>
  <c r="C8" i="1"/>
  <c r="C33" i="1" s="1"/>
  <c r="B10" i="1"/>
  <c r="F19" i="1"/>
  <c r="J45" i="2"/>
  <c r="K45" i="2" s="1"/>
  <c r="K45" i="3"/>
  <c r="F7" i="1"/>
  <c r="J23" i="2"/>
  <c r="K23" i="2" s="1"/>
  <c r="L42" i="4"/>
  <c r="M42" i="4" s="1"/>
  <c r="K42" i="15"/>
  <c r="K23" i="3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B20" i="5" l="1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B32" i="1"/>
  <c r="B11" i="1"/>
  <c r="D28" i="1"/>
  <c r="B22" i="1"/>
  <c r="B29" i="1"/>
  <c r="C12" i="5"/>
  <c r="C21" i="5"/>
  <c r="E11" i="5"/>
  <c r="F11" i="5" s="1"/>
  <c r="C29" i="1"/>
  <c r="F5" i="5"/>
  <c r="F16" i="1"/>
  <c r="D22" i="1"/>
  <c r="F22" i="1" s="1"/>
  <c r="D22" i="5"/>
  <c r="F15" i="5"/>
  <c r="E17" i="5"/>
  <c r="D27" i="1" s="1"/>
  <c r="F17" i="1"/>
  <c r="M23" i="7" l="1"/>
  <c r="L23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H23" i="7" l="1"/>
  <c r="N23" i="7"/>
  <c r="P23" i="7" s="1"/>
  <c r="G23" i="7"/>
  <c r="H21" i="5"/>
  <c r="E22" i="5"/>
  <c r="F22" i="5"/>
  <c r="H22" i="5" s="1"/>
  <c r="H20" i="5"/>
  <c r="I23" i="7" l="1"/>
  <c r="K23" i="7" s="1"/>
  <c r="B22" i="7" l="1"/>
  <c r="C22" i="7" l="1"/>
  <c r="D22" i="7" s="1"/>
  <c r="F22" i="7" s="1"/>
  <c r="L22" i="7" l="1"/>
  <c r="M22" i="7"/>
  <c r="H22" i="7" s="1"/>
  <c r="N22" i="7" l="1"/>
  <c r="P22" i="7" s="1"/>
  <c r="G22" i="7"/>
  <c r="I22" i="7" s="1"/>
  <c r="K22" i="7" s="1"/>
  <c r="B21" i="7" l="1"/>
  <c r="G20" i="1"/>
  <c r="C21" i="7"/>
  <c r="C33" i="7" s="1"/>
  <c r="G21" i="1"/>
  <c r="D33" i="1"/>
  <c r="I16" i="5"/>
  <c r="I20" i="1" l="1"/>
  <c r="I21" i="1"/>
  <c r="G7" i="1"/>
  <c r="G18" i="1"/>
  <c r="B33" i="7"/>
  <c r="D21" i="7"/>
  <c r="G5" i="1"/>
  <c r="G16" i="1"/>
  <c r="I18" i="1" l="1"/>
  <c r="I7" i="1"/>
  <c r="G17" i="1"/>
  <c r="G6" i="1"/>
  <c r="G8" i="1" s="1"/>
  <c r="I5" i="1"/>
  <c r="I16" i="1"/>
  <c r="G19" i="1"/>
  <c r="L21" i="7"/>
  <c r="M21" i="7"/>
  <c r="F21" i="7"/>
  <c r="D33" i="7"/>
  <c r="F33" i="7" s="1"/>
  <c r="D32" i="1"/>
  <c r="G27" i="1"/>
  <c r="I5" i="5"/>
  <c r="I15" i="5"/>
  <c r="I10" i="5"/>
  <c r="I19" i="1" l="1"/>
  <c r="I17" i="1"/>
  <c r="G22" i="1"/>
  <c r="I22" i="1" s="1"/>
  <c r="I6" i="1"/>
  <c r="I11" i="5"/>
  <c r="H21" i="7"/>
  <c r="H33" i="7" s="1"/>
  <c r="M33" i="7"/>
  <c r="N21" i="7"/>
  <c r="G21" i="7"/>
  <c r="L33" i="7"/>
  <c r="K10" i="5"/>
  <c r="K5" i="5"/>
  <c r="G10" i="1"/>
  <c r="G28" i="1"/>
  <c r="I27" i="1"/>
  <c r="D34" i="1"/>
  <c r="E33" i="1" s="1"/>
  <c r="I8" i="1"/>
  <c r="I17" i="5"/>
  <c r="K17" i="5" s="1"/>
  <c r="K15" i="5"/>
  <c r="I20" i="5"/>
  <c r="E32" i="1" l="1"/>
  <c r="K11" i="5"/>
  <c r="I28" i="1"/>
  <c r="I10" i="1"/>
  <c r="G11" i="1"/>
  <c r="I11" i="1" s="1"/>
  <c r="I12" i="5"/>
  <c r="K12" i="5" s="1"/>
  <c r="K20" i="5"/>
  <c r="P21" i="7"/>
  <c r="N33" i="7"/>
  <c r="P33" i="7" s="1"/>
  <c r="I21" i="5"/>
  <c r="I6" i="5"/>
  <c r="I21" i="7"/>
  <c r="G33" i="7"/>
  <c r="G29" i="1"/>
  <c r="I29" i="1" s="1"/>
  <c r="K21" i="5" l="1"/>
  <c r="K6" i="5"/>
  <c r="I7" i="5"/>
  <c r="K7" i="5" s="1"/>
  <c r="I22" i="5"/>
  <c r="K22" i="5" s="1"/>
  <c r="K21" i="7"/>
  <c r="I33" i="7"/>
  <c r="K33" i="7" s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<sst xmlns="http://schemas.openxmlformats.org/spreadsheetml/2006/main" count="683" uniqueCount="243">
  <si>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</si>
  <si>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</si>
  <si>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</si>
  <si>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</si>
  <si>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</si>
  <si>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</si>
  <si>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</si>
  <si>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</si>
  <si>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</si>
  <si>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</si>
  <si>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</si>
  <si>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</si>
  <si>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</si>
  <si>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</si>
  <si>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</si>
  <si>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</si>
  <si>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</si>
  <si>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</si>
  <si>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</si>
  <si>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</si>
  <si>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</si>
  <si>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</si>
  <si>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</si>
  <si>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</si>
  <si>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</si>
  <si>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</si>
  <si>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</si>
  <si>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</si>
  <si>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</si>
  <si>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</si>
  <si>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</si>
  <si>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</si>
  <si>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</si>
  <si>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</si>
  <si>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</si>
  <si>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</si>
  <si>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</si>
  <si>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</si>
  <si>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</si>
  <si>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</si>
  <si>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</si>
  <si>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</si>
  <si>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</si>
  <si>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</si>
  <si>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</si>
  <si>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</si>
  <si>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</si>
  <si>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</si>
  <si>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</si>
  <si>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</si>
  <si>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</si>
  <si>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</si>
  <si>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</si>
  <si>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</si>
  <si>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</si>
  <si>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</si>
  <si>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</si>
  <si>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</si>
  <si>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</si>
  <si>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</si>
  <si>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</si>
  <si>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</si>
  <si>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</si>
  <si>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</si>
  <si>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</si>
  <si>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</si>
  <si>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</si>
  <si>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</si>
  <si>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</si>
  <si>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</si>
  <si>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</si>
  <si>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</si>
  <si>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</si>
  <si>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</si>
  <si>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</si>
  <si>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</si>
  <si>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</si>
  <si>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</si>
  <si>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</si>
  <si>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</si>
  <si>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</si>
  <si>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</si>
  <si>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</si>
  <si>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</si>
  <si>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</si>
  <si>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</si>
  <si>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</si>
  <si>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</si>
  <si>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</si>
  <si>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</si>
  <si>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</si>
  <si>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</si>
  <si>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</si>
  <si>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</si>
  <si>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</si>
  <si>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</si>
  <si>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</si>
  <si>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</si>
  <si>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</si>
  <si>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</si>
  <si>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</si>
  <si>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</si>
  <si>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</si>
  <si>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</si>
  <si>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</si>
  <si>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</si>
  <si>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</si>
  <si>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</si>
  <si>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</si>
  <si>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</si>
  <si>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</si>
  <si>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</si>
  <si>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</si>
  <si>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</si>
  <si>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</si>
  <si>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</si>
  <si>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</si>
  <si>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</si>
  <si>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</si>
  <si>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</si>
  <si>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</si>
  <si>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</si>
  <si>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</si>
  <si>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</si>
  <si>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</si>
  <si>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</si>
  <si>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</si>
  <si>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</si>
  <si>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</si>
  <si>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</si>
  <si>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</si>
  <si>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</si>
  <si>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</si>
  <si>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</si>
  <si>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</si>
  <si>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</si>
  <si>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</si>
  <si>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</si>
  <si>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</si>
  <si>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</si>
  <si>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</si>
  <si>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</si>
  <si>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</si>
  <si>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</si>
  <si>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</si>
  <si>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</si>
  <si>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</si>
  <si>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</si>
  <si>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</si>
  <si>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</si>
  <si>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</si>
  <si>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</si>
  <si>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</si>
  <si>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</si>
  <si>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</si>
  <si>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</si>
  <si>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</si>
  <si>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</si>
  <si>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</si>
  <si>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</si>
  <si>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</si>
  <si>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</si>
  <si>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</si>
  <si>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</si>
  <si>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</si>
  <si>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</si>
  <si>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</si>
  <si>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</si>
  <si>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</si>
  <si>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</si>
  <si>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</si>
  <si>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</si>
  <si>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</si>
  <si>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</si>
  <si>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</si>
  <si>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</si>
  <si>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</si>
  <si>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</si>
  <si>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</si>
  <si>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</si>
  <si>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</si>
  <si>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</si>
  <si>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</si>
  <si>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</si>
  <si>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</si>
  <si>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</si>
  <si>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</si>
  <si>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</si>
  <si>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</si>
  <si>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</si>
  <si>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</si>
  <si>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</si>
  <si>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</si>
  <si>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</si>
  <si>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</si>
  <si>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</si>
  <si>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</si>
  <si>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</si>
  <si>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</si>
  <si>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</si>
  <si>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</si>
  <si>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</si>
  <si>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</si>
  <si>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</si>
  <si>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</si>
  <si>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</si>
  <si>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</si>
  <si>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</si>
  <si>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</si>
  <si>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</si>
  <si>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</si>
  <si>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</si>
  <si>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</si>
  <si>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</si>
  <si>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</si>
  <si>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</si>
  <si>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</si>
  <si>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</si>
  <si>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</si>
  <si>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</si>
  <si>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</si>
  <si>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</si>
  <si>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</si>
  <si>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</si>
  <si>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</si>
  <si>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</si>
  <si>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</si>
  <si>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</si>
  <si>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</si>
  <si>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</si>
  <si>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</si>
  <si>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</si>
  <si>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</si>
  <si>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</si>
  <si>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</si>
  <si>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</si>
  <si>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</si>
  <si>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</si>
  <si>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</si>
  <si>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</si>
  <si>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</si>
  <si>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March 2020</t>
  </si>
  <si>
    <t>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</si>
</sst>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0" fontId="4" fillId="0" borderId="21" xfId="0" applyFont="1" applyBorder="1" applyAlignment="1">
      <alignment horizontal="center" vertic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1380701</v>
          </cell>
          <cell r="G5">
            <v>5807620</v>
          </cell>
        </row>
        <row r="6">
          <cell r="D6">
            <v>335079</v>
          </cell>
          <cell r="G6">
            <v>1505614</v>
          </cell>
        </row>
        <row r="7">
          <cell r="D7">
            <v>129</v>
          </cell>
          <cell r="G7">
            <v>893</v>
          </cell>
        </row>
        <row r="10">
          <cell r="D10">
            <v>72202</v>
          </cell>
          <cell r="G10">
            <v>250040</v>
          </cell>
        </row>
        <row r="16">
          <cell r="D16">
            <v>15547</v>
          </cell>
          <cell r="G16">
            <v>49465</v>
          </cell>
        </row>
        <row r="17">
          <cell r="D17">
            <v>11508</v>
          </cell>
          <cell r="G17">
            <v>34482</v>
          </cell>
        </row>
        <row r="18">
          <cell r="D18">
            <v>2</v>
          </cell>
          <cell r="G18">
            <v>8</v>
          </cell>
        </row>
        <row r="19">
          <cell r="D19">
            <v>1145</v>
          </cell>
          <cell r="G19">
            <v>3421</v>
          </cell>
        </row>
        <row r="20">
          <cell r="D20">
            <v>878</v>
          </cell>
          <cell r="G20">
            <v>3102</v>
          </cell>
        </row>
        <row r="21">
          <cell r="D21">
            <v>69</v>
          </cell>
          <cell r="G21">
            <v>166</v>
          </cell>
        </row>
        <row r="27">
          <cell r="D27">
            <v>15498.96914844586</v>
          </cell>
          <cell r="G27">
            <v>47426.326376130237</v>
          </cell>
        </row>
        <row r="28">
          <cell r="D28">
            <v>1538.4950541583698</v>
          </cell>
          <cell r="G28">
            <v>5234.62513975401</v>
          </cell>
        </row>
        <row r="32">
          <cell r="B32">
            <v>532205</v>
          </cell>
          <cell r="D32">
            <v>2403084</v>
          </cell>
        </row>
        <row r="33">
          <cell r="B33">
            <v>264068</v>
          </cell>
          <cell r="D33">
            <v>1214512</v>
          </cell>
        </row>
      </sheetData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>
        <row r="5">
          <cell r="F5">
            <v>8018.4253870967395</v>
          </cell>
          <cell r="I5">
            <v>25527.679178400631</v>
          </cell>
        </row>
        <row r="6">
          <cell r="F6">
            <v>610.77528038372998</v>
          </cell>
          <cell r="I6">
            <v>2118.68233307115</v>
          </cell>
        </row>
        <row r="10">
          <cell r="F10">
            <v>7480.5437613491194</v>
          </cell>
          <cell r="I10">
            <v>21898.64719772961</v>
          </cell>
        </row>
        <row r="11">
          <cell r="F11">
            <v>927.71977377463998</v>
          </cell>
          <cell r="I11">
            <v>3115.9428066828605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15498.96914844586</v>
          </cell>
        </row>
        <row r="21">
          <cell r="F21">
            <v>1538.4950541583701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1612700</v>
          </cell>
        </row>
        <row r="6">
          <cell r="G6">
            <v>526716</v>
          </cell>
        </row>
        <row r="7">
          <cell r="G7">
            <v>388</v>
          </cell>
        </row>
        <row r="10">
          <cell r="G10">
            <v>93999</v>
          </cell>
        </row>
        <row r="16">
          <cell r="G16">
            <v>18694</v>
          </cell>
        </row>
        <row r="17">
          <cell r="G17">
            <v>16995</v>
          </cell>
        </row>
        <row r="18">
          <cell r="G18">
            <v>4</v>
          </cell>
        </row>
        <row r="19">
          <cell r="G19">
            <v>2383</v>
          </cell>
        </row>
        <row r="20">
          <cell r="G20">
            <v>1807</v>
          </cell>
        </row>
        <row r="21">
          <cell r="G21">
            <v>194</v>
          </cell>
        </row>
        <row r="27">
          <cell r="G27">
            <v>26879.995883515388</v>
          </cell>
        </row>
        <row r="28">
          <cell r="G28">
            <v>3338.1776668101397</v>
          </cell>
        </row>
        <row r="32">
          <cell r="D32">
            <v>756933</v>
          </cell>
        </row>
        <row r="33">
          <cell r="D33">
            <v>320916</v>
          </cell>
        </row>
      </sheetData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>
        <row r="5">
          <cell r="I5">
            <v>14053.393398466729</v>
          </cell>
        </row>
        <row r="6">
          <cell r="I6">
            <v>1527.8705600758599</v>
          </cell>
        </row>
        <row r="10">
          <cell r="I10">
            <v>12826.602485048661</v>
          </cell>
        </row>
        <row r="11">
          <cell r="I11">
            <v>1810.3071067342798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26879.995883515388</v>
          </cell>
        </row>
        <row r="21">
          <cell r="I21">
            <v>3338.1776668101402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GP19">
            <v>192</v>
          </cell>
          <cell r="GQ19">
            <v>172</v>
          </cell>
          <cell r="GR19">
            <v>192</v>
          </cell>
          <cell r="HD19">
            <v>140</v>
          </cell>
          <cell r="HE19">
            <v>124</v>
          </cell>
          <cell r="HF19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HD41">
            <v>263</v>
          </cell>
          <cell r="HE41">
            <v>208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3"/>
      <sheetData sheetId="4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"/>
      <sheetData sheetId="6">
        <row r="19">
          <cell r="GP19">
            <v>38</v>
          </cell>
          <cell r="GQ19">
            <v>32</v>
          </cell>
          <cell r="GR19">
            <v>18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4992</v>
          </cell>
          <cell r="GQ41">
            <v>2698</v>
          </cell>
          <cell r="GR41">
            <v>1932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6208</v>
          </cell>
          <cell r="GQ64">
            <v>2314</v>
          </cell>
          <cell r="GR64">
            <v>1819</v>
          </cell>
          <cell r="HD64">
            <v>0</v>
          </cell>
          <cell r="HE64">
            <v>0</v>
          </cell>
          <cell r="HF64">
            <v>0</v>
          </cell>
        </row>
      </sheetData>
      <sheetData sheetId="7">
        <row r="4">
          <cell r="HF4">
            <v>60</v>
          </cell>
        </row>
        <row r="5">
          <cell r="HF5">
            <v>60</v>
          </cell>
        </row>
        <row r="19">
          <cell r="GP19">
            <v>111</v>
          </cell>
          <cell r="GQ19">
            <v>101</v>
          </cell>
          <cell r="GR19">
            <v>108</v>
          </cell>
          <cell r="HD19">
            <v>62</v>
          </cell>
          <cell r="HE19">
            <v>87</v>
          </cell>
          <cell r="HF19">
            <v>120</v>
          </cell>
        </row>
        <row r="22">
          <cell r="HF22">
            <v>6071</v>
          </cell>
        </row>
        <row r="23">
          <cell r="HF23">
            <v>6866</v>
          </cell>
        </row>
        <row r="27">
          <cell r="HF27">
            <v>251</v>
          </cell>
        </row>
        <row r="28">
          <cell r="HF28">
            <v>287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HD41">
            <v>4356</v>
          </cell>
          <cell r="HE41">
            <v>6385</v>
          </cell>
          <cell r="HF41">
            <v>12937</v>
          </cell>
        </row>
        <row r="47">
          <cell r="HF47">
            <v>27716</v>
          </cell>
        </row>
        <row r="48">
          <cell r="HF48">
            <v>117</v>
          </cell>
        </row>
        <row r="52">
          <cell r="HF52">
            <v>9646</v>
          </cell>
        </row>
        <row r="53">
          <cell r="HF53">
            <v>1402</v>
          </cell>
        </row>
        <row r="64">
          <cell r="GP64">
            <v>17977</v>
          </cell>
          <cell r="GQ64">
            <v>21060</v>
          </cell>
          <cell r="GR64">
            <v>19782</v>
          </cell>
          <cell r="HD64">
            <v>14604</v>
          </cell>
          <cell r="HE64">
            <v>13516</v>
          </cell>
          <cell r="HF64">
            <v>38881</v>
          </cell>
        </row>
      </sheetData>
      <sheetData sheetId="8"/>
      <sheetData sheetId="9">
        <row r="4">
          <cell r="HF4">
            <v>236</v>
          </cell>
        </row>
        <row r="5">
          <cell r="HF5">
            <v>235</v>
          </cell>
        </row>
        <row r="19">
          <cell r="GP19">
            <v>813</v>
          </cell>
          <cell r="GQ19">
            <v>852</v>
          </cell>
          <cell r="GR19">
            <v>865</v>
          </cell>
          <cell r="HD19">
            <v>422</v>
          </cell>
          <cell r="HE19">
            <v>359</v>
          </cell>
          <cell r="HF19">
            <v>471</v>
          </cell>
        </row>
        <row r="22">
          <cell r="HF22">
            <v>30895</v>
          </cell>
        </row>
        <row r="23">
          <cell r="HF23">
            <v>32055</v>
          </cell>
        </row>
        <row r="27">
          <cell r="HF27">
            <v>809</v>
          </cell>
        </row>
        <row r="28">
          <cell r="HF28">
            <v>817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HD41">
            <v>42515</v>
          </cell>
          <cell r="HE41">
            <v>41605</v>
          </cell>
          <cell r="HF41">
            <v>62950</v>
          </cell>
        </row>
        <row r="47">
          <cell r="HF47">
            <v>26993</v>
          </cell>
        </row>
        <row r="48">
          <cell r="HF48">
            <v>40232</v>
          </cell>
        </row>
        <row r="52">
          <cell r="HF52">
            <v>5448</v>
          </cell>
        </row>
        <row r="53">
          <cell r="HF53">
            <v>85801</v>
          </cell>
        </row>
        <row r="64">
          <cell r="GP64">
            <v>181885</v>
          </cell>
          <cell r="GQ64">
            <v>160284</v>
          </cell>
          <cell r="GR64">
            <v>173704</v>
          </cell>
          <cell r="HD64">
            <v>144563</v>
          </cell>
          <cell r="HE64">
            <v>119845</v>
          </cell>
          <cell r="HF64">
            <v>158474</v>
          </cell>
        </row>
      </sheetData>
      <sheetData sheetId="10"/>
      <sheetData sheetId="11">
        <row r="4">
          <cell r="HF4">
            <v>655</v>
          </cell>
        </row>
        <row r="5">
          <cell r="HF5">
            <v>652</v>
          </cell>
        </row>
        <row r="8">
          <cell r="HF8">
            <v>94</v>
          </cell>
        </row>
        <row r="9">
          <cell r="HF9">
            <v>91</v>
          </cell>
        </row>
        <row r="15">
          <cell r="HD15">
            <v>125</v>
          </cell>
          <cell r="HE15">
            <v>142</v>
          </cell>
          <cell r="HF15">
            <v>172</v>
          </cell>
        </row>
        <row r="16">
          <cell r="HD16">
            <v>124</v>
          </cell>
          <cell r="HE16">
            <v>141</v>
          </cell>
          <cell r="HF16">
            <v>167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HD19">
            <v>1271</v>
          </cell>
          <cell r="HE19">
            <v>1420</v>
          </cell>
          <cell r="HF19">
            <v>1831</v>
          </cell>
        </row>
        <row r="22">
          <cell r="HF22">
            <v>98198</v>
          </cell>
        </row>
        <row r="23">
          <cell r="HF23">
            <v>107823</v>
          </cell>
        </row>
        <row r="27">
          <cell r="HF27">
            <v>1423</v>
          </cell>
        </row>
        <row r="28">
          <cell r="HF28">
            <v>1536</v>
          </cell>
        </row>
        <row r="32">
          <cell r="HD32">
            <v>10518</v>
          </cell>
          <cell r="HE32">
            <v>8124</v>
          </cell>
          <cell r="HF32">
            <v>15450</v>
          </cell>
        </row>
        <row r="33">
          <cell r="HD33">
            <v>7355</v>
          </cell>
          <cell r="HE33">
            <v>9269</v>
          </cell>
          <cell r="HF33">
            <v>18127</v>
          </cell>
        </row>
        <row r="37">
          <cell r="HD37">
            <v>317</v>
          </cell>
          <cell r="HE37">
            <v>242</v>
          </cell>
          <cell r="HF37">
            <v>252</v>
          </cell>
        </row>
        <row r="38">
          <cell r="HD38">
            <v>284</v>
          </cell>
          <cell r="HE38">
            <v>237</v>
          </cell>
          <cell r="HF38">
            <v>265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HD41">
            <v>126344</v>
          </cell>
          <cell r="HE41">
            <v>160059</v>
          </cell>
          <cell r="HF41">
            <v>239598</v>
          </cell>
        </row>
        <row r="47">
          <cell r="HF47">
            <v>6167</v>
          </cell>
        </row>
        <row r="48">
          <cell r="HF48">
            <v>137740</v>
          </cell>
        </row>
        <row r="52">
          <cell r="HF52">
            <v>218</v>
          </cell>
        </row>
        <row r="53">
          <cell r="HF53">
            <v>205653</v>
          </cell>
        </row>
        <row r="64">
          <cell r="GP64">
            <v>629675</v>
          </cell>
          <cell r="GQ64">
            <v>480980</v>
          </cell>
          <cell r="GR64">
            <v>312860</v>
          </cell>
          <cell r="HD64">
            <v>396600</v>
          </cell>
          <cell r="HE64">
            <v>367830</v>
          </cell>
          <cell r="HF64">
            <v>349778</v>
          </cell>
        </row>
        <row r="70">
          <cell r="HF70">
            <v>107823</v>
          </cell>
        </row>
        <row r="73">
          <cell r="HF73">
            <v>18127</v>
          </cell>
        </row>
      </sheetData>
      <sheetData sheetId="12">
        <row r="4">
          <cell r="HF4">
            <v>28</v>
          </cell>
        </row>
        <row r="5">
          <cell r="HF5">
            <v>26</v>
          </cell>
        </row>
        <row r="19">
          <cell r="GP19">
            <v>159</v>
          </cell>
          <cell r="GQ19">
            <v>197</v>
          </cell>
          <cell r="GR19">
            <v>155</v>
          </cell>
          <cell r="HD19">
            <v>45</v>
          </cell>
          <cell r="HE19">
            <v>34</v>
          </cell>
          <cell r="HF19">
            <v>54</v>
          </cell>
        </row>
        <row r="22">
          <cell r="HF22">
            <v>146</v>
          </cell>
        </row>
        <row r="23">
          <cell r="HF23">
            <v>120</v>
          </cell>
        </row>
        <row r="41">
          <cell r="GP41">
            <v>846</v>
          </cell>
          <cell r="GQ41">
            <v>1011</v>
          </cell>
          <cell r="GR41">
            <v>456</v>
          </cell>
          <cell r="HD41">
            <v>164</v>
          </cell>
          <cell r="HE41">
            <v>150</v>
          </cell>
          <cell r="HF41">
            <v>266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13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14">
        <row r="4">
          <cell r="HF4">
            <v>3508</v>
          </cell>
        </row>
        <row r="5">
          <cell r="HF5">
            <v>3502</v>
          </cell>
        </row>
        <row r="8">
          <cell r="HF8">
            <v>2</v>
          </cell>
        </row>
        <row r="9">
          <cell r="HF9">
            <v>5</v>
          </cell>
        </row>
        <row r="15">
          <cell r="HD15">
            <v>242</v>
          </cell>
          <cell r="HE15">
            <v>216</v>
          </cell>
          <cell r="HF15">
            <v>250</v>
          </cell>
        </row>
        <row r="16">
          <cell r="HD16">
            <v>240</v>
          </cell>
          <cell r="HE16">
            <v>216</v>
          </cell>
          <cell r="HF16">
            <v>249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HD19">
            <v>6512</v>
          </cell>
          <cell r="HE19">
            <v>5989</v>
          </cell>
          <cell r="HF19">
            <v>7516</v>
          </cell>
        </row>
        <row r="22">
          <cell r="HF22">
            <v>351889</v>
          </cell>
        </row>
        <row r="23">
          <cell r="HF23">
            <v>372008</v>
          </cell>
        </row>
        <row r="27">
          <cell r="HF27">
            <v>14135</v>
          </cell>
        </row>
        <row r="28">
          <cell r="HF28">
            <v>13896</v>
          </cell>
        </row>
        <row r="32">
          <cell r="HD32">
            <v>17199</v>
          </cell>
          <cell r="HE32">
            <v>12660</v>
          </cell>
          <cell r="HF32">
            <v>20192</v>
          </cell>
        </row>
        <row r="33">
          <cell r="HD33">
            <v>15071</v>
          </cell>
          <cell r="HE33">
            <v>13233</v>
          </cell>
          <cell r="HF33">
            <v>21442</v>
          </cell>
        </row>
        <row r="37">
          <cell r="HD37">
            <v>647</v>
          </cell>
          <cell r="HE37">
            <v>367</v>
          </cell>
          <cell r="HF37">
            <v>621</v>
          </cell>
        </row>
        <row r="38">
          <cell r="HD38">
            <v>557</v>
          </cell>
          <cell r="HE38">
            <v>336</v>
          </cell>
          <cell r="HF38">
            <v>610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HD41">
            <v>500051</v>
          </cell>
          <cell r="HE41">
            <v>515849</v>
          </cell>
          <cell r="HF41">
            <v>765531</v>
          </cell>
        </row>
        <row r="47">
          <cell r="HF47">
            <v>1027486</v>
          </cell>
        </row>
        <row r="48">
          <cell r="HF48">
            <v>924057</v>
          </cell>
        </row>
        <row r="52">
          <cell r="HF52">
            <v>1298498</v>
          </cell>
        </row>
        <row r="53">
          <cell r="HF53">
            <v>210</v>
          </cell>
        </row>
        <row r="64">
          <cell r="GP64">
            <v>7347318</v>
          </cell>
          <cell r="GQ64">
            <v>7599132</v>
          </cell>
          <cell r="GR64">
            <v>4490860</v>
          </cell>
          <cell r="HD64">
            <v>2397792</v>
          </cell>
          <cell r="HE64">
            <v>2306649</v>
          </cell>
          <cell r="HF64">
            <v>3250251</v>
          </cell>
        </row>
        <row r="70">
          <cell r="HF70">
            <v>277794</v>
          </cell>
        </row>
        <row r="71">
          <cell r="HF71">
            <v>94214</v>
          </cell>
        </row>
        <row r="73">
          <cell r="HF73">
            <v>16012</v>
          </cell>
        </row>
        <row r="74">
          <cell r="HF74">
            <v>5430</v>
          </cell>
        </row>
      </sheetData>
      <sheetData sheetId="15">
        <row r="4">
          <cell r="HF4">
            <v>54</v>
          </cell>
        </row>
        <row r="5">
          <cell r="HF5">
            <v>54</v>
          </cell>
        </row>
        <row r="8">
          <cell r="HF8">
            <v>7</v>
          </cell>
        </row>
        <row r="9">
          <cell r="HF9">
            <v>7</v>
          </cell>
        </row>
        <row r="19">
          <cell r="GP19">
            <v>0</v>
          </cell>
          <cell r="GQ19">
            <v>0</v>
          </cell>
          <cell r="GR19">
            <v>0</v>
          </cell>
          <cell r="HD19">
            <v>110</v>
          </cell>
          <cell r="HE19">
            <v>100</v>
          </cell>
          <cell r="HF19">
            <v>122</v>
          </cell>
        </row>
        <row r="22">
          <cell r="HF22">
            <v>272</v>
          </cell>
        </row>
        <row r="23">
          <cell r="HF23">
            <v>250</v>
          </cell>
        </row>
        <row r="27">
          <cell r="HF27">
            <v>19</v>
          </cell>
        </row>
        <row r="28">
          <cell r="HF28">
            <v>26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353</v>
          </cell>
          <cell r="HE41">
            <v>335</v>
          </cell>
          <cell r="HF41">
            <v>522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16">
        <row r="4">
          <cell r="HF4">
            <v>74</v>
          </cell>
        </row>
        <row r="5">
          <cell r="HF5">
            <v>74</v>
          </cell>
        </row>
        <row r="19">
          <cell r="GP19">
            <v>218</v>
          </cell>
          <cell r="GQ19">
            <v>205</v>
          </cell>
          <cell r="GR19">
            <v>188</v>
          </cell>
          <cell r="HD19">
            <v>51</v>
          </cell>
          <cell r="HE19">
            <v>47</v>
          </cell>
          <cell r="HF19">
            <v>148</v>
          </cell>
        </row>
        <row r="22">
          <cell r="HF22">
            <v>11307</v>
          </cell>
        </row>
        <row r="23">
          <cell r="HF23">
            <v>12109</v>
          </cell>
        </row>
        <row r="27">
          <cell r="HF27">
            <v>82</v>
          </cell>
        </row>
        <row r="28">
          <cell r="HF28">
            <v>93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HD41">
            <v>6658</v>
          </cell>
          <cell r="HE41">
            <v>6842</v>
          </cell>
          <cell r="HF41">
            <v>23416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17"/>
      <sheetData sheetId="18">
        <row r="19">
          <cell r="GP19">
            <v>8</v>
          </cell>
          <cell r="GQ19">
            <v>0</v>
          </cell>
          <cell r="GR19">
            <v>10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1092</v>
          </cell>
          <cell r="GQ41">
            <v>0</v>
          </cell>
          <cell r="GR41">
            <v>966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392</v>
          </cell>
          <cell r="GQ64">
            <v>0</v>
          </cell>
          <cell r="GR64">
            <v>2182</v>
          </cell>
          <cell r="HD64">
            <v>0</v>
          </cell>
          <cell r="HE64">
            <v>0</v>
          </cell>
          <cell r="HF64">
            <v>0</v>
          </cell>
        </row>
      </sheetData>
      <sheetData sheetId="19">
        <row r="19">
          <cell r="GP19">
            <v>174</v>
          </cell>
          <cell r="GQ19">
            <v>146</v>
          </cell>
          <cell r="GR19">
            <v>148</v>
          </cell>
          <cell r="HD19">
            <v>26</v>
          </cell>
          <cell r="HE19">
            <v>4</v>
          </cell>
          <cell r="HF19">
            <v>0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HD41">
            <v>1058</v>
          </cell>
          <cell r="HE41">
            <v>89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20">
        <row r="4">
          <cell r="HF4">
            <v>164</v>
          </cell>
        </row>
        <row r="5">
          <cell r="HF5">
            <v>164</v>
          </cell>
        </row>
        <row r="19">
          <cell r="GP19">
            <v>562</v>
          </cell>
          <cell r="GQ19">
            <v>514</v>
          </cell>
          <cell r="GR19">
            <v>414</v>
          </cell>
          <cell r="HD19">
            <v>242</v>
          </cell>
          <cell r="HE19">
            <v>264</v>
          </cell>
          <cell r="HF19">
            <v>328</v>
          </cell>
        </row>
        <row r="22">
          <cell r="HF22">
            <v>20496</v>
          </cell>
        </row>
        <row r="23">
          <cell r="HF23">
            <v>21383</v>
          </cell>
        </row>
        <row r="27">
          <cell r="HF27">
            <v>857</v>
          </cell>
        </row>
        <row r="28">
          <cell r="HF28">
            <v>821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HD41">
            <v>21540</v>
          </cell>
          <cell r="HE41">
            <v>27457</v>
          </cell>
          <cell r="HF41">
            <v>41879</v>
          </cell>
        </row>
        <row r="47">
          <cell r="HF47">
            <v>33119</v>
          </cell>
        </row>
        <row r="48">
          <cell r="HF48">
            <v>2288</v>
          </cell>
        </row>
        <row r="52">
          <cell r="HF52">
            <v>4376</v>
          </cell>
        </row>
        <row r="53">
          <cell r="HF53">
            <v>33652</v>
          </cell>
        </row>
        <row r="64">
          <cell r="GP64">
            <v>126398</v>
          </cell>
          <cell r="GQ64">
            <v>99805</v>
          </cell>
          <cell r="GR64">
            <v>136827</v>
          </cell>
          <cell r="HD64">
            <v>62672</v>
          </cell>
          <cell r="HE64">
            <v>71616</v>
          </cell>
          <cell r="HF64">
            <v>73435</v>
          </cell>
        </row>
      </sheetData>
      <sheetData sheetId="21">
        <row r="19">
          <cell r="GP19">
            <v>32</v>
          </cell>
          <cell r="GQ19">
            <v>32</v>
          </cell>
          <cell r="GR19">
            <v>16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303688</v>
          </cell>
          <cell r="GQ64">
            <v>337650</v>
          </cell>
          <cell r="GR64">
            <v>177071</v>
          </cell>
          <cell r="HD64">
            <v>0</v>
          </cell>
          <cell r="HE64">
            <v>0</v>
          </cell>
          <cell r="HF64">
            <v>0</v>
          </cell>
        </row>
      </sheetData>
      <sheetData sheetId="22"/>
      <sheetData sheetId="23"/>
      <sheetData sheetId="24">
        <row r="4">
          <cell r="HF4">
            <v>377</v>
          </cell>
        </row>
        <row r="5">
          <cell r="HF5">
            <v>371</v>
          </cell>
        </row>
        <row r="19">
          <cell r="GP19">
            <v>1165</v>
          </cell>
          <cell r="GQ19">
            <v>1099</v>
          </cell>
          <cell r="GR19">
            <v>1052</v>
          </cell>
          <cell r="HD19">
            <v>540</v>
          </cell>
          <cell r="HE19">
            <v>441</v>
          </cell>
          <cell r="HF19">
            <v>748</v>
          </cell>
        </row>
        <row r="22">
          <cell r="HF22">
            <v>45630</v>
          </cell>
        </row>
        <row r="23">
          <cell r="HF23">
            <v>49314</v>
          </cell>
        </row>
        <row r="27">
          <cell r="HF27">
            <v>958</v>
          </cell>
        </row>
        <row r="28">
          <cell r="HF28">
            <v>949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HD41">
            <v>47576</v>
          </cell>
          <cell r="HE41">
            <v>48865</v>
          </cell>
          <cell r="HF41">
            <v>94944</v>
          </cell>
        </row>
        <row r="47">
          <cell r="HF47">
            <v>210747</v>
          </cell>
        </row>
        <row r="52">
          <cell r="HF52">
            <v>41943</v>
          </cell>
        </row>
        <row r="64">
          <cell r="GP64">
            <v>319282</v>
          </cell>
          <cell r="GQ64">
            <v>289355</v>
          </cell>
          <cell r="GR64">
            <v>294742</v>
          </cell>
          <cell r="HD64">
            <v>241966</v>
          </cell>
          <cell r="HE64">
            <v>270230</v>
          </cell>
          <cell r="HF64">
            <v>252690</v>
          </cell>
        </row>
        <row r="70">
          <cell r="HF70">
            <v>49191</v>
          </cell>
        </row>
        <row r="71">
          <cell r="HF71">
            <v>123</v>
          </cell>
        </row>
      </sheetData>
      <sheetData sheetId="25">
        <row r="4">
          <cell r="HF4">
            <v>196</v>
          </cell>
        </row>
        <row r="5">
          <cell r="HF5">
            <v>194</v>
          </cell>
        </row>
        <row r="19">
          <cell r="GP19">
            <v>580</v>
          </cell>
          <cell r="GQ19">
            <v>603</v>
          </cell>
          <cell r="GR19">
            <v>682</v>
          </cell>
          <cell r="HD19">
            <v>204</v>
          </cell>
          <cell r="HE19">
            <v>200</v>
          </cell>
          <cell r="HF19">
            <v>390</v>
          </cell>
        </row>
        <row r="22">
          <cell r="HF22">
            <v>31252</v>
          </cell>
        </row>
        <row r="23">
          <cell r="HF23">
            <v>33599</v>
          </cell>
        </row>
        <row r="27">
          <cell r="HF27">
            <v>114</v>
          </cell>
        </row>
        <row r="28">
          <cell r="HF28">
            <v>102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HD41">
            <v>26232</v>
          </cell>
          <cell r="HE41">
            <v>27746</v>
          </cell>
          <cell r="HF41">
            <v>64851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26"/>
      <sheetData sheetId="27"/>
      <sheetData sheetId="28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29">
        <row r="4">
          <cell r="HF4">
            <v>135</v>
          </cell>
        </row>
        <row r="5">
          <cell r="HF5">
            <v>134</v>
          </cell>
        </row>
        <row r="19">
          <cell r="GP19">
            <v>183</v>
          </cell>
          <cell r="GQ19">
            <v>149</v>
          </cell>
          <cell r="GR19">
            <v>114</v>
          </cell>
          <cell r="HD19">
            <v>225</v>
          </cell>
          <cell r="HE19">
            <v>188</v>
          </cell>
          <cell r="HF19">
            <v>269</v>
          </cell>
        </row>
        <row r="22">
          <cell r="HF22">
            <v>8656</v>
          </cell>
        </row>
        <row r="23">
          <cell r="HF23">
            <v>9211</v>
          </cell>
        </row>
        <row r="27">
          <cell r="HF27">
            <v>462</v>
          </cell>
        </row>
        <row r="28">
          <cell r="HF28">
            <v>524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HD41">
            <v>12931</v>
          </cell>
          <cell r="HE41">
            <v>11680</v>
          </cell>
          <cell r="HF41">
            <v>17867</v>
          </cell>
        </row>
        <row r="47">
          <cell r="HF47">
            <v>1993</v>
          </cell>
        </row>
        <row r="52">
          <cell r="HF52">
            <v>216</v>
          </cell>
        </row>
        <row r="64">
          <cell r="GP64">
            <v>137</v>
          </cell>
          <cell r="GQ64">
            <v>660</v>
          </cell>
          <cell r="GR64">
            <v>120</v>
          </cell>
          <cell r="HD64">
            <v>227</v>
          </cell>
          <cell r="HE64">
            <v>1501</v>
          </cell>
          <cell r="HF64">
            <v>2209</v>
          </cell>
        </row>
      </sheetData>
      <sheetData sheetId="30">
        <row r="19">
          <cell r="GP19">
            <v>0</v>
          </cell>
          <cell r="GQ19">
            <v>4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161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31">
        <row r="19">
          <cell r="GP19">
            <v>62</v>
          </cell>
          <cell r="GQ19">
            <v>58</v>
          </cell>
          <cell r="GR19">
            <v>42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4129</v>
          </cell>
          <cell r="GQ41">
            <v>4045</v>
          </cell>
          <cell r="GR41">
            <v>1991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3642</v>
          </cell>
          <cell r="GQ64">
            <v>2650</v>
          </cell>
          <cell r="GR64">
            <v>2104</v>
          </cell>
          <cell r="HD64">
            <v>0</v>
          </cell>
          <cell r="HE64">
            <v>0</v>
          </cell>
          <cell r="HF64">
            <v>0</v>
          </cell>
        </row>
      </sheetData>
      <sheetData sheetId="32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37"/>
      <sheetData sheetId="38">
        <row r="19">
          <cell r="GP19">
            <v>80</v>
          </cell>
          <cell r="GQ19">
            <v>64</v>
          </cell>
          <cell r="GR19">
            <v>92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4459</v>
          </cell>
          <cell r="GQ41">
            <v>3177</v>
          </cell>
          <cell r="GR41">
            <v>3347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39"/>
      <sheetData sheetId="40">
        <row r="19">
          <cell r="GP19">
            <v>44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2644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41">
        <row r="19">
          <cell r="GP19">
            <v>2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83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42">
        <row r="4">
          <cell r="HF4">
            <v>26</v>
          </cell>
        </row>
        <row r="5">
          <cell r="HF5">
            <v>26</v>
          </cell>
        </row>
        <row r="19">
          <cell r="GP19">
            <v>160</v>
          </cell>
          <cell r="GQ19">
            <v>126</v>
          </cell>
          <cell r="GR19">
            <v>118</v>
          </cell>
          <cell r="HD19">
            <v>80</v>
          </cell>
          <cell r="HE19">
            <v>29</v>
          </cell>
          <cell r="HF19">
            <v>52</v>
          </cell>
        </row>
        <row r="22">
          <cell r="HF22">
            <v>1499</v>
          </cell>
        </row>
        <row r="23">
          <cell r="HF23">
            <v>1545</v>
          </cell>
        </row>
        <row r="27">
          <cell r="HF27">
            <v>52</v>
          </cell>
        </row>
        <row r="28">
          <cell r="HF28">
            <v>62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HD41">
            <v>4240</v>
          </cell>
          <cell r="HE41">
            <v>1405</v>
          </cell>
          <cell r="HF41">
            <v>3044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43"/>
      <sheetData sheetId="44">
        <row r="4">
          <cell r="HF4">
            <v>22</v>
          </cell>
        </row>
        <row r="5">
          <cell r="HF5">
            <v>23</v>
          </cell>
        </row>
        <row r="19">
          <cell r="GP19">
            <v>226</v>
          </cell>
          <cell r="GQ19">
            <v>242</v>
          </cell>
          <cell r="GR19">
            <v>270</v>
          </cell>
          <cell r="HD19">
            <v>124</v>
          </cell>
          <cell r="HE19">
            <v>92</v>
          </cell>
          <cell r="HF19">
            <v>45</v>
          </cell>
        </row>
        <row r="22">
          <cell r="HF22">
            <v>1188</v>
          </cell>
        </row>
        <row r="23">
          <cell r="HF23">
            <v>1329</v>
          </cell>
        </row>
        <row r="27">
          <cell r="HF27">
            <v>47</v>
          </cell>
        </row>
        <row r="28">
          <cell r="HF28">
            <v>43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HD41">
            <v>6039</v>
          </cell>
          <cell r="HE41">
            <v>4583</v>
          </cell>
          <cell r="HF41">
            <v>2517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45"/>
      <sheetData sheetId="46"/>
      <sheetData sheetId="47">
        <row r="4">
          <cell r="HF4">
            <v>1573</v>
          </cell>
        </row>
        <row r="5">
          <cell r="HF5">
            <v>1572</v>
          </cell>
        </row>
        <row r="9">
          <cell r="HF9">
            <v>1</v>
          </cell>
        </row>
        <row r="19">
          <cell r="GP19">
            <v>2466</v>
          </cell>
          <cell r="GQ19">
            <v>2241</v>
          </cell>
          <cell r="GR19">
            <v>2685</v>
          </cell>
          <cell r="HD19">
            <v>3350</v>
          </cell>
          <cell r="HE19">
            <v>2563</v>
          </cell>
          <cell r="HF19">
            <v>3146</v>
          </cell>
        </row>
        <row r="22">
          <cell r="HF22">
            <v>53487</v>
          </cell>
        </row>
        <row r="23">
          <cell r="HF23">
            <v>52459</v>
          </cell>
        </row>
        <row r="27">
          <cell r="HF27">
            <v>2295</v>
          </cell>
        </row>
        <row r="28">
          <cell r="HF28">
            <v>2297</v>
          </cell>
        </row>
        <row r="41">
          <cell r="GP41">
            <v>135012</v>
          </cell>
          <cell r="GQ41">
            <v>124126</v>
          </cell>
          <cell r="GR41">
            <v>78558</v>
          </cell>
          <cell r="HD41">
            <v>101257</v>
          </cell>
          <cell r="HE41">
            <v>81842</v>
          </cell>
          <cell r="HF41">
            <v>105946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  <row r="70">
          <cell r="HF70">
            <v>14405</v>
          </cell>
        </row>
        <row r="71">
          <cell r="HF71">
            <v>38054</v>
          </cell>
        </row>
      </sheetData>
      <sheetData sheetId="48">
        <row r="19">
          <cell r="GP19">
            <v>0</v>
          </cell>
          <cell r="GQ19">
            <v>0</v>
          </cell>
          <cell r="GR19">
            <v>0</v>
          </cell>
          <cell r="HD19">
            <v>2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32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49">
        <row r="4">
          <cell r="HF4">
            <v>33</v>
          </cell>
        </row>
        <row r="5">
          <cell r="HF5">
            <v>33</v>
          </cell>
        </row>
        <row r="19">
          <cell r="GP19">
            <v>375</v>
          </cell>
          <cell r="GQ19">
            <v>380</v>
          </cell>
          <cell r="GR19">
            <v>380</v>
          </cell>
          <cell r="HD19">
            <v>41</v>
          </cell>
          <cell r="HE19">
            <v>38</v>
          </cell>
          <cell r="HF19">
            <v>66</v>
          </cell>
        </row>
        <row r="22">
          <cell r="HF22">
            <v>1910</v>
          </cell>
        </row>
        <row r="23">
          <cell r="HF23">
            <v>1560</v>
          </cell>
        </row>
        <row r="27">
          <cell r="HF27">
            <v>89</v>
          </cell>
        </row>
        <row r="28">
          <cell r="HF28">
            <v>75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HD41">
            <v>1409</v>
          </cell>
          <cell r="HE41">
            <v>1230</v>
          </cell>
          <cell r="HF41">
            <v>3470</v>
          </cell>
        </row>
        <row r="47">
          <cell r="HF47">
            <v>3</v>
          </cell>
        </row>
        <row r="52">
          <cell r="HF52">
            <v>62</v>
          </cell>
        </row>
        <row r="64">
          <cell r="GP64">
            <v>300</v>
          </cell>
          <cell r="GQ64">
            <v>824</v>
          </cell>
          <cell r="GR64">
            <v>431</v>
          </cell>
          <cell r="HD64">
            <v>38</v>
          </cell>
          <cell r="HE64">
            <v>0</v>
          </cell>
          <cell r="HF64">
            <v>65</v>
          </cell>
        </row>
      </sheetData>
      <sheetData sheetId="50">
        <row r="4">
          <cell r="HF4">
            <v>82</v>
          </cell>
        </row>
        <row r="5">
          <cell r="HF5">
            <v>82</v>
          </cell>
        </row>
        <row r="19">
          <cell r="GP19">
            <v>422</v>
          </cell>
          <cell r="GQ19">
            <v>408</v>
          </cell>
          <cell r="GR19">
            <v>418</v>
          </cell>
          <cell r="HD19">
            <v>128</v>
          </cell>
          <cell r="HE19">
            <v>133</v>
          </cell>
          <cell r="HF19">
            <v>164</v>
          </cell>
        </row>
        <row r="22">
          <cell r="HF22">
            <v>4593</v>
          </cell>
        </row>
        <row r="23">
          <cell r="HF23">
            <v>4834</v>
          </cell>
        </row>
        <row r="27">
          <cell r="HF27">
            <v>173</v>
          </cell>
        </row>
        <row r="28">
          <cell r="HF28">
            <v>174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HD41">
            <v>5356</v>
          </cell>
          <cell r="HE41">
            <v>6301</v>
          </cell>
          <cell r="HF41">
            <v>9427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1">
        <row r="19">
          <cell r="GP19">
            <v>138</v>
          </cell>
          <cell r="GQ19">
            <v>138</v>
          </cell>
          <cell r="GR19">
            <v>114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7223</v>
          </cell>
          <cell r="GQ41">
            <v>6270</v>
          </cell>
          <cell r="GR41">
            <v>3448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1424</v>
          </cell>
          <cell r="GQ64">
            <v>2842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2">
        <row r="4">
          <cell r="HF4">
            <v>2865</v>
          </cell>
        </row>
        <row r="5">
          <cell r="HF5">
            <v>2868</v>
          </cell>
        </row>
        <row r="9">
          <cell r="HF9">
            <v>1</v>
          </cell>
        </row>
        <row r="15">
          <cell r="HD15">
            <v>114</v>
          </cell>
          <cell r="HE15">
            <v>59</v>
          </cell>
          <cell r="HF15">
            <v>32</v>
          </cell>
        </row>
        <row r="16">
          <cell r="HD16">
            <v>115</v>
          </cell>
          <cell r="HE16">
            <v>58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HD19">
            <v>5197</v>
          </cell>
          <cell r="HE19">
            <v>4805</v>
          </cell>
          <cell r="HF19">
            <v>5766</v>
          </cell>
        </row>
        <row r="22">
          <cell r="HF22">
            <v>105151</v>
          </cell>
        </row>
        <row r="23">
          <cell r="HF23">
            <v>107252</v>
          </cell>
        </row>
        <row r="27">
          <cell r="HF27">
            <v>4679</v>
          </cell>
        </row>
        <row r="28">
          <cell r="HF28">
            <v>4828</v>
          </cell>
        </row>
        <row r="32">
          <cell r="HD32">
            <v>2378</v>
          </cell>
          <cell r="HE32">
            <v>744</v>
          </cell>
          <cell r="HF32">
            <v>621</v>
          </cell>
        </row>
        <row r="33">
          <cell r="HD33">
            <v>2050</v>
          </cell>
          <cell r="HE33">
            <v>1056</v>
          </cell>
          <cell r="HF33">
            <v>610</v>
          </cell>
        </row>
        <row r="37">
          <cell r="HD37">
            <v>13</v>
          </cell>
          <cell r="HE37">
            <v>7</v>
          </cell>
          <cell r="HF37">
            <v>6</v>
          </cell>
        </row>
        <row r="38">
          <cell r="HD38">
            <v>8</v>
          </cell>
          <cell r="HE38">
            <v>5</v>
          </cell>
          <cell r="HF38">
            <v>0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HD41">
            <v>152507</v>
          </cell>
          <cell r="HE41">
            <v>135904</v>
          </cell>
          <cell r="HF41">
            <v>213634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  <row r="70">
          <cell r="HF70">
            <v>40442</v>
          </cell>
        </row>
        <row r="71">
          <cell r="HF71">
            <v>66810</v>
          </cell>
        </row>
        <row r="73">
          <cell r="HF73">
            <v>230</v>
          </cell>
        </row>
        <row r="74">
          <cell r="HF74">
            <v>380</v>
          </cell>
        </row>
      </sheetData>
      <sheetData sheetId="53"/>
      <sheetData sheetId="54">
        <row r="4">
          <cell r="HF4">
            <v>28</v>
          </cell>
        </row>
        <row r="5">
          <cell r="HF5">
            <v>28</v>
          </cell>
        </row>
        <row r="19">
          <cell r="GP19">
            <v>72</v>
          </cell>
          <cell r="GQ19">
            <v>62</v>
          </cell>
          <cell r="GR19">
            <v>48</v>
          </cell>
          <cell r="HD19">
            <v>0</v>
          </cell>
          <cell r="HE19">
            <v>0</v>
          </cell>
          <cell r="HF19">
            <v>56</v>
          </cell>
        </row>
        <row r="22">
          <cell r="HF22">
            <v>1605</v>
          </cell>
        </row>
        <row r="23">
          <cell r="HF23">
            <v>1616</v>
          </cell>
        </row>
        <row r="27">
          <cell r="HF27">
            <v>70</v>
          </cell>
        </row>
        <row r="28">
          <cell r="HF28">
            <v>76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HD41">
            <v>0</v>
          </cell>
          <cell r="HE41">
            <v>0</v>
          </cell>
          <cell r="HF41">
            <v>3221</v>
          </cell>
        </row>
        <row r="47">
          <cell r="HF47">
            <v>708</v>
          </cell>
        </row>
        <row r="52">
          <cell r="HF52">
            <v>60</v>
          </cell>
        </row>
        <row r="64">
          <cell r="GP64">
            <v>148</v>
          </cell>
          <cell r="GQ64">
            <v>251</v>
          </cell>
          <cell r="GR64">
            <v>161</v>
          </cell>
          <cell r="HD64">
            <v>0</v>
          </cell>
          <cell r="HE64">
            <v>0</v>
          </cell>
          <cell r="HF64">
            <v>768</v>
          </cell>
        </row>
      </sheetData>
      <sheetData sheetId="55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6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7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HD41">
            <v>0</v>
          </cell>
          <cell r="HE41">
            <v>0</v>
          </cell>
          <cell r="HF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4">
          <cell r="HF4">
            <v>15</v>
          </cell>
        </row>
        <row r="5">
          <cell r="HF5">
            <v>14</v>
          </cell>
        </row>
        <row r="19">
          <cell r="GP19">
            <v>58</v>
          </cell>
          <cell r="GQ19">
            <v>58</v>
          </cell>
          <cell r="GR19">
            <v>60</v>
          </cell>
          <cell r="HD19">
            <v>0</v>
          </cell>
          <cell r="HE19">
            <v>0</v>
          </cell>
          <cell r="HF19">
            <v>29</v>
          </cell>
        </row>
        <row r="47">
          <cell r="HF47">
            <v>488347</v>
          </cell>
        </row>
        <row r="52">
          <cell r="HF52">
            <v>269861</v>
          </cell>
        </row>
        <row r="64">
          <cell r="GP64">
            <v>2115302</v>
          </cell>
          <cell r="GQ64">
            <v>1882428</v>
          </cell>
          <cell r="GR64">
            <v>2678702</v>
          </cell>
          <cell r="HD64">
            <v>0</v>
          </cell>
          <cell r="HE64">
            <v>0</v>
          </cell>
          <cell r="HF64">
            <v>758208</v>
          </cell>
        </row>
      </sheetData>
      <sheetData sheetId="66">
        <row r="4">
          <cell r="HF4">
            <v>45</v>
          </cell>
        </row>
        <row r="5">
          <cell r="HF5">
            <v>43</v>
          </cell>
        </row>
        <row r="8">
          <cell r="HF8">
            <v>2</v>
          </cell>
        </row>
        <row r="9">
          <cell r="HF9">
            <v>1</v>
          </cell>
        </row>
        <row r="19">
          <cell r="GP19">
            <v>0</v>
          </cell>
          <cell r="GQ19">
            <v>0</v>
          </cell>
          <cell r="GR19">
            <v>0</v>
          </cell>
          <cell r="HD19">
            <v>60</v>
          </cell>
          <cell r="HE19">
            <v>63</v>
          </cell>
          <cell r="HF19">
            <v>91</v>
          </cell>
        </row>
        <row r="47">
          <cell r="HF47">
            <v>2068656</v>
          </cell>
        </row>
        <row r="52">
          <cell r="HF52">
            <v>1100506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1472380</v>
          </cell>
          <cell r="HE64">
            <v>1232310</v>
          </cell>
          <cell r="HF64">
            <v>3169162</v>
          </cell>
        </row>
      </sheetData>
      <sheetData sheetId="67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68">
        <row r="19">
          <cell r="GP19">
            <v>36</v>
          </cell>
          <cell r="GQ19">
            <v>40</v>
          </cell>
          <cell r="GR19">
            <v>41</v>
          </cell>
          <cell r="HD19">
            <v>0</v>
          </cell>
          <cell r="HE19">
            <v>0</v>
          </cell>
          <cell r="HF19">
            <v>0</v>
          </cell>
        </row>
        <row r="64">
          <cell r="GP64">
            <v>917705</v>
          </cell>
          <cell r="GQ64">
            <v>1265840</v>
          </cell>
          <cell r="GR64">
            <v>1504363</v>
          </cell>
          <cell r="HD64">
            <v>0</v>
          </cell>
          <cell r="HE64">
            <v>0</v>
          </cell>
          <cell r="HF64">
            <v>0</v>
          </cell>
        </row>
      </sheetData>
      <sheetData sheetId="69">
        <row r="4">
          <cell r="HF4">
            <v>3</v>
          </cell>
        </row>
        <row r="5">
          <cell r="HF5">
            <v>3</v>
          </cell>
        </row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6</v>
          </cell>
        </row>
        <row r="47">
          <cell r="HF47">
            <v>118936</v>
          </cell>
        </row>
        <row r="52">
          <cell r="HF52">
            <v>17679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136615</v>
          </cell>
        </row>
      </sheetData>
      <sheetData sheetId="70"/>
      <sheetData sheetId="71">
        <row r="4">
          <cell r="HF4">
            <v>44</v>
          </cell>
        </row>
        <row r="5">
          <cell r="HF5">
            <v>44</v>
          </cell>
        </row>
        <row r="12">
          <cell r="HF12">
            <v>88</v>
          </cell>
        </row>
        <row r="19">
          <cell r="GP19">
            <v>82</v>
          </cell>
          <cell r="GQ19">
            <v>82</v>
          </cell>
          <cell r="GR19">
            <v>90</v>
          </cell>
          <cell r="HD19">
            <v>78</v>
          </cell>
          <cell r="HE19">
            <v>80</v>
          </cell>
          <cell r="HF19">
            <v>88</v>
          </cell>
        </row>
        <row r="47">
          <cell r="HF47">
            <v>100285</v>
          </cell>
        </row>
        <row r="52">
          <cell r="HF52">
            <v>60981</v>
          </cell>
        </row>
        <row r="64">
          <cell r="GP64">
            <v>99007</v>
          </cell>
          <cell r="GQ64">
            <v>101404</v>
          </cell>
          <cell r="GR64">
            <v>137241</v>
          </cell>
          <cell r="HD64">
            <v>129551</v>
          </cell>
          <cell r="HE64">
            <v>134887</v>
          </cell>
          <cell r="HF64">
            <v>161266</v>
          </cell>
        </row>
      </sheetData>
      <sheetData sheetId="72">
        <row r="4">
          <cell r="HF4">
            <v>20</v>
          </cell>
        </row>
        <row r="5">
          <cell r="HF5">
            <v>20</v>
          </cell>
        </row>
        <row r="19">
          <cell r="GP19">
            <v>34</v>
          </cell>
          <cell r="GQ19">
            <v>0</v>
          </cell>
          <cell r="GR19">
            <v>0</v>
          </cell>
          <cell r="HD19">
            <v>8</v>
          </cell>
          <cell r="HE19">
            <v>0</v>
          </cell>
          <cell r="HF19">
            <v>40</v>
          </cell>
        </row>
        <row r="47">
          <cell r="HF47">
            <v>642824</v>
          </cell>
        </row>
        <row r="52">
          <cell r="HF52">
            <v>395122</v>
          </cell>
        </row>
        <row r="64">
          <cell r="GP64">
            <v>835987</v>
          </cell>
          <cell r="GQ64">
            <v>0</v>
          </cell>
          <cell r="GR64">
            <v>0</v>
          </cell>
          <cell r="HD64">
            <v>190513</v>
          </cell>
          <cell r="HE64">
            <v>0</v>
          </cell>
          <cell r="HF64">
            <v>1037946</v>
          </cell>
        </row>
      </sheetData>
      <sheetData sheetId="73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74">
        <row r="4">
          <cell r="HF4">
            <v>4</v>
          </cell>
        </row>
        <row r="5">
          <cell r="HF5">
            <v>4</v>
          </cell>
        </row>
        <row r="19">
          <cell r="GP19">
            <v>0</v>
          </cell>
          <cell r="GQ19">
            <v>0</v>
          </cell>
          <cell r="GR19">
            <v>0</v>
          </cell>
          <cell r="HD19">
            <v>36</v>
          </cell>
          <cell r="HE19">
            <v>40</v>
          </cell>
          <cell r="HF19">
            <v>8</v>
          </cell>
        </row>
        <row r="47">
          <cell r="HF47">
            <v>81859</v>
          </cell>
        </row>
        <row r="52">
          <cell r="HF52">
            <v>63184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932484</v>
          </cell>
          <cell r="HE64">
            <v>972416</v>
          </cell>
          <cell r="HF64">
            <v>145043</v>
          </cell>
        </row>
      </sheetData>
      <sheetData sheetId="75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76"/>
      <sheetData sheetId="77">
        <row r="4">
          <cell r="HF4">
            <v>152</v>
          </cell>
        </row>
        <row r="5">
          <cell r="HF5">
            <v>152</v>
          </cell>
        </row>
        <row r="19">
          <cell r="GP19">
            <v>236</v>
          </cell>
          <cell r="GQ19">
            <v>214</v>
          </cell>
          <cell r="GR19">
            <v>228</v>
          </cell>
          <cell r="HD19">
            <v>274</v>
          </cell>
          <cell r="HE19">
            <v>266</v>
          </cell>
          <cell r="HF19">
            <v>304</v>
          </cell>
        </row>
        <row r="47">
          <cell r="HF47">
            <v>9420091</v>
          </cell>
        </row>
        <row r="52">
          <cell r="HF52">
            <v>8030118</v>
          </cell>
        </row>
        <row r="64">
          <cell r="GP64">
            <v>15484789</v>
          </cell>
          <cell r="GQ64">
            <v>14876545</v>
          </cell>
          <cell r="GR64">
            <v>15796402</v>
          </cell>
          <cell r="HD64">
            <v>16720724</v>
          </cell>
          <cell r="HE64">
            <v>13553824</v>
          </cell>
          <cell r="HF64">
            <v>17450209</v>
          </cell>
        </row>
      </sheetData>
      <sheetData sheetId="78">
        <row r="4">
          <cell r="HF4">
            <v>22</v>
          </cell>
        </row>
        <row r="5">
          <cell r="HF5">
            <v>22</v>
          </cell>
        </row>
        <row r="19">
          <cell r="GP19">
            <v>42</v>
          </cell>
          <cell r="GQ19">
            <v>42</v>
          </cell>
          <cell r="GR19">
            <v>40</v>
          </cell>
          <cell r="HD19">
            <v>42</v>
          </cell>
          <cell r="HE19">
            <v>40</v>
          </cell>
          <cell r="HF19">
            <v>44</v>
          </cell>
        </row>
        <row r="48">
          <cell r="HF48">
            <v>4849</v>
          </cell>
        </row>
        <row r="53">
          <cell r="HF53">
            <v>6582</v>
          </cell>
        </row>
        <row r="64">
          <cell r="GP64">
            <v>132698</v>
          </cell>
          <cell r="GQ64">
            <v>806428</v>
          </cell>
          <cell r="GR64">
            <v>132476</v>
          </cell>
          <cell r="HD64">
            <v>129010</v>
          </cell>
          <cell r="HE64">
            <v>106695</v>
          </cell>
          <cell r="HF64">
            <v>11431</v>
          </cell>
        </row>
      </sheetData>
      <sheetData sheetId="79">
        <row r="4">
          <cell r="HF4">
            <v>19</v>
          </cell>
        </row>
        <row r="5">
          <cell r="HF5">
            <v>19</v>
          </cell>
        </row>
        <row r="19">
          <cell r="GP19">
            <v>34</v>
          </cell>
          <cell r="GQ19">
            <v>31</v>
          </cell>
          <cell r="GR19">
            <v>36</v>
          </cell>
          <cell r="HD19">
            <v>30</v>
          </cell>
          <cell r="HE19">
            <v>18</v>
          </cell>
          <cell r="HF19">
            <v>38</v>
          </cell>
        </row>
        <row r="47">
          <cell r="HF47">
            <v>52854</v>
          </cell>
        </row>
        <row r="64">
          <cell r="GP64">
            <v>43619</v>
          </cell>
          <cell r="GQ64">
            <v>33705</v>
          </cell>
          <cell r="GR64">
            <v>50222</v>
          </cell>
          <cell r="HD64">
            <v>47203</v>
          </cell>
          <cell r="HE64">
            <v>26672</v>
          </cell>
          <cell r="HF64">
            <v>52854</v>
          </cell>
        </row>
      </sheetData>
      <sheetData sheetId="80">
        <row r="4">
          <cell r="HF4">
            <v>151</v>
          </cell>
        </row>
        <row r="5">
          <cell r="HF5">
            <v>151</v>
          </cell>
        </row>
        <row r="19">
          <cell r="GP19">
            <v>282</v>
          </cell>
          <cell r="GQ19">
            <v>236</v>
          </cell>
          <cell r="GR19">
            <v>252</v>
          </cell>
          <cell r="HD19">
            <v>304</v>
          </cell>
          <cell r="HE19">
            <v>272</v>
          </cell>
          <cell r="HF19">
            <v>302</v>
          </cell>
        </row>
        <row r="47">
          <cell r="HF47">
            <v>6928654</v>
          </cell>
        </row>
        <row r="48">
          <cell r="HF48">
            <v>906060</v>
          </cell>
        </row>
        <row r="52">
          <cell r="HF52">
            <v>5917852</v>
          </cell>
        </row>
        <row r="53">
          <cell r="HF53">
            <v>1019995</v>
          </cell>
        </row>
        <row r="64">
          <cell r="GP64">
            <v>12586703</v>
          </cell>
          <cell r="GQ64">
            <v>9798684</v>
          </cell>
          <cell r="GR64">
            <v>11649110</v>
          </cell>
          <cell r="HD64">
            <v>12716054</v>
          </cell>
          <cell r="HE64">
            <v>11842515</v>
          </cell>
          <cell r="HF64">
            <v>14772561</v>
          </cell>
        </row>
      </sheetData>
      <sheetData sheetId="81"/>
      <sheetData sheetId="82"/>
      <sheetData sheetId="83"/>
      <sheetData sheetId="84">
        <row r="4">
          <cell r="HF4">
            <v>224</v>
          </cell>
        </row>
        <row r="5">
          <cell r="HF5">
            <v>224</v>
          </cell>
        </row>
        <row r="19">
          <cell r="GP19">
            <v>416</v>
          </cell>
          <cell r="GQ19">
            <v>370</v>
          </cell>
          <cell r="GR19">
            <v>398</v>
          </cell>
          <cell r="HD19">
            <v>376</v>
          </cell>
          <cell r="HE19">
            <v>394</v>
          </cell>
          <cell r="HF19">
            <v>448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HD19">
            <v>0</v>
          </cell>
          <cell r="HE19">
            <v>0</v>
          </cell>
          <cell r="HF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HD64">
            <v>0</v>
          </cell>
          <cell r="HE64">
            <v>0</v>
          </cell>
          <cell r="HF64">
            <v>0</v>
          </cell>
        </row>
      </sheetData>
      <sheetData sheetId="86">
        <row r="19">
          <cell r="GP19">
            <v>9</v>
          </cell>
          <cell r="GQ19">
            <v>0</v>
          </cell>
          <cell r="GR19">
            <v>0</v>
          </cell>
          <cell r="HD19">
            <v>2</v>
          </cell>
          <cell r="HE19">
            <v>0</v>
          </cell>
          <cell r="HF19">
            <v>0</v>
          </cell>
        </row>
        <row r="64">
          <cell r="GP64">
            <v>264695</v>
          </cell>
          <cell r="GQ64">
            <v>0</v>
          </cell>
          <cell r="GR64">
            <v>0</v>
          </cell>
          <cell r="HD64">
            <v>2782</v>
          </cell>
          <cell r="HE64">
            <v>0</v>
          </cell>
          <cell r="HF64">
            <v>0</v>
          </cell>
        </row>
      </sheetData>
      <sheetData sheetId="87">
        <row r="4">
          <cell r="HF4">
            <v>66</v>
          </cell>
        </row>
        <row r="5">
          <cell r="HF5">
            <v>67</v>
          </cell>
        </row>
      </sheetData>
      <sheetData sheetId="88">
        <row r="4">
          <cell r="HF4">
            <v>509</v>
          </cell>
        </row>
        <row r="5">
          <cell r="HF5">
            <v>508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H20" sqref="H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0" customWidth="1"/>
    <col min="11" max="11" width="9.85546875" customWidth="1"/>
    <col min="12" max="12" width="10.140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1">
        <v>44256</v>
      </c>
      <c r="B2" s="16"/>
      <c r="C2" s="16"/>
      <c r="D2" s="551" t="s">
        <v>229</v>
      </c>
      <c r="E2" s="551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2"/>
      <c r="E3" s="553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631798</v>
      </c>
      <c r="C5" s="268">
        <f>'Major Airline Stats'!K5</f>
        <v>675096</v>
      </c>
      <c r="D5" s="5">
        <f>'Major Airline Stats'!K6</f>
        <v>1306894</v>
      </c>
      <c r="E5" s="9">
        <f>'[1]Monthly Summary'!D5</f>
        <v>1380701</v>
      </c>
      <c r="F5" s="38">
        <f>(D5-E5)/E5</f>
        <v>-5.3456179143782763E-2</v>
      </c>
      <c r="G5" s="9">
        <f>+D5+'[2]Monthly Summary'!G5</f>
        <v>2919594</v>
      </c>
      <c r="H5" s="9">
        <f>'[1]Monthly Summary'!G5</f>
        <v>5807620</v>
      </c>
      <c r="I5" s="83">
        <f>(G5-H5)/H5</f>
        <v>-0.49728219132794499</v>
      </c>
      <c r="J5" s="9"/>
    </row>
    <row r="6" spans="1:14" x14ac:dyDescent="0.2">
      <c r="A6" s="65" t="s">
        <v>5</v>
      </c>
      <c r="B6" s="266">
        <f>'Regional Major'!M5</f>
        <v>178710</v>
      </c>
      <c r="C6" s="266">
        <f>'Regional Major'!M6</f>
        <v>180416</v>
      </c>
      <c r="D6" s="5">
        <f>B6+C6</f>
        <v>359126</v>
      </c>
      <c r="E6" s="9">
        <f>'[1]Monthly Summary'!D6</f>
        <v>335079</v>
      </c>
      <c r="F6" s="38">
        <f>(D6-E6)/E6</f>
        <v>7.1765165826566266E-2</v>
      </c>
      <c r="G6" s="9">
        <f>+D6+'[2]Monthly Summary'!G6</f>
        <v>885842</v>
      </c>
      <c r="H6" s="9">
        <f>'[1]Monthly Summary'!G6</f>
        <v>1505614</v>
      </c>
      <c r="I6" s="83">
        <f>(G6-H6)/H6</f>
        <v>-0.41164069940901188</v>
      </c>
      <c r="J6" s="19"/>
      <c r="K6" s="2"/>
    </row>
    <row r="7" spans="1:14" x14ac:dyDescent="0.2">
      <c r="A7" s="65" t="s">
        <v>6</v>
      </c>
      <c r="B7" s="9">
        <f>Charter!G5</f>
        <v>0</v>
      </c>
      <c r="C7" s="267">
        <f>Charter!G6</f>
        <v>0</v>
      </c>
      <c r="D7" s="5">
        <f>B7+C7</f>
        <v>0</v>
      </c>
      <c r="E7" s="9">
        <f>'[1]Monthly Summary'!D7</f>
        <v>129</v>
      </c>
      <c r="F7" s="38">
        <f>(D7-E7)/E7</f>
        <v>-1</v>
      </c>
      <c r="G7" s="9">
        <f>+D7+'[2]Monthly Summary'!G7</f>
        <v>388</v>
      </c>
      <c r="H7" s="9">
        <f>'[1]Monthly Summary'!G7</f>
        <v>893</v>
      </c>
      <c r="I7" s="83">
        <f>(G7-H7)/H7</f>
        <v>-0.56550951847704367</v>
      </c>
      <c r="J7" s="19"/>
      <c r="K7" s="2"/>
    </row>
    <row r="8" spans="1:14" x14ac:dyDescent="0.2">
      <c r="A8" s="68" t="s">
        <v>7</v>
      </c>
      <c r="B8" s="146">
        <f>SUM(B5:B7)</f>
        <v>810508</v>
      </c>
      <c r="C8" s="146">
        <f>SUM(C5:C7)</f>
        <v>855512</v>
      </c>
      <c r="D8" s="146">
        <f>SUM(D5:D7)</f>
        <v>1666020</v>
      </c>
      <c r="E8" s="146">
        <f>SUM(E5:E7)</f>
        <v>1715909</v>
      </c>
      <c r="F8" s="90">
        <f>(D8-E8)/E8</f>
        <v>-2.9074385646325068E-2</v>
      </c>
      <c r="G8" s="146">
        <f>SUM(G5:G7)</f>
        <v>3805824</v>
      </c>
      <c r="H8" s="146">
        <f>SUM(H5:H7)</f>
        <v>7314127</v>
      </c>
      <c r="I8" s="89">
        <f>(G8-H8)/H8</f>
        <v>-0.47966120905475118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27394</v>
      </c>
      <c r="C10" s="269">
        <f>'Major Airline Stats'!K10+'Regional Major'!M11</f>
        <v>27481</v>
      </c>
      <c r="D10" s="118">
        <f>SUM(B10:C10)</f>
        <v>54875</v>
      </c>
      <c r="E10" s="118">
        <f>'[1]Monthly Summary'!D10</f>
        <v>72202</v>
      </c>
      <c r="F10" s="91">
        <f>(D10-E10)/E10</f>
        <v>-0.2399795019528545</v>
      </c>
      <c r="G10" s="118">
        <f>+D10+'[2]Monthly Summary'!G10</f>
        <v>148874</v>
      </c>
      <c r="H10" s="118">
        <f>'[1]Monthly Summary'!G10</f>
        <v>250040</v>
      </c>
      <c r="I10" s="94">
        <f>(G10-H10)/H10</f>
        <v>-0.40459926411774116</v>
      </c>
      <c r="J10" s="237"/>
    </row>
    <row r="11" spans="1:14" ht="15.75" thickBot="1" x14ac:dyDescent="0.3">
      <c r="A11" s="67" t="s">
        <v>13</v>
      </c>
      <c r="B11" s="246">
        <f>B10+B8</f>
        <v>837902</v>
      </c>
      <c r="C11" s="246">
        <f>C10+C8</f>
        <v>882993</v>
      </c>
      <c r="D11" s="246">
        <f>D10+D8</f>
        <v>1720895</v>
      </c>
      <c r="E11" s="246">
        <f>E10+E8</f>
        <v>1788111</v>
      </c>
      <c r="F11" s="92">
        <f>(D11-E11)/E11</f>
        <v>-3.7590507524421023E-2</v>
      </c>
      <c r="G11" s="246">
        <f>G8+G10</f>
        <v>3954698</v>
      </c>
      <c r="H11" s="246">
        <f>H8+H10</f>
        <v>7564167</v>
      </c>
      <c r="I11" s="95">
        <f>(G11-H11)/H11</f>
        <v>-0.47717997236179477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1" t="s">
        <v>229</v>
      </c>
      <c r="E13" s="551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2"/>
      <c r="E14" s="553"/>
      <c r="F14" s="462" t="s">
        <v>2</v>
      </c>
      <c r="G14" s="521" t="s">
        <v>228</v>
      </c>
      <c r="H14" s="521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5877</v>
      </c>
      <c r="C16" s="277">
        <f>'Major Airline Stats'!K16+'Major Airline Stats'!K20</f>
        <v>5851</v>
      </c>
      <c r="D16" s="46">
        <f t="shared" ref="D16:D21" si="0">SUM(B16:C16)</f>
        <v>11728</v>
      </c>
      <c r="E16" s="9">
        <f>'[1]Monthly Summary'!D16</f>
        <v>15547</v>
      </c>
      <c r="F16" s="93">
        <f t="shared" ref="F16:F22" si="1">(D16-E16)/E16</f>
        <v>-0.24564224609249372</v>
      </c>
      <c r="G16" s="9">
        <f>+D16+'[2]Monthly Summary'!G16</f>
        <v>30422</v>
      </c>
      <c r="H16" s="9">
        <f>'[1]Monthly Summary'!G16</f>
        <v>49465</v>
      </c>
      <c r="I16" s="235">
        <f t="shared" ref="I16:I22" si="2">(G16-H16)/H16</f>
        <v>-0.38497927827757</v>
      </c>
      <c r="N16" s="128"/>
    </row>
    <row r="17" spans="1:12" x14ac:dyDescent="0.2">
      <c r="A17" s="66" t="s">
        <v>5</v>
      </c>
      <c r="B17" s="46">
        <f>'Regional Major'!M15+'Regional Major'!M18</f>
        <v>4796</v>
      </c>
      <c r="C17" s="46">
        <f>'Regional Major'!M16+'Regional Major'!M19</f>
        <v>4768</v>
      </c>
      <c r="D17" s="46">
        <f>SUM(B17:C17)</f>
        <v>9564</v>
      </c>
      <c r="E17" s="9">
        <f>'[1]Monthly Summary'!D17</f>
        <v>11508</v>
      </c>
      <c r="F17" s="93">
        <f t="shared" si="1"/>
        <v>-0.16892596454640249</v>
      </c>
      <c r="G17" s="9">
        <f>+D17+'[2]Monthly Summary'!G17</f>
        <v>26559</v>
      </c>
      <c r="H17" s="9">
        <f>'[1]Monthly Summary'!G17</f>
        <v>34482</v>
      </c>
      <c r="I17" s="235">
        <f t="shared" si="2"/>
        <v>-0.22977205498520967</v>
      </c>
    </row>
    <row r="18" spans="1:12" x14ac:dyDescent="0.2">
      <c r="A18" s="66" t="s">
        <v>10</v>
      </c>
      <c r="B18" s="46">
        <f>Charter!G10</f>
        <v>0</v>
      </c>
      <c r="C18" s="46">
        <f>Charter!G11</f>
        <v>0</v>
      </c>
      <c r="D18" s="46">
        <f t="shared" si="0"/>
        <v>0</v>
      </c>
      <c r="E18" s="9">
        <f>'[1]Monthly Summary'!D18</f>
        <v>2</v>
      </c>
      <c r="F18" s="93">
        <f t="shared" si="1"/>
        <v>-1</v>
      </c>
      <c r="G18" s="9">
        <f>+D18+'[2]Monthly Summary'!G18</f>
        <v>4</v>
      </c>
      <c r="H18" s="9">
        <f>'[1]Monthly Summary'!G18</f>
        <v>8</v>
      </c>
      <c r="I18" s="235">
        <f t="shared" si="2"/>
        <v>-0.5</v>
      </c>
    </row>
    <row r="19" spans="1:12" x14ac:dyDescent="0.2">
      <c r="A19" s="66" t="s">
        <v>11</v>
      </c>
      <c r="B19" s="46">
        <f>Cargo!P4+Cargo!P8</f>
        <v>701</v>
      </c>
      <c r="C19" s="46">
        <f>Cargo!P5+Cargo!P9</f>
        <v>697</v>
      </c>
      <c r="D19" s="46">
        <f t="shared" si="0"/>
        <v>1398</v>
      </c>
      <c r="E19" s="9">
        <f>'[1]Monthly Summary'!D19</f>
        <v>1145</v>
      </c>
      <c r="F19" s="93">
        <f t="shared" si="1"/>
        <v>0.22096069868995633</v>
      </c>
      <c r="G19" s="9">
        <f>+D19+'[2]Monthly Summary'!G19</f>
        <v>3781</v>
      </c>
      <c r="H19" s="9">
        <f>'[1]Monthly Summary'!G19</f>
        <v>3421</v>
      </c>
      <c r="I19" s="235">
        <f t="shared" si="2"/>
        <v>0.10523238819058754</v>
      </c>
    </row>
    <row r="20" spans="1:12" x14ac:dyDescent="0.2">
      <c r="A20" s="66" t="s">
        <v>148</v>
      </c>
      <c r="B20" s="46">
        <f>'[3]General Avation'!$HF$4</f>
        <v>509</v>
      </c>
      <c r="C20" s="46">
        <f>'[3]General Avation'!$HF$5</f>
        <v>508</v>
      </c>
      <c r="D20" s="46">
        <f t="shared" si="0"/>
        <v>1017</v>
      </c>
      <c r="E20" s="9">
        <f>'[1]Monthly Summary'!D20</f>
        <v>878</v>
      </c>
      <c r="F20" s="93">
        <f t="shared" si="1"/>
        <v>0.15831435079726652</v>
      </c>
      <c r="G20" s="9">
        <f>+D20+'[2]Monthly Summary'!G20</f>
        <v>2824</v>
      </c>
      <c r="H20" s="9">
        <f>'[1]Monthly Summary'!G20</f>
        <v>3102</v>
      </c>
      <c r="I20" s="235">
        <f t="shared" si="2"/>
        <v>-8.9619600257898127E-2</v>
      </c>
    </row>
    <row r="21" spans="1:12" ht="12.75" customHeight="1" x14ac:dyDescent="0.2">
      <c r="A21" s="66" t="s">
        <v>12</v>
      </c>
      <c r="B21" s="17">
        <f>'[3]Military '!$HF$4</f>
        <v>66</v>
      </c>
      <c r="C21" s="17">
        <f>'[3]Military '!$HF$5</f>
        <v>67</v>
      </c>
      <c r="D21" s="17">
        <f t="shared" si="0"/>
        <v>133</v>
      </c>
      <c r="E21" s="118">
        <f>'[1]Monthly Summary'!D21</f>
        <v>69</v>
      </c>
      <c r="F21" s="233">
        <f t="shared" si="1"/>
        <v>0.92753623188405798</v>
      </c>
      <c r="G21" s="118">
        <f>+D21+'[2]Monthly Summary'!G21</f>
        <v>327</v>
      </c>
      <c r="H21" s="118">
        <f>'[1]Monthly Summary'!G21</f>
        <v>166</v>
      </c>
      <c r="I21" s="236">
        <f t="shared" si="2"/>
        <v>0.96987951807228912</v>
      </c>
    </row>
    <row r="22" spans="1:12" ht="15.75" thickBot="1" x14ac:dyDescent="0.3">
      <c r="A22" s="67" t="s">
        <v>28</v>
      </c>
      <c r="B22" s="247">
        <f>SUM(B16:B21)</f>
        <v>11949</v>
      </c>
      <c r="C22" s="247">
        <f>SUM(C16:C21)</f>
        <v>11891</v>
      </c>
      <c r="D22" s="247">
        <f>SUM(D16:D21)</f>
        <v>23840</v>
      </c>
      <c r="E22" s="247">
        <f>SUM(E16:E21)</f>
        <v>29149</v>
      </c>
      <c r="F22" s="243">
        <f t="shared" si="1"/>
        <v>-0.18213317781055954</v>
      </c>
      <c r="G22" s="247">
        <f>SUM(G16:G21)</f>
        <v>63917</v>
      </c>
      <c r="H22" s="247">
        <f>SUM(H16:H21)</f>
        <v>90644</v>
      </c>
      <c r="I22" s="244">
        <f t="shared" si="2"/>
        <v>-0.29485680243590312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1" t="s">
        <v>229</v>
      </c>
      <c r="E24" s="551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2"/>
      <c r="E25" s="553"/>
      <c r="F25" s="462" t="s">
        <v>2</v>
      </c>
      <c r="G25" s="521" t="s">
        <v>228</v>
      </c>
      <c r="H25" s="521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9633.1398351480602</v>
      </c>
      <c r="C27" s="21">
        <f>(Cargo!P21+'Major Airline Stats'!K33+'Regional Major'!M30)*0.00045359237</f>
        <v>7808.9419156749</v>
      </c>
      <c r="D27" s="21">
        <f>(SUM(B27:C27)+('Cargo Summary'!E17*0.00045359237))</f>
        <v>17442.081750822959</v>
      </c>
      <c r="E27" s="9">
        <f>'[1]Monthly Summary'!D27</f>
        <v>15498.96914844586</v>
      </c>
      <c r="F27" s="96">
        <f>(D27-E27)/E27</f>
        <v>0.12537044133492856</v>
      </c>
      <c r="G27" s="9">
        <f>+D27+'[2]Monthly Summary'!G27</f>
        <v>44322.077634338348</v>
      </c>
      <c r="H27" s="9">
        <f>'[1]Monthly Summary'!G27</f>
        <v>47426.326376130237</v>
      </c>
      <c r="I27" s="98">
        <f>(G27-H27)/H27</f>
        <v>-6.5454125988435474E-2</v>
      </c>
    </row>
    <row r="28" spans="1:12" x14ac:dyDescent="0.2">
      <c r="A28" s="60" t="s">
        <v>16</v>
      </c>
      <c r="B28" s="21">
        <f>(Cargo!P17+'Major Airline Stats'!K29+'Regional Major'!M26)*0.00045359237</f>
        <v>914.14420773290999</v>
      </c>
      <c r="C28" s="21">
        <f>(Cargo!P22+'Major Airline Stats'!K34+'Regional Major'!M31)*0.00045359237</f>
        <v>613.84428635915003</v>
      </c>
      <c r="D28" s="21">
        <f>SUM(B28:C28)</f>
        <v>1527.9884940920601</v>
      </c>
      <c r="E28" s="9">
        <f>'[1]Monthly Summary'!D28</f>
        <v>1538.4950541583698</v>
      </c>
      <c r="F28" s="96">
        <f>(D28-E28)/E28</f>
        <v>-6.8291152694392584E-3</v>
      </c>
      <c r="G28" s="9">
        <f>+D28+'[2]Monthly Summary'!G28</f>
        <v>4866.1661609021994</v>
      </c>
      <c r="H28" s="9">
        <f>'[1]Monthly Summary'!G28</f>
        <v>5234.62513975401</v>
      </c>
      <c r="I28" s="98">
        <f>(G28-H28)/H28</f>
        <v>-7.0388799391492909E-2</v>
      </c>
    </row>
    <row r="29" spans="1:12" ht="15.75" thickBot="1" x14ac:dyDescent="0.3">
      <c r="A29" s="61" t="s">
        <v>62</v>
      </c>
      <c r="B29" s="53">
        <f>SUM(B27:B28)</f>
        <v>10547.28404288097</v>
      </c>
      <c r="C29" s="53">
        <f>SUM(C27:C28)</f>
        <v>8422.7862020340508</v>
      </c>
      <c r="D29" s="53">
        <f>SUM(D27:D28)</f>
        <v>18970.070244915019</v>
      </c>
      <c r="E29" s="53">
        <f>SUM(E27:E28)</f>
        <v>17037.464202604231</v>
      </c>
      <c r="F29" s="97">
        <f>(D29-E29)/E29</f>
        <v>0.11343272797693586</v>
      </c>
      <c r="G29" s="53">
        <f>SUM(G27:G28)</f>
        <v>49188.243795240545</v>
      </c>
      <c r="H29" s="53">
        <f>SUM(H27:H28)</f>
        <v>52660.951515884248</v>
      </c>
      <c r="I29" s="99">
        <f>(G29-H29)/H29</f>
        <v>-6.5944644384107284E-2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0" t="s">
        <v>144</v>
      </c>
      <c r="C31" s="549"/>
      <c r="D31" s="550" t="s">
        <v>151</v>
      </c>
      <c r="E31" s="549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650501</v>
      </c>
      <c r="C32" s="365">
        <f>B32/C8</f>
        <v>0.76036455362402866</v>
      </c>
      <c r="D32" s="366">
        <f>+'[2]Monthly Summary'!D32+B32</f>
        <v>1407434</v>
      </c>
      <c r="E32" s="367">
        <f>+D32/D34</f>
        <v>0.72797268590811548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205011</v>
      </c>
      <c r="C33" s="370">
        <f>+B33/C8</f>
        <v>0.23963544637597134</v>
      </c>
      <c r="D33" s="371">
        <f>+'[2]Monthly Summary'!D33+B33</f>
        <v>525927</v>
      </c>
      <c r="E33" s="372">
        <f>+D33/D34</f>
        <v>0.27202731409188452</v>
      </c>
      <c r="G33" s="381"/>
      <c r="H33" s="381"/>
      <c r="I33" s="380"/>
    </row>
    <row r="34" spans="1:14" ht="13.5" thickBot="1" x14ac:dyDescent="0.25">
      <c r="B34" s="281"/>
      <c r="D34" s="373">
        <f>SUM(D32:D33)</f>
        <v>1933361</v>
      </c>
    </row>
    <row r="35" spans="1:14" ht="13.5" thickBot="1" x14ac:dyDescent="0.25">
      <c r="B35" s="548" t="s">
        <v>241</v>
      </c>
      <c r="C35" s="549"/>
      <c r="D35" s="550" t="s">
        <v>227</v>
      </c>
      <c r="E35" s="549"/>
    </row>
    <row r="36" spans="1:14" x14ac:dyDescent="0.2">
      <c r="A36" s="363" t="s">
        <v>145</v>
      </c>
      <c r="B36" s="364">
        <f>'[1]Monthly Summary'!$B$32</f>
        <v>532205</v>
      </c>
      <c r="C36" s="365">
        <f>+B36/B38</f>
        <v>0.66837001882520186</v>
      </c>
      <c r="D36" s="366">
        <f>'[1]Monthly Summary'!$D$32</f>
        <v>2403084</v>
      </c>
      <c r="E36" s="367">
        <f>+D36/D38</f>
        <v>0.66427649743089057</v>
      </c>
    </row>
    <row r="37" spans="1:14" ht="13.5" thickBot="1" x14ac:dyDescent="0.25">
      <c r="A37" s="368" t="s">
        <v>146</v>
      </c>
      <c r="B37" s="369">
        <f>'[1]Monthly Summary'!$B$33</f>
        <v>264068</v>
      </c>
      <c r="C37" s="372">
        <f>+B37/B38</f>
        <v>0.33162998117479808</v>
      </c>
      <c r="D37" s="371">
        <f>'[1]Monthly Summary'!$D$33</f>
        <v>1214512</v>
      </c>
      <c r="E37" s="372">
        <f>+D37/D38</f>
        <v>0.33572350256910943</v>
      </c>
      <c r="M37" s="12"/>
    </row>
    <row r="38" spans="1:14" x14ac:dyDescent="0.2">
      <c r="B38" s="388">
        <f>+SUM(B36:B37)</f>
        <v>796273</v>
      </c>
      <c r="D38" s="373">
        <f>SUM(D36:D37)</f>
        <v>3617596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2021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O9" sqref="O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44256</v>
      </c>
      <c r="B1" s="409" t="s">
        <v>17</v>
      </c>
      <c r="C1" s="409" t="s">
        <v>18</v>
      </c>
      <c r="D1" s="409" t="s">
        <v>19</v>
      </c>
      <c r="E1" s="409" t="s">
        <v>155</v>
      </c>
      <c r="F1" s="409" t="s">
        <v>161</v>
      </c>
      <c r="G1" s="409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[3]American!$HF$22</f>
        <v>30895</v>
      </c>
      <c r="C4" s="20">
        <f>[3]Delta!$HF$22+[3]Delta!$HF$32</f>
        <v>372081</v>
      </c>
      <c r="D4" s="20">
        <f>[3]United!$HF$22</f>
        <v>20496</v>
      </c>
      <c r="E4" s="20">
        <f>[3]Spirit!$HF$22</f>
        <v>31252</v>
      </c>
      <c r="F4" s="20">
        <f>[3]Condor!$HF$22</f>
        <v>0</v>
      </c>
      <c r="G4" s="20">
        <f>'[3]Air France'!$HF$22</f>
        <v>0</v>
      </c>
      <c r="H4" s="20">
        <f>'[3]Jet Blue'!$HF$22</f>
        <v>0</v>
      </c>
      <c r="I4" s="20">
        <f>[3]KLM!$HF$22+[3]KLM!$HF$32</f>
        <v>0</v>
      </c>
      <c r="J4" s="20">
        <f>'Other Major Airline Stats'!K5</f>
        <v>177074</v>
      </c>
      <c r="K4" s="254">
        <f>SUM(B4:J4)</f>
        <v>631798</v>
      </c>
    </row>
    <row r="5" spans="1:20" x14ac:dyDescent="0.2">
      <c r="A5" s="60" t="s">
        <v>31</v>
      </c>
      <c r="B5" s="13">
        <f>[3]American!$HF$23</f>
        <v>32055</v>
      </c>
      <c r="C5" s="13">
        <f>[3]Delta!$HF$23+[3]Delta!$HF$33</f>
        <v>393450</v>
      </c>
      <c r="D5" s="13">
        <f>[3]United!$HF$23</f>
        <v>21383</v>
      </c>
      <c r="E5" s="13">
        <f>[3]Spirit!$HF$23</f>
        <v>33599</v>
      </c>
      <c r="F5" s="13">
        <f>[3]Condor!$HF$23</f>
        <v>0</v>
      </c>
      <c r="G5" s="13">
        <f>'[3]Air France'!$HF$23</f>
        <v>0</v>
      </c>
      <c r="H5" s="13">
        <f>'[3]Jet Blue'!$HF$23</f>
        <v>0</v>
      </c>
      <c r="I5" s="13">
        <f>[3]KLM!$HF$23+[3]KLM!$HF$33</f>
        <v>0</v>
      </c>
      <c r="J5" s="13">
        <f>'Other Major Airline Stats'!K6</f>
        <v>194609</v>
      </c>
      <c r="K5" s="255">
        <f>SUM(B5:J5)</f>
        <v>675096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62950</v>
      </c>
      <c r="C6" s="33">
        <f t="shared" si="0"/>
        <v>765531</v>
      </c>
      <c r="D6" s="33">
        <f t="shared" si="0"/>
        <v>41879</v>
      </c>
      <c r="E6" s="33">
        <f t="shared" si="0"/>
        <v>64851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0</v>
      </c>
      <c r="I6" s="33">
        <f t="shared" si="1"/>
        <v>0</v>
      </c>
      <c r="J6" s="33">
        <f>SUM(J4:J5)</f>
        <v>371683</v>
      </c>
      <c r="K6" s="256">
        <f>SUM(B6:J6)</f>
        <v>1306894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[3]American!$HF$27</f>
        <v>809</v>
      </c>
      <c r="C9" s="20">
        <f>[3]Delta!$HF$27+[3]Delta!$HF$37</f>
        <v>14756</v>
      </c>
      <c r="D9" s="20">
        <f>[3]United!$HF$27</f>
        <v>857</v>
      </c>
      <c r="E9" s="20">
        <f>[3]Spirit!$HF$27</f>
        <v>114</v>
      </c>
      <c r="F9" s="20">
        <f>[3]Condor!$HF$27</f>
        <v>0</v>
      </c>
      <c r="G9" s="20">
        <f>'[3]Air France'!$HF$27</f>
        <v>0</v>
      </c>
      <c r="H9" s="20">
        <f>'[3]Jet Blue'!$HF$27</f>
        <v>0</v>
      </c>
      <c r="I9" s="20">
        <f>[3]KLM!$HF$27+[3]KLM!$HF$37</f>
        <v>0</v>
      </c>
      <c r="J9" s="20">
        <f>'Other Major Airline Stats'!K10</f>
        <v>2985</v>
      </c>
      <c r="K9" s="254">
        <f>SUM(B9:J9)</f>
        <v>19521</v>
      </c>
    </row>
    <row r="10" spans="1:20" x14ac:dyDescent="0.2">
      <c r="A10" s="60" t="s">
        <v>33</v>
      </c>
      <c r="B10" s="13">
        <f>[3]American!$HF$28</f>
        <v>817</v>
      </c>
      <c r="C10" s="13">
        <f>[3]Delta!$HF$28+[3]Delta!$HF$38</f>
        <v>14506</v>
      </c>
      <c r="D10" s="13">
        <f>[3]United!$HF$28</f>
        <v>821</v>
      </c>
      <c r="E10" s="13">
        <f>[3]Spirit!$HF$28</f>
        <v>102</v>
      </c>
      <c r="F10" s="13">
        <f>[3]Condor!$HF$28</f>
        <v>0</v>
      </c>
      <c r="G10" s="13">
        <f>'[3]Air France'!$HF$28</f>
        <v>0</v>
      </c>
      <c r="H10" s="13">
        <f>'[3]Jet Blue'!$HF$28</f>
        <v>0</v>
      </c>
      <c r="I10" s="13">
        <f>[3]KLM!$HF$28+[3]KLM!$HF$38</f>
        <v>0</v>
      </c>
      <c r="J10" s="13">
        <f>'Other Major Airline Stats'!K11</f>
        <v>3156</v>
      </c>
      <c r="K10" s="255">
        <f>SUM(B10:J10)</f>
        <v>19402</v>
      </c>
    </row>
    <row r="11" spans="1:20" ht="15.75" thickBot="1" x14ac:dyDescent="0.3">
      <c r="A11" s="61" t="s">
        <v>34</v>
      </c>
      <c r="B11" s="257">
        <f t="shared" ref="B11:J11" si="3">SUM(B9:B10)</f>
        <v>1626</v>
      </c>
      <c r="C11" s="257">
        <f t="shared" si="3"/>
        <v>29262</v>
      </c>
      <c r="D11" s="257">
        <f t="shared" si="3"/>
        <v>1678</v>
      </c>
      <c r="E11" s="257">
        <f t="shared" si="3"/>
        <v>216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0</v>
      </c>
      <c r="I11" s="257">
        <f t="shared" si="4"/>
        <v>0</v>
      </c>
      <c r="J11" s="257">
        <f t="shared" si="3"/>
        <v>6141</v>
      </c>
      <c r="K11" s="258">
        <f>SUM(B11:J11)</f>
        <v>38923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[3]American!$HF$4</f>
        <v>236</v>
      </c>
      <c r="C15" s="20">
        <f>[3]Delta!$HF$4+[3]Delta!$HF$15</f>
        <v>3758</v>
      </c>
      <c r="D15" s="20">
        <f>[3]United!$HF$4</f>
        <v>164</v>
      </c>
      <c r="E15" s="20">
        <f>[3]Spirit!$HF$4</f>
        <v>196</v>
      </c>
      <c r="F15" s="20">
        <f>[3]Condor!$HF$4</f>
        <v>0</v>
      </c>
      <c r="G15" s="20">
        <f>'[3]Air France'!$HF$4</f>
        <v>0</v>
      </c>
      <c r="H15" s="20">
        <f>'[3]Jet Blue'!$HF$4</f>
        <v>0</v>
      </c>
      <c r="I15" s="20">
        <f>[3]KLM!$HF$4+[3]KLM!$HF$15</f>
        <v>0</v>
      </c>
      <c r="J15" s="20">
        <f>'Other Major Airline Stats'!K16</f>
        <v>1420</v>
      </c>
      <c r="K15" s="26">
        <f>SUM(B15:J15)</f>
        <v>5774</v>
      </c>
    </row>
    <row r="16" spans="1:20" x14ac:dyDescent="0.2">
      <c r="A16" s="60" t="s">
        <v>23</v>
      </c>
      <c r="B16" s="13">
        <f>[3]American!$HF$5</f>
        <v>235</v>
      </c>
      <c r="C16" s="13">
        <f>[3]Delta!$HF$5+[3]Delta!$HF$16</f>
        <v>3751</v>
      </c>
      <c r="D16" s="13">
        <f>[3]United!$HF$5</f>
        <v>164</v>
      </c>
      <c r="E16" s="13">
        <f>[3]Spirit!$HF$5</f>
        <v>194</v>
      </c>
      <c r="F16" s="13">
        <f>[3]Condor!$HF$5</f>
        <v>0</v>
      </c>
      <c r="G16" s="13">
        <f>'[3]Air France'!$HF$5</f>
        <v>0</v>
      </c>
      <c r="H16" s="13">
        <f>'[3]Jet Blue'!$HF$5</f>
        <v>0</v>
      </c>
      <c r="I16" s="13">
        <f>[3]KLM!$HF$5+[3]KLM!$HF$16</f>
        <v>0</v>
      </c>
      <c r="J16" s="13">
        <f>'Other Major Airline Stats'!K17</f>
        <v>1404</v>
      </c>
      <c r="K16" s="32">
        <f>SUM(B16:J16)</f>
        <v>5748</v>
      </c>
    </row>
    <row r="17" spans="1:11" x14ac:dyDescent="0.2">
      <c r="A17" s="60" t="s">
        <v>24</v>
      </c>
      <c r="B17" s="261">
        <f t="shared" ref="B17:J17" si="6">SUM(B15:B16)</f>
        <v>471</v>
      </c>
      <c r="C17" s="259">
        <f t="shared" si="6"/>
        <v>7509</v>
      </c>
      <c r="D17" s="259">
        <f t="shared" si="6"/>
        <v>328</v>
      </c>
      <c r="E17" s="259">
        <f t="shared" si="6"/>
        <v>390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0</v>
      </c>
      <c r="I17" s="259">
        <f t="shared" si="7"/>
        <v>0</v>
      </c>
      <c r="J17" s="259">
        <f t="shared" si="6"/>
        <v>2824</v>
      </c>
      <c r="K17" s="260">
        <f>SUM(B17:J17)</f>
        <v>11522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[3]American!$HF$8</f>
        <v>0</v>
      </c>
      <c r="C19" s="20">
        <f>[3]Delta!$HF$8</f>
        <v>2</v>
      </c>
      <c r="D19" s="20">
        <f>[3]United!$HF$8</f>
        <v>0</v>
      </c>
      <c r="E19" s="20">
        <f>[3]Spirit!$HF$8</f>
        <v>0</v>
      </c>
      <c r="F19" s="20">
        <f>[3]Condor!$HF$8</f>
        <v>0</v>
      </c>
      <c r="G19" s="20">
        <f>'[3]Air France'!$HF$8</f>
        <v>0</v>
      </c>
      <c r="H19" s="20">
        <f>'[3]Jet Blue'!$HF$8</f>
        <v>0</v>
      </c>
      <c r="I19" s="20">
        <f>[3]KLM!$HF$8</f>
        <v>0</v>
      </c>
      <c r="J19" s="20">
        <f>'Other Major Airline Stats'!K20</f>
        <v>101</v>
      </c>
      <c r="K19" s="26">
        <f>SUM(B19:J19)</f>
        <v>103</v>
      </c>
    </row>
    <row r="20" spans="1:11" x14ac:dyDescent="0.2">
      <c r="A20" s="60" t="s">
        <v>26</v>
      </c>
      <c r="B20" s="13">
        <f>[3]American!$HF$9</f>
        <v>0</v>
      </c>
      <c r="C20" s="13">
        <f>[3]Delta!$HF$9</f>
        <v>5</v>
      </c>
      <c r="D20" s="13">
        <f>[3]United!$HF$9</f>
        <v>0</v>
      </c>
      <c r="E20" s="13">
        <f>[3]Spirit!$HF$9</f>
        <v>0</v>
      </c>
      <c r="F20" s="13">
        <f>[3]Condor!$HF$9</f>
        <v>0</v>
      </c>
      <c r="G20" s="13">
        <f>'[3]Air France'!$HF$9</f>
        <v>0</v>
      </c>
      <c r="H20" s="13">
        <f>'[3]Jet Blue'!$HF$9</f>
        <v>0</v>
      </c>
      <c r="I20" s="13">
        <f>[3]KLM!$HF$9</f>
        <v>0</v>
      </c>
      <c r="J20" s="13">
        <f>'Other Major Airline Stats'!K21</f>
        <v>98</v>
      </c>
      <c r="K20" s="32">
        <f>SUM(B20:J20)</f>
        <v>103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7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199</v>
      </c>
      <c r="K21" s="173">
        <f>SUM(B21:J21)</f>
        <v>206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471</v>
      </c>
      <c r="C23" s="27">
        <f t="shared" si="12"/>
        <v>7516</v>
      </c>
      <c r="D23" s="27">
        <f t="shared" si="12"/>
        <v>328</v>
      </c>
      <c r="E23" s="27">
        <f>E17+E21</f>
        <v>390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0</v>
      </c>
      <c r="I23" s="27">
        <f t="shared" si="13"/>
        <v>0</v>
      </c>
      <c r="J23" s="27">
        <f t="shared" si="12"/>
        <v>3023</v>
      </c>
      <c r="K23" s="28">
        <f>SUM(B23:J23)</f>
        <v>11728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[3]American!$HF$47</f>
        <v>26993</v>
      </c>
      <c r="C28" s="20">
        <f>[3]Delta!$HF$47</f>
        <v>1027486</v>
      </c>
      <c r="D28" s="20">
        <f>[3]United!$HF$47</f>
        <v>33119</v>
      </c>
      <c r="E28" s="20">
        <f>[3]Spirit!$HF$47</f>
        <v>0</v>
      </c>
      <c r="F28" s="20">
        <f>[3]Condor!$HF$47</f>
        <v>0</v>
      </c>
      <c r="G28" s="20">
        <f>'[3]Air France'!$HF$47</f>
        <v>0</v>
      </c>
      <c r="H28" s="20">
        <f>'[3]Jet Blue'!$HF$47</f>
        <v>0</v>
      </c>
      <c r="I28" s="20">
        <f>[3]KLM!$HF$47</f>
        <v>0</v>
      </c>
      <c r="J28" s="20">
        <f>'Other Major Airline Stats'!K28</f>
        <v>244630</v>
      </c>
      <c r="K28" s="26">
        <f>SUM(B28:J28)</f>
        <v>1332228</v>
      </c>
    </row>
    <row r="29" spans="1:11" x14ac:dyDescent="0.2">
      <c r="A29" s="60" t="s">
        <v>38</v>
      </c>
      <c r="B29" s="13">
        <f>[3]American!$HF$48</f>
        <v>40232</v>
      </c>
      <c r="C29" s="13">
        <f>[3]Delta!$HF$48</f>
        <v>924057</v>
      </c>
      <c r="D29" s="13">
        <f>[3]United!$HF$48</f>
        <v>2288</v>
      </c>
      <c r="E29" s="13">
        <f>[3]Spirit!$HF$48</f>
        <v>0</v>
      </c>
      <c r="F29" s="13">
        <f>[3]Condor!$HF$48</f>
        <v>0</v>
      </c>
      <c r="G29" s="13">
        <f>'[3]Air France'!$HF$48</f>
        <v>0</v>
      </c>
      <c r="H29" s="13">
        <f>'[3]Jet Blue'!$HF$48</f>
        <v>0</v>
      </c>
      <c r="I29" s="13">
        <f>[3]KLM!$HF$48</f>
        <v>0</v>
      </c>
      <c r="J29" s="13">
        <f>'Other Major Airline Stats'!K29</f>
        <v>137857</v>
      </c>
      <c r="K29" s="32">
        <f>SUM(B29:J29)</f>
        <v>1104434</v>
      </c>
    </row>
    <row r="30" spans="1:11" x14ac:dyDescent="0.2">
      <c r="A30" s="64" t="s">
        <v>39</v>
      </c>
      <c r="B30" s="261">
        <f t="shared" ref="B30:J30" si="15">SUM(B28:B29)</f>
        <v>67225</v>
      </c>
      <c r="C30" s="261">
        <f t="shared" si="15"/>
        <v>1951543</v>
      </c>
      <c r="D30" s="261">
        <f t="shared" si="15"/>
        <v>35407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382487</v>
      </c>
      <c r="K30" s="26">
        <f>SUM(B30:J30)</f>
        <v>2436662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[3]American!$HF$52</f>
        <v>5448</v>
      </c>
      <c r="C33" s="20">
        <f>[3]Delta!$HF$52</f>
        <v>1298498</v>
      </c>
      <c r="D33" s="20">
        <f>[3]United!$HF$52</f>
        <v>4376</v>
      </c>
      <c r="E33" s="20">
        <f>[3]Spirit!$HF$52</f>
        <v>0</v>
      </c>
      <c r="F33" s="20">
        <f>[3]Condor!$HF$52</f>
        <v>0</v>
      </c>
      <c r="G33" s="20">
        <f>'[3]Air France'!$HF$52</f>
        <v>0</v>
      </c>
      <c r="H33" s="20">
        <f>'[3]Jet Blue'!$HF$52</f>
        <v>0</v>
      </c>
      <c r="I33" s="20">
        <f>[3]KLM!$HF$52</f>
        <v>0</v>
      </c>
      <c r="J33" s="20">
        <f>'Other Major Airline Stats'!K33</f>
        <v>51807</v>
      </c>
      <c r="K33" s="26">
        <f t="shared" si="18"/>
        <v>1360129</v>
      </c>
    </row>
    <row r="34" spans="1:11" x14ac:dyDescent="0.2">
      <c r="A34" s="60" t="s">
        <v>38</v>
      </c>
      <c r="B34" s="13">
        <f>[3]American!$HF$53</f>
        <v>85801</v>
      </c>
      <c r="C34" s="13">
        <f>[3]Delta!$HF$53</f>
        <v>210</v>
      </c>
      <c r="D34" s="13">
        <f>[3]United!$HF$53</f>
        <v>33652</v>
      </c>
      <c r="E34" s="13">
        <f>[3]Spirit!$HF$53</f>
        <v>0</v>
      </c>
      <c r="F34" s="13">
        <f>[3]Condor!$HF$53</f>
        <v>0</v>
      </c>
      <c r="G34" s="13">
        <f>'[3]Air France'!$HF$53</f>
        <v>0</v>
      </c>
      <c r="H34" s="13">
        <f>'[3]Jet Blue'!$HF$53</f>
        <v>0</v>
      </c>
      <c r="I34" s="13">
        <f>[3]KLM!$HF$53</f>
        <v>0</v>
      </c>
      <c r="J34" s="13">
        <f>'Other Major Airline Stats'!K34</f>
        <v>207055</v>
      </c>
      <c r="K34" s="32">
        <f t="shared" si="18"/>
        <v>326718</v>
      </c>
    </row>
    <row r="35" spans="1:11" x14ac:dyDescent="0.2">
      <c r="A35" s="64" t="s">
        <v>41</v>
      </c>
      <c r="B35" s="261">
        <f t="shared" ref="B35:J35" si="19">SUM(B33:B34)</f>
        <v>91249</v>
      </c>
      <c r="C35" s="261">
        <f t="shared" si="19"/>
        <v>1298708</v>
      </c>
      <c r="D35" s="261">
        <f t="shared" si="19"/>
        <v>38028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258862</v>
      </c>
      <c r="K35" s="26">
        <f t="shared" si="18"/>
        <v>1686847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[3]American!$HF$57</f>
        <v>0</v>
      </c>
      <c r="C38" s="20">
        <f>[3]Delta!$HF$57</f>
        <v>0</v>
      </c>
      <c r="D38" s="20">
        <f>[3]United!$HF$57</f>
        <v>0</v>
      </c>
      <c r="E38" s="20">
        <f>[3]Spirit!$HF$57</f>
        <v>0</v>
      </c>
      <c r="F38" s="20">
        <f>[3]Condor!$HF$57</f>
        <v>0</v>
      </c>
      <c r="G38" s="20">
        <f>'[3]Air France'!$HF$57</f>
        <v>0</v>
      </c>
      <c r="H38" s="20">
        <f>'[3]Jet Blue'!$HF$57</f>
        <v>0</v>
      </c>
      <c r="I38" s="20">
        <f>[3]KLM!$HF$57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[3]American!$HF$58</f>
        <v>0</v>
      </c>
      <c r="C39" s="13">
        <f>[3]Delta!$HF$58</f>
        <v>0</v>
      </c>
      <c r="D39" s="13">
        <f>[3]United!$HF$58</f>
        <v>0</v>
      </c>
      <c r="E39" s="13">
        <f>[3]Spirit!$HF$58</f>
        <v>0</v>
      </c>
      <c r="F39" s="13">
        <f>[3]Condor!$HF$58</f>
        <v>0</v>
      </c>
      <c r="G39" s="13">
        <f>'[3]Air France'!$HF$58</f>
        <v>0</v>
      </c>
      <c r="H39" s="13">
        <f>'[3]Jet Blue'!$HF$58</f>
        <v>0</v>
      </c>
      <c r="I39" s="13">
        <f>[3]KLM!$HF$58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32441</v>
      </c>
      <c r="C43" s="20">
        <f t="shared" si="25"/>
        <v>2325984</v>
      </c>
      <c r="D43" s="20">
        <f t="shared" si="25"/>
        <v>37495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0</v>
      </c>
      <c r="J43" s="20">
        <f t="shared" si="25"/>
        <v>296437</v>
      </c>
      <c r="K43" s="26">
        <f>SUM(B43:J43)</f>
        <v>2692357</v>
      </c>
    </row>
    <row r="44" spans="1:11" x14ac:dyDescent="0.2">
      <c r="A44" s="60" t="s">
        <v>38</v>
      </c>
      <c r="B44" s="13">
        <f t="shared" si="25"/>
        <v>126033</v>
      </c>
      <c r="C44" s="13">
        <f t="shared" si="25"/>
        <v>924267</v>
      </c>
      <c r="D44" s="13">
        <f t="shared" si="25"/>
        <v>35940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344912</v>
      </c>
      <c r="K44" s="26">
        <f>SUM(B44:J44)</f>
        <v>1431152</v>
      </c>
    </row>
    <row r="45" spans="1:11" ht="15.75" thickBot="1" x14ac:dyDescent="0.3">
      <c r="A45" s="61" t="s">
        <v>46</v>
      </c>
      <c r="B45" s="262">
        <f t="shared" ref="B45:J45" si="30">SUM(B43:B44)</f>
        <v>158474</v>
      </c>
      <c r="C45" s="262">
        <f t="shared" si="30"/>
        <v>3250251</v>
      </c>
      <c r="D45" s="262">
        <f t="shared" si="30"/>
        <v>73435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641349</v>
      </c>
      <c r="K45" s="263">
        <f>SUM(B45:J45)</f>
        <v>4123509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[3]Delta!$HF$70+[3]Delta!$HF$73</f>
        <v>293806</v>
      </c>
      <c r="D47" s="278"/>
      <c r="E47" s="278"/>
      <c r="F47" s="278"/>
      <c r="G47" s="278"/>
      <c r="H47" s="278"/>
      <c r="I47" s="278"/>
      <c r="J47" s="278"/>
      <c r="K47" s="279">
        <f>SUM(B47:J47)</f>
        <v>293806</v>
      </c>
    </row>
    <row r="48" spans="1:11" hidden="1" x14ac:dyDescent="0.2">
      <c r="A48" s="349" t="s">
        <v>122</v>
      </c>
      <c r="C48" s="291">
        <f>[3]Delta!$HF$71+[3]Delta!$HF$74</f>
        <v>99644</v>
      </c>
      <c r="D48" s="278"/>
      <c r="E48" s="278"/>
      <c r="F48" s="278"/>
      <c r="G48" s="278"/>
      <c r="H48" s="278"/>
      <c r="I48" s="278"/>
      <c r="J48" s="278"/>
      <c r="K48" s="279">
        <f>SUM(B48:J48)</f>
        <v>99644</v>
      </c>
    </row>
    <row r="49" spans="1:11" hidden="1" x14ac:dyDescent="0.2">
      <c r="A49" s="350" t="s">
        <v>123</v>
      </c>
      <c r="C49" s="292">
        <f>SUM(C47:C48)</f>
        <v>393450</v>
      </c>
      <c r="K49" s="279">
        <f>SUM(B49:J49)</f>
        <v>393450</v>
      </c>
    </row>
    <row r="50" spans="1:11" x14ac:dyDescent="0.2">
      <c r="A50" s="348" t="s">
        <v>121</v>
      </c>
      <c r="B50" s="360"/>
      <c r="C50" s="294">
        <f>[3]Delta!$HF$70+[3]Delta!$HF$73</f>
        <v>293806</v>
      </c>
      <c r="D50" s="360"/>
      <c r="E50" s="294">
        <f>[3]Spirit!$HF$70+[3]Spirit!$HF$73</f>
        <v>0</v>
      </c>
      <c r="F50" s="360"/>
      <c r="G50" s="360"/>
      <c r="H50" s="360"/>
      <c r="I50" s="360"/>
      <c r="J50" s="293">
        <f>'Other Major Airline Stats'!K48</f>
        <v>175141</v>
      </c>
      <c r="K50" s="282">
        <f>SUM(B50:J50)</f>
        <v>468947</v>
      </c>
    </row>
    <row r="51" spans="1:11" x14ac:dyDescent="0.2">
      <c r="A51" s="362" t="s">
        <v>122</v>
      </c>
      <c r="B51" s="360"/>
      <c r="C51" s="294">
        <f>[3]Delta!$HF$71+[3]Delta!$HF$74</f>
        <v>99644</v>
      </c>
      <c r="D51" s="360"/>
      <c r="E51" s="294">
        <f>[3]Spirit!$HF$71+[3]Spirit!$HF$74</f>
        <v>0</v>
      </c>
      <c r="F51" s="360"/>
      <c r="G51" s="360"/>
      <c r="H51" s="360"/>
      <c r="I51" s="360"/>
      <c r="J51" s="293">
        <f>+'Other Major Airline Stats'!K49</f>
        <v>123</v>
      </c>
      <c r="K51" s="282">
        <f>SUM(B51:J51)</f>
        <v>99767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N9" sqref="N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44256</v>
      </c>
      <c r="B2" s="408" t="s">
        <v>47</v>
      </c>
      <c r="C2" s="407" t="s">
        <v>178</v>
      </c>
      <c r="D2" s="410" t="s">
        <v>211</v>
      </c>
      <c r="E2" s="410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[3]Frontier!$HF$22</f>
        <v>11307</v>
      </c>
      <c r="C5" s="116">
        <f>'[3]Air Choice One'!$HF$22</f>
        <v>0</v>
      </c>
      <c r="D5" s="128">
        <f>'[3]Aer Lingus'!$HF$22+'[3]Aer Lingus'!$HF$32</f>
        <v>0</v>
      </c>
      <c r="E5" s="116">
        <f>'[3]Denver Air'!$HF$22+'[3]Denver Air'!$HF$32</f>
        <v>272</v>
      </c>
      <c r="F5" s="116">
        <f>'[3]Boutique Air'!$HF$22</f>
        <v>146</v>
      </c>
      <c r="G5" s="144">
        <f>[3]Icelandair!$HF$32</f>
        <v>0</v>
      </c>
      <c r="H5" s="116">
        <f>[3]Southwest!$HF$22</f>
        <v>45630</v>
      </c>
      <c r="I5" s="116">
        <f>'[3]Sun Country'!$HF$22+'[3]Sun Country'!$HF$32</f>
        <v>113648</v>
      </c>
      <c r="J5" s="116">
        <f>[3]Alaska!$HF$22</f>
        <v>6071</v>
      </c>
      <c r="K5" s="145">
        <f>SUM(B5:J5)</f>
        <v>177074</v>
      </c>
      <c r="N5" s="128"/>
    </row>
    <row r="6" spans="1:14" x14ac:dyDescent="0.2">
      <c r="A6" s="60" t="s">
        <v>31</v>
      </c>
      <c r="B6" s="144">
        <f>[3]Frontier!$HF$23</f>
        <v>12109</v>
      </c>
      <c r="C6" s="116">
        <f>'[3]Air Choice One'!$HF$23</f>
        <v>0</v>
      </c>
      <c r="D6" s="128">
        <f>'[3]Aer Lingus'!$HF$23+'[3]Aer Lingus'!$HF$33</f>
        <v>0</v>
      </c>
      <c r="E6" s="116">
        <f>'[3]Denver Air'!$HF$23+'[3]Denver Air'!$HF$33</f>
        <v>250</v>
      </c>
      <c r="F6" s="116">
        <f>'[3]Boutique Air'!$HF$23</f>
        <v>120</v>
      </c>
      <c r="G6" s="144">
        <f>[3]Icelandair!$HF$33</f>
        <v>0</v>
      </c>
      <c r="H6" s="116">
        <f>[3]Southwest!$HF$23</f>
        <v>49314</v>
      </c>
      <c r="I6" s="116">
        <f>'[3]Sun Country'!$HF$23+'[3]Sun Country'!$HF$33</f>
        <v>125950</v>
      </c>
      <c r="J6" s="116">
        <f>[3]Alaska!$HF$23</f>
        <v>6866</v>
      </c>
      <c r="K6" s="145">
        <f>SUM(B6:J6)</f>
        <v>194609</v>
      </c>
    </row>
    <row r="7" spans="1:14" ht="15" x14ac:dyDescent="0.25">
      <c r="A7" s="58" t="s">
        <v>7</v>
      </c>
      <c r="B7" s="153">
        <f t="shared" ref="B7:J7" si="0">SUM(B5:B6)</f>
        <v>23416</v>
      </c>
      <c r="C7" s="153">
        <f t="shared" ref="C7:F7" si="1">SUM(C5:C6)</f>
        <v>0</v>
      </c>
      <c r="D7" s="153">
        <f>SUM(D5:D6)</f>
        <v>0</v>
      </c>
      <c r="E7" s="153">
        <f>SUM(E5:E6)</f>
        <v>522</v>
      </c>
      <c r="F7" s="153">
        <f t="shared" si="1"/>
        <v>266</v>
      </c>
      <c r="G7" s="153">
        <f t="shared" si="0"/>
        <v>0</v>
      </c>
      <c r="H7" s="153">
        <f t="shared" si="0"/>
        <v>94944</v>
      </c>
      <c r="I7" s="153">
        <f>SUM(I5:I6)</f>
        <v>239598</v>
      </c>
      <c r="J7" s="153">
        <f t="shared" si="0"/>
        <v>12937</v>
      </c>
      <c r="K7" s="154">
        <f>SUM(B7:J7)</f>
        <v>371683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[3]Frontier!$HF$27</f>
        <v>82</v>
      </c>
      <c r="C10" s="152">
        <f>'[3]Air Choice One'!$HF$27</f>
        <v>0</v>
      </c>
      <c r="D10" s="470">
        <f>'[3]Aer Lingus'!$HF$27+'[3]Aer Lingus'!$HF$37</f>
        <v>0</v>
      </c>
      <c r="E10" s="152">
        <f>'[3]Denver Air'!$HF$27+'[3]Denver Air'!$HF$37</f>
        <v>19</v>
      </c>
      <c r="F10" s="152">
        <f>'[3]Boutique Air'!$HF$27</f>
        <v>0</v>
      </c>
      <c r="G10" s="152">
        <f>[3]Icelandair!$HF$37</f>
        <v>0</v>
      </c>
      <c r="H10" s="152">
        <f>[3]Southwest!$HF$27</f>
        <v>958</v>
      </c>
      <c r="I10" s="152">
        <f>'[3]Sun Country'!$HF$27+'[3]Sun Country'!$HF$37</f>
        <v>1675</v>
      </c>
      <c r="J10" s="152">
        <f>[3]Alaska!$HF$27</f>
        <v>251</v>
      </c>
      <c r="K10" s="145">
        <f>SUM(B10:J10)</f>
        <v>2985</v>
      </c>
    </row>
    <row r="11" spans="1:14" x14ac:dyDescent="0.2">
      <c r="A11" s="60" t="s">
        <v>33</v>
      </c>
      <c r="B11" s="155">
        <f>[3]Frontier!$HF$28</f>
        <v>93</v>
      </c>
      <c r="C11" s="155">
        <f>'[3]Air Choice One'!$HF$28</f>
        <v>0</v>
      </c>
      <c r="D11" s="155">
        <f>'[3]Aer Lingus'!$HF$28+'[3]Aer Lingus'!$HF$38</f>
        <v>0</v>
      </c>
      <c r="E11" s="155">
        <f>'[3]Denver Air'!$HF$28+'[3]Denver Air'!$HF$38</f>
        <v>26</v>
      </c>
      <c r="F11" s="155">
        <f>'[3]Boutique Air'!$HF$28</f>
        <v>0</v>
      </c>
      <c r="G11" s="155">
        <f>[3]Icelandair!$HF$38</f>
        <v>0</v>
      </c>
      <c r="H11" s="155">
        <f>[3]Southwest!$HF$28</f>
        <v>949</v>
      </c>
      <c r="I11" s="155">
        <f>'[3]Sun Country'!$HF$28+'[3]Sun Country'!$HF$38</f>
        <v>1801</v>
      </c>
      <c r="J11" s="155">
        <f>[3]Alaska!$HF$28</f>
        <v>287</v>
      </c>
      <c r="K11" s="145">
        <f>SUM(B11:J11)</f>
        <v>3156</v>
      </c>
    </row>
    <row r="12" spans="1:14" ht="15.75" thickBot="1" x14ac:dyDescent="0.3">
      <c r="A12" s="61" t="s">
        <v>34</v>
      </c>
      <c r="B12" s="148">
        <f t="shared" ref="B12:J12" si="2">SUM(B10:B11)</f>
        <v>175</v>
      </c>
      <c r="C12" s="148">
        <f t="shared" ref="C12:F12" si="3">SUM(C10:C11)</f>
        <v>0</v>
      </c>
      <c r="D12" s="148">
        <f>SUM(D10:D11)</f>
        <v>0</v>
      </c>
      <c r="E12" s="148">
        <f>SUM(E10:E11)</f>
        <v>45</v>
      </c>
      <c r="F12" s="148">
        <f t="shared" si="3"/>
        <v>0</v>
      </c>
      <c r="G12" s="148">
        <f t="shared" si="2"/>
        <v>0</v>
      </c>
      <c r="H12" s="148">
        <f t="shared" si="2"/>
        <v>1907</v>
      </c>
      <c r="I12" s="148">
        <f>SUM(I10:I11)</f>
        <v>3476</v>
      </c>
      <c r="J12" s="148">
        <f t="shared" si="2"/>
        <v>538</v>
      </c>
      <c r="K12" s="156">
        <f>SUM(B12:J12)</f>
        <v>6141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[3]Frontier!$HF$4</f>
        <v>74</v>
      </c>
      <c r="C16" s="104">
        <f>'[3]Air Choice One'!$HF$4</f>
        <v>0</v>
      </c>
      <c r="D16" s="128">
        <f>'[3]Aer Lingus'!$HF$4+'[3]Aer Lingus'!$HF$15</f>
        <v>0</v>
      </c>
      <c r="E16" s="116">
        <f>'[3]Denver Air'!$HF$4+'[3]Denver Air'!$HF$15</f>
        <v>54</v>
      </c>
      <c r="F16" s="104">
        <f>'[3]Boutique Air'!$HF$4</f>
        <v>28</v>
      </c>
      <c r="G16" s="144">
        <f>[3]Icelandair!$HF$15</f>
        <v>0</v>
      </c>
      <c r="H16" s="104">
        <f>[3]Southwest!$HF$4</f>
        <v>377</v>
      </c>
      <c r="I16" s="116">
        <f>'[3]Sun Country'!$HF$4+'[3]Sun Country'!$HF$15</f>
        <v>827</v>
      </c>
      <c r="J16" s="116">
        <f>[3]Alaska!$HF$4</f>
        <v>60</v>
      </c>
      <c r="K16" s="145">
        <f>SUM(B16:J16)</f>
        <v>1420</v>
      </c>
    </row>
    <row r="17" spans="1:258" x14ac:dyDescent="0.2">
      <c r="A17" s="60" t="s">
        <v>23</v>
      </c>
      <c r="B17" s="144">
        <f>[3]Frontier!$HF$5</f>
        <v>74</v>
      </c>
      <c r="C17" s="104">
        <f>'[3]Air Choice One'!$HF$5</f>
        <v>0</v>
      </c>
      <c r="D17" s="128">
        <f>'[3]Aer Lingus'!$HF$5+'[3]Aer Lingus'!$HF$16</f>
        <v>0</v>
      </c>
      <c r="E17" s="116">
        <f>'[3]Denver Air'!$HF$5+'[3]Denver Air'!$HF$16</f>
        <v>54</v>
      </c>
      <c r="F17" s="104">
        <f>'[3]Boutique Air'!$HF$5</f>
        <v>26</v>
      </c>
      <c r="G17" s="144">
        <f>[3]Icelandair!$HF$16</f>
        <v>0</v>
      </c>
      <c r="H17" s="104">
        <f>[3]Southwest!$HF$5</f>
        <v>371</v>
      </c>
      <c r="I17" s="116">
        <f>'[3]Sun Country'!$HF$5+'[3]Sun Country'!$HF$16</f>
        <v>819</v>
      </c>
      <c r="J17" s="116">
        <f>[3]Alaska!$HF$5</f>
        <v>60</v>
      </c>
      <c r="K17" s="145">
        <f>SUM(B17:J17)</f>
        <v>1404</v>
      </c>
    </row>
    <row r="18" spans="1:258" x14ac:dyDescent="0.2">
      <c r="A18" s="64" t="s">
        <v>24</v>
      </c>
      <c r="B18" s="146">
        <f t="shared" ref="B18:J18" si="4">SUM(B16:B17)</f>
        <v>148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108</v>
      </c>
      <c r="F18" s="146">
        <f t="shared" si="5"/>
        <v>54</v>
      </c>
      <c r="G18" s="146">
        <f t="shared" si="4"/>
        <v>0</v>
      </c>
      <c r="H18" s="146">
        <f t="shared" si="4"/>
        <v>748</v>
      </c>
      <c r="I18" s="146">
        <f t="shared" si="4"/>
        <v>1646</v>
      </c>
      <c r="J18" s="146">
        <f t="shared" si="4"/>
        <v>120</v>
      </c>
      <c r="K18" s="147">
        <f>SUM(B18:J18)</f>
        <v>2824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[3]Frontier!$HF$8</f>
        <v>0</v>
      </c>
      <c r="C20" s="116">
        <f>'[3]Air Choice One'!$HF$8</f>
        <v>0</v>
      </c>
      <c r="D20" s="128">
        <f>'[3]Aer Lingus'!$HF$8</f>
        <v>0</v>
      </c>
      <c r="E20" s="116">
        <f>'[3]Denver Air'!$HF$8</f>
        <v>7</v>
      </c>
      <c r="F20" s="116">
        <f>'[3]Boutique Air'!$HF$8</f>
        <v>0</v>
      </c>
      <c r="G20" s="144">
        <f>[3]Icelandair!$HF$8</f>
        <v>0</v>
      </c>
      <c r="H20" s="116">
        <f>[3]Southwest!$HF$8</f>
        <v>0</v>
      </c>
      <c r="I20" s="116">
        <f>'[3]Sun Country'!$HF$8</f>
        <v>94</v>
      </c>
      <c r="J20" s="116">
        <f>[3]Alaska!$HF$8</f>
        <v>0</v>
      </c>
      <c r="K20" s="145">
        <f>SUM(B20:J20)</f>
        <v>101</v>
      </c>
    </row>
    <row r="21" spans="1:258" x14ac:dyDescent="0.2">
      <c r="A21" s="60" t="s">
        <v>26</v>
      </c>
      <c r="B21" s="144">
        <f>[3]Frontier!$HF$9</f>
        <v>0</v>
      </c>
      <c r="C21" s="116">
        <f>'[3]Air Choice One'!$HF$9</f>
        <v>0</v>
      </c>
      <c r="D21" s="128">
        <f>'[3]Aer Lingus'!$HF$9</f>
        <v>0</v>
      </c>
      <c r="E21" s="116">
        <f>'[3]Denver Air'!$HF$9</f>
        <v>7</v>
      </c>
      <c r="F21" s="116">
        <f>'[3]Boutique Air'!$HF$9</f>
        <v>0</v>
      </c>
      <c r="G21" s="144">
        <f>[3]Icelandair!$HF$9</f>
        <v>0</v>
      </c>
      <c r="H21" s="116">
        <f>[3]Southwest!$HF$9</f>
        <v>0</v>
      </c>
      <c r="I21" s="116">
        <f>'[3]Sun Country'!$HF$9</f>
        <v>91</v>
      </c>
      <c r="J21" s="116">
        <f>[3]Alaska!$HF$9</f>
        <v>0</v>
      </c>
      <c r="K21" s="145">
        <f>SUM(B21:J21)</f>
        <v>98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14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185</v>
      </c>
      <c r="J22" s="146">
        <f t="shared" si="6"/>
        <v>0</v>
      </c>
      <c r="K22" s="147">
        <f>SUM(B22:J22)</f>
        <v>199</v>
      </c>
    </row>
    <row r="23" spans="1:258" ht="15.75" thickBot="1" x14ac:dyDescent="0.3">
      <c r="A23" s="61" t="s">
        <v>28</v>
      </c>
      <c r="B23" s="148">
        <f t="shared" ref="B23:J23" si="8">B22+B18</f>
        <v>148</v>
      </c>
      <c r="C23" s="148">
        <f t="shared" ref="C23:F23" si="9">C22+C18</f>
        <v>0</v>
      </c>
      <c r="D23" s="148">
        <f t="shared" si="9"/>
        <v>0</v>
      </c>
      <c r="E23" s="148">
        <f t="shared" si="9"/>
        <v>122</v>
      </c>
      <c r="F23" s="148">
        <f t="shared" si="9"/>
        <v>54</v>
      </c>
      <c r="G23" s="148">
        <f t="shared" si="8"/>
        <v>0</v>
      </c>
      <c r="H23" s="148">
        <f t="shared" si="8"/>
        <v>748</v>
      </c>
      <c r="I23" s="148">
        <f t="shared" si="8"/>
        <v>1831</v>
      </c>
      <c r="J23" s="148">
        <f t="shared" si="8"/>
        <v>120</v>
      </c>
      <c r="K23" s="149">
        <f>SUM(B23:J23)</f>
        <v>3023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[3]Frontier!$HF$47</f>
        <v>0</v>
      </c>
      <c r="C28" s="116">
        <f>'[3]Air Choice One'!$HF$47</f>
        <v>0</v>
      </c>
      <c r="D28" s="128">
        <f>'[3]Aer Lingus'!$HF$47</f>
        <v>0</v>
      </c>
      <c r="E28" s="116">
        <f>'[3]Denver Air'!$HF$47</f>
        <v>0</v>
      </c>
      <c r="F28" s="116">
        <f>'[3]Boutique Air'!$HF$47</f>
        <v>0</v>
      </c>
      <c r="G28" s="144">
        <f>[3]Icelandair!$HF$47</f>
        <v>0</v>
      </c>
      <c r="H28" s="116">
        <f>[3]Southwest!$HF$47</f>
        <v>210747</v>
      </c>
      <c r="I28" s="116">
        <f>'[3]Sun Country'!$HF$47</f>
        <v>6167</v>
      </c>
      <c r="J28" s="116">
        <f>[3]Alaska!$HF$47</f>
        <v>27716</v>
      </c>
      <c r="K28" s="145">
        <f>SUM(B28:J28)</f>
        <v>244630</v>
      </c>
    </row>
    <row r="29" spans="1:258" x14ac:dyDescent="0.2">
      <c r="A29" s="60" t="s">
        <v>38</v>
      </c>
      <c r="B29" s="144">
        <f>[3]Frontier!$HF$48</f>
        <v>0</v>
      </c>
      <c r="C29" s="116">
        <f>'[3]Air Choice One'!$HF$48</f>
        <v>0</v>
      </c>
      <c r="D29" s="128">
        <f>'[3]Aer Lingus'!$HF$48</f>
        <v>0</v>
      </c>
      <c r="E29" s="116">
        <f>'[3]Denver Air'!$HF$48</f>
        <v>0</v>
      </c>
      <c r="F29" s="116">
        <f>'[3]Boutique Air'!$HF$48</f>
        <v>0</v>
      </c>
      <c r="G29" s="144">
        <f>[3]Icelandair!$HF$48</f>
        <v>0</v>
      </c>
      <c r="H29" s="116">
        <f>[3]Southwest!$HF$48</f>
        <v>0</v>
      </c>
      <c r="I29" s="116">
        <f>'[3]Sun Country'!$HF$48</f>
        <v>137740</v>
      </c>
      <c r="J29" s="116">
        <f>[3]Alaska!$HF$48</f>
        <v>117</v>
      </c>
      <c r="K29" s="145">
        <f>SUM(B29:J29)</f>
        <v>137857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210747</v>
      </c>
      <c r="I30" s="160">
        <f t="shared" si="10"/>
        <v>143907</v>
      </c>
      <c r="J30" s="160">
        <f t="shared" si="10"/>
        <v>27833</v>
      </c>
      <c r="K30" s="163">
        <f>SUM(B30:J30)</f>
        <v>382487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[3]Frontier!$HF$52</f>
        <v>0</v>
      </c>
      <c r="C33" s="116">
        <f>'[3]Air Choice One'!$HF$52</f>
        <v>0</v>
      </c>
      <c r="D33" s="128">
        <f>'[3]Aer Lingus'!$HF$52</f>
        <v>0</v>
      </c>
      <c r="E33" s="116">
        <f>'[3]Denver Air'!$HF$52</f>
        <v>0</v>
      </c>
      <c r="F33" s="116">
        <f>'[3]Boutique Air'!$HF$52</f>
        <v>0</v>
      </c>
      <c r="G33" s="144">
        <f>[3]Icelandair!$HF$52</f>
        <v>0</v>
      </c>
      <c r="H33" s="116">
        <f>[3]Southwest!$HF$52</f>
        <v>41943</v>
      </c>
      <c r="I33" s="116">
        <f>'[3]Sun Country'!$HF$52</f>
        <v>218</v>
      </c>
      <c r="J33" s="116">
        <f>[3]Alaska!$HF$52</f>
        <v>9646</v>
      </c>
      <c r="K33" s="145">
        <f>SUM(B33:J33)</f>
        <v>51807</v>
      </c>
    </row>
    <row r="34" spans="1:11" x14ac:dyDescent="0.2">
      <c r="A34" s="60" t="s">
        <v>38</v>
      </c>
      <c r="B34" s="144">
        <f>[3]Frontier!$HF$53</f>
        <v>0</v>
      </c>
      <c r="C34" s="116">
        <f>'[3]Air Choice One'!$HF$53</f>
        <v>0</v>
      </c>
      <c r="D34" s="128">
        <f>'[3]Aer Lingus'!$HF$53</f>
        <v>0</v>
      </c>
      <c r="E34" s="116">
        <f>'[3]Denver Air'!$HF$53</f>
        <v>0</v>
      </c>
      <c r="F34" s="116">
        <f>'[3]Boutique Air'!$HF$53</f>
        <v>0</v>
      </c>
      <c r="G34" s="144">
        <f>[3]Icelandair!$HF$53</f>
        <v>0</v>
      </c>
      <c r="H34" s="116">
        <f>[3]Southwest!$HF$53</f>
        <v>0</v>
      </c>
      <c r="I34" s="116">
        <f>'[3]Sun Country'!$HF$53</f>
        <v>205653</v>
      </c>
      <c r="J34" s="116">
        <f>[3]Alaska!$HF$53</f>
        <v>1402</v>
      </c>
      <c r="K34" s="161">
        <f>SUM(B34:J34)</f>
        <v>207055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41943</v>
      </c>
      <c r="I35" s="162">
        <f t="shared" si="12"/>
        <v>205871</v>
      </c>
      <c r="J35" s="162">
        <f t="shared" si="12"/>
        <v>11048</v>
      </c>
      <c r="K35" s="163">
        <f>SUM(B35:J35)</f>
        <v>258862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[3]Frontier!$HF$57</f>
        <v>0</v>
      </c>
      <c r="C38" s="152">
        <f>'[3]Air Choice One'!$HF$57</f>
        <v>0</v>
      </c>
      <c r="D38" s="470">
        <f>'[3]Aer Lingus'!$HF$57</f>
        <v>0</v>
      </c>
      <c r="E38" s="152">
        <f>'[3]Denver Air'!$HF$57</f>
        <v>0</v>
      </c>
      <c r="F38" s="152">
        <f>'[3]Boutique Air'!$HF$57</f>
        <v>0</v>
      </c>
      <c r="G38" s="152">
        <f>[3]Icelandair!$HF$57</f>
        <v>0</v>
      </c>
      <c r="H38" s="152">
        <f>[3]Southwest!$HF$57</f>
        <v>0</v>
      </c>
      <c r="I38" s="152">
        <f>'[3]Sun Country'!$HF$57</f>
        <v>0</v>
      </c>
      <c r="J38" s="152">
        <f>[3]Alaska!$HF$57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[3]Frontier!$HF$58</f>
        <v>0</v>
      </c>
      <c r="C39" s="155">
        <f>'[3]Air Choice One'!$HF$58</f>
        <v>0</v>
      </c>
      <c r="D39" s="155">
        <f>'[3]Aer Lingus'!$HF$58</f>
        <v>0</v>
      </c>
      <c r="E39" s="155">
        <f>'[3]Denver Air'!$HF$58</f>
        <v>0</v>
      </c>
      <c r="F39" s="155">
        <f>'[3]Boutique Air'!$HF$58</f>
        <v>0</v>
      </c>
      <c r="G39" s="155">
        <f>[3]Icelandair!$HF$58</f>
        <v>0</v>
      </c>
      <c r="H39" s="155">
        <f>[3]Southwest!$HF$58</f>
        <v>0</v>
      </c>
      <c r="I39" s="155">
        <f>'[3]Sun Country'!$HF$58</f>
        <v>0</v>
      </c>
      <c r="J39" s="155">
        <f>[3]Alaska!$HF$58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0</v>
      </c>
      <c r="H43" s="152">
        <f t="shared" si="16"/>
        <v>252690</v>
      </c>
      <c r="I43" s="152">
        <f t="shared" si="16"/>
        <v>6385</v>
      </c>
      <c r="J43" s="152">
        <f t="shared" si="16"/>
        <v>37362</v>
      </c>
      <c r="K43" s="145">
        <f>SUM(B43:J43)</f>
        <v>296437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343393</v>
      </c>
      <c r="J44" s="155">
        <f t="shared" si="18"/>
        <v>1519</v>
      </c>
      <c r="K44" s="145">
        <f>SUM(B44:J44)</f>
        <v>344912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0</v>
      </c>
      <c r="H45" s="165">
        <f t="shared" si="20"/>
        <v>252690</v>
      </c>
      <c r="I45" s="165">
        <f t="shared" si="20"/>
        <v>349778</v>
      </c>
      <c r="J45" s="165">
        <f t="shared" si="20"/>
        <v>38881</v>
      </c>
      <c r="K45" s="166">
        <f>SUM(B45:J45)</f>
        <v>641349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[3]Southwest!$HF$70+[3]Southwest!$HF$73</f>
        <v>49191</v>
      </c>
      <c r="I48" s="294">
        <f>'[3]Sun Country'!$HF$70+'[3]Sun Country'!$HF$73</f>
        <v>125950</v>
      </c>
      <c r="J48" s="360"/>
      <c r="K48" s="282">
        <f>SUM(B48:J48)</f>
        <v>175141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[3]Southwest!$HF$71+[3]Southwest!$HF$74</f>
        <v>123</v>
      </c>
      <c r="I49" s="294">
        <f>'[3]Sun Country'!$HF$71+'[3]Sun Country'!$HF$74</f>
        <v>0</v>
      </c>
      <c r="J49" s="360"/>
      <c r="K49" s="282">
        <f>SUM(B49:J49)</f>
        <v>123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March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F3" sqref="F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58"/>
    </row>
    <row r="2" spans="1:13" s="7" customFormat="1" ht="51.75" thickBot="1" x14ac:dyDescent="0.25">
      <c r="A2" s="351">
        <v>44256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3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3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3" x14ac:dyDescent="0.2">
      <c r="A5" s="60" t="s">
        <v>30</v>
      </c>
      <c r="B5" s="129">
        <f>[3]Pinnacle!$HF$22+[3]Pinnacle!$HF$32</f>
        <v>53487</v>
      </c>
      <c r="C5" s="130">
        <f>[3]MESA_UA!$HF$22</f>
        <v>1188</v>
      </c>
      <c r="D5" s="128">
        <f>'[3]Sky West'!$HF$22+'[3]Sky West'!$HF$32</f>
        <v>105772</v>
      </c>
      <c r="E5" s="128">
        <f>'[3]Sky West_UA'!$HF$22</f>
        <v>1499</v>
      </c>
      <c r="F5" s="128">
        <f>'[3]Sky West_AS'!$HF$22</f>
        <v>0</v>
      </c>
      <c r="G5" s="128">
        <f>'[3]Sky West_AA'!$HF$22</f>
        <v>1605</v>
      </c>
      <c r="H5" s="128">
        <f>[3]Republic!$HF$22</f>
        <v>1910</v>
      </c>
      <c r="I5" s="128">
        <f>[3]Republic_UA!$HF$22</f>
        <v>4593</v>
      </c>
      <c r="J5" s="128">
        <f>'[3]Sky Regional'!$HF$32</f>
        <v>0</v>
      </c>
      <c r="K5" s="128">
        <f>'[3]American Eagle'!$HF$22</f>
        <v>8656</v>
      </c>
      <c r="L5" s="128">
        <f>'Other Regional'!K5</f>
        <v>0</v>
      </c>
      <c r="M5" s="108">
        <f>SUM(B5:L5)</f>
        <v>178710</v>
      </c>
    </row>
    <row r="6" spans="1:13" s="10" customFormat="1" x14ac:dyDescent="0.2">
      <c r="A6" s="60" t="s">
        <v>31</v>
      </c>
      <c r="B6" s="129">
        <f>[3]Pinnacle!$HF$23+[3]Pinnacle!$HF$33</f>
        <v>52459</v>
      </c>
      <c r="C6" s="130">
        <f>[3]MESA_UA!$HF$23</f>
        <v>1329</v>
      </c>
      <c r="D6" s="128">
        <f>'[3]Sky West'!$HF$23+'[3]Sky West'!$HF$33</f>
        <v>107862</v>
      </c>
      <c r="E6" s="128">
        <f>'[3]Sky West_UA'!$HF$23</f>
        <v>1545</v>
      </c>
      <c r="F6" s="128">
        <f>'[3]Sky West_AS'!$HF$23</f>
        <v>0</v>
      </c>
      <c r="G6" s="128">
        <f>'[3]Sky West_AA'!$HF$23</f>
        <v>1616</v>
      </c>
      <c r="H6" s="128">
        <f>[3]Republic!$HF$23</f>
        <v>1560</v>
      </c>
      <c r="I6" s="128">
        <f>[3]Republic_UA!$HF$23</f>
        <v>4834</v>
      </c>
      <c r="J6" s="128">
        <f>'[3]Sky Regional'!$HF$33</f>
        <v>0</v>
      </c>
      <c r="K6" s="128">
        <f>'[3]American Eagle'!$HF$23</f>
        <v>9211</v>
      </c>
      <c r="L6" s="128">
        <f>'Other Regional'!K6</f>
        <v>0</v>
      </c>
      <c r="M6" s="113">
        <f>SUM(B6:L6)</f>
        <v>180416</v>
      </c>
    </row>
    <row r="7" spans="1:13" ht="15" thickBot="1" x14ac:dyDescent="0.25">
      <c r="A7" s="71" t="s">
        <v>7</v>
      </c>
      <c r="B7" s="131">
        <f>SUM(B5:B6)</f>
        <v>105946</v>
      </c>
      <c r="C7" s="131">
        <f t="shared" ref="C7:L7" si="0">SUM(C5:C6)</f>
        <v>2517</v>
      </c>
      <c r="D7" s="131">
        <f t="shared" si="0"/>
        <v>213634</v>
      </c>
      <c r="E7" s="131">
        <f t="shared" si="0"/>
        <v>3044</v>
      </c>
      <c r="F7" s="131">
        <f t="shared" ref="F7:G7" si="1">SUM(F5:F6)</f>
        <v>0</v>
      </c>
      <c r="G7" s="131">
        <f t="shared" si="1"/>
        <v>3221</v>
      </c>
      <c r="H7" s="131">
        <f t="shared" si="0"/>
        <v>3470</v>
      </c>
      <c r="I7" s="131">
        <f t="shared" si="0"/>
        <v>9427</v>
      </c>
      <c r="J7" s="131">
        <f t="shared" si="0"/>
        <v>0</v>
      </c>
      <c r="K7" s="131">
        <f t="shared" si="0"/>
        <v>17867</v>
      </c>
      <c r="L7" s="131">
        <f t="shared" si="0"/>
        <v>0</v>
      </c>
      <c r="M7" s="132">
        <f>SUM(B7:L7)</f>
        <v>359126</v>
      </c>
    </row>
    <row r="8" spans="1:13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3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3" x14ac:dyDescent="0.2">
      <c r="A10" s="60" t="s">
        <v>30</v>
      </c>
      <c r="B10" s="129">
        <f>[3]Pinnacle!$HF$27+[3]Pinnacle!$HF$37</f>
        <v>2295</v>
      </c>
      <c r="C10" s="130">
        <f>[3]MESA_UA!$HF$27</f>
        <v>47</v>
      </c>
      <c r="D10" s="128">
        <f>'[3]Sky West'!$HF$27+'[3]Sky West'!$HF$37</f>
        <v>4685</v>
      </c>
      <c r="E10" s="128">
        <f>'[3]Sky West_UA'!$HF$27</f>
        <v>52</v>
      </c>
      <c r="F10" s="128">
        <f>'[3]Sky West_AS'!$HF$27</f>
        <v>0</v>
      </c>
      <c r="G10" s="128">
        <f>'[3]Sky West_AA'!$HF$27</f>
        <v>70</v>
      </c>
      <c r="H10" s="128">
        <f>[3]Republic!$HF$27</f>
        <v>89</v>
      </c>
      <c r="I10" s="128">
        <f>[3]Republic_UA!$HF$27</f>
        <v>173</v>
      </c>
      <c r="J10" s="128">
        <f>'[3]Sky Regional'!$HF$37</f>
        <v>0</v>
      </c>
      <c r="K10" s="128">
        <f>'[3]American Eagle'!$HF$27</f>
        <v>462</v>
      </c>
      <c r="L10" s="128">
        <f>'Other Regional'!K10</f>
        <v>0</v>
      </c>
      <c r="M10" s="108">
        <f>SUM(B10:L10)</f>
        <v>7873</v>
      </c>
    </row>
    <row r="11" spans="1:13" x14ac:dyDescent="0.2">
      <c r="A11" s="60" t="s">
        <v>33</v>
      </c>
      <c r="B11" s="129">
        <f>[3]Pinnacle!$HF$28+[3]Pinnacle!$HF$38</f>
        <v>2297</v>
      </c>
      <c r="C11" s="130">
        <f>[3]MESA_UA!$HF$28</f>
        <v>43</v>
      </c>
      <c r="D11" s="128">
        <f>'[3]Sky West'!$HF$28+'[3]Sky West'!$HF$38</f>
        <v>4828</v>
      </c>
      <c r="E11" s="128">
        <f>'[3]Sky West_UA'!$HF$28</f>
        <v>62</v>
      </c>
      <c r="F11" s="128">
        <f>'[3]Sky West_AS'!$HF$28</f>
        <v>0</v>
      </c>
      <c r="G11" s="128">
        <f>'[3]Sky West_AA'!$HF$28</f>
        <v>76</v>
      </c>
      <c r="H11" s="128">
        <f>[3]Republic!$HF$28</f>
        <v>75</v>
      </c>
      <c r="I11" s="128">
        <f>[3]Republic_UA!$HF$28</f>
        <v>174</v>
      </c>
      <c r="J11" s="128">
        <f>'[3]Sky Regional'!$HF$38</f>
        <v>0</v>
      </c>
      <c r="K11" s="128">
        <f>'[3]American Eagle'!$HF$28</f>
        <v>524</v>
      </c>
      <c r="L11" s="128">
        <f>'Other Regional'!K11</f>
        <v>0</v>
      </c>
      <c r="M11" s="113">
        <f>SUM(B11:L11)</f>
        <v>8079</v>
      </c>
    </row>
    <row r="12" spans="1:13" ht="15" thickBot="1" x14ac:dyDescent="0.25">
      <c r="A12" s="72" t="s">
        <v>34</v>
      </c>
      <c r="B12" s="134">
        <f t="shared" ref="B12:L12" si="2">SUM(B10:B11)</f>
        <v>4592</v>
      </c>
      <c r="C12" s="134">
        <f t="shared" si="2"/>
        <v>90</v>
      </c>
      <c r="D12" s="134">
        <f t="shared" si="2"/>
        <v>9513</v>
      </c>
      <c r="E12" s="134">
        <f t="shared" si="2"/>
        <v>114</v>
      </c>
      <c r="F12" s="134">
        <f t="shared" ref="F12:G12" si="3">SUM(F10:F11)</f>
        <v>0</v>
      </c>
      <c r="G12" s="134">
        <f t="shared" si="3"/>
        <v>146</v>
      </c>
      <c r="H12" s="134">
        <f t="shared" si="2"/>
        <v>164</v>
      </c>
      <c r="I12" s="134">
        <f t="shared" si="2"/>
        <v>347</v>
      </c>
      <c r="J12" s="134">
        <f t="shared" si="2"/>
        <v>0</v>
      </c>
      <c r="K12" s="134">
        <f t="shared" si="2"/>
        <v>986</v>
      </c>
      <c r="L12" s="134">
        <f t="shared" si="2"/>
        <v>0</v>
      </c>
      <c r="M12" s="135">
        <f>SUM(B12:L12)</f>
        <v>15952</v>
      </c>
    </row>
    <row r="13" spans="1:13" ht="13.5" thickBot="1" x14ac:dyDescent="0.25"/>
    <row r="14" spans="1:13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3" x14ac:dyDescent="0.2">
      <c r="A15" s="60" t="s">
        <v>53</v>
      </c>
      <c r="B15" s="20">
        <f>[3]Pinnacle!$HF$4+[3]Pinnacle!$HF$15</f>
        <v>1573</v>
      </c>
      <c r="C15" s="106">
        <f>[3]MESA_UA!$HF$4</f>
        <v>22</v>
      </c>
      <c r="D15" s="104">
        <f>'[3]Sky West'!$HF$4+'[3]Sky West'!$HF$15</f>
        <v>2897</v>
      </c>
      <c r="E15" s="104">
        <f>'[3]Sky West_UA'!$HF$4</f>
        <v>26</v>
      </c>
      <c r="F15" s="104">
        <f>'[3]Sky West_AS'!$HF$4</f>
        <v>0</v>
      </c>
      <c r="G15" s="104">
        <f>'[3]Sky West_AA'!$HF$4</f>
        <v>28</v>
      </c>
      <c r="H15" s="107">
        <f>[3]Republic!$HF$4</f>
        <v>33</v>
      </c>
      <c r="I15" s="425">
        <f>[3]Republic_UA!$HF$4</f>
        <v>82</v>
      </c>
      <c r="J15" s="425">
        <f>'[3]Sky Regional'!$HF$15</f>
        <v>0</v>
      </c>
      <c r="K15" s="107">
        <f>'[3]American Eagle'!$HF$4</f>
        <v>135</v>
      </c>
      <c r="L15" s="105">
        <f>'Other Regional'!K15</f>
        <v>0</v>
      </c>
      <c r="M15" s="108">
        <f t="shared" ref="M15:M21" si="5">SUM(B15:L15)</f>
        <v>4796</v>
      </c>
    </row>
    <row r="16" spans="1:13" x14ac:dyDescent="0.2">
      <c r="A16" s="60" t="s">
        <v>54</v>
      </c>
      <c r="B16" s="13">
        <f>[3]Pinnacle!$HF$5+[3]Pinnacle!$HF$16</f>
        <v>1572</v>
      </c>
      <c r="C16" s="111">
        <f>[3]MESA_UA!$HF$5</f>
        <v>23</v>
      </c>
      <c r="D16" s="109">
        <f>'[3]Sky West'!$HF$5+'[3]Sky West'!$HF$16</f>
        <v>2868</v>
      </c>
      <c r="E16" s="109">
        <f>'[3]Sky West_UA'!$HF$5</f>
        <v>26</v>
      </c>
      <c r="F16" s="109">
        <f>'[3]Sky West_AS'!$HF$5</f>
        <v>0</v>
      </c>
      <c r="G16" s="109">
        <f>'[3]Sky West_AA'!$HF$5</f>
        <v>28</v>
      </c>
      <c r="H16" s="112">
        <f>[3]Republic!$HF$5</f>
        <v>33</v>
      </c>
      <c r="I16" s="269">
        <f>[3]Republic_UA!$HF$5</f>
        <v>82</v>
      </c>
      <c r="J16" s="269">
        <f>'[3]Sky Regional'!$HF$16</f>
        <v>0</v>
      </c>
      <c r="K16" s="112">
        <f>'[3]American Eagle'!$HF$5</f>
        <v>134</v>
      </c>
      <c r="L16" s="110">
        <f>'Other Regional'!K16</f>
        <v>0</v>
      </c>
      <c r="M16" s="113">
        <f t="shared" si="5"/>
        <v>4766</v>
      </c>
    </row>
    <row r="17" spans="1:13" x14ac:dyDescent="0.2">
      <c r="A17" s="69" t="s">
        <v>55</v>
      </c>
      <c r="B17" s="114">
        <f t="shared" ref="B17:K17" si="6">SUM(B15:B16)</f>
        <v>3145</v>
      </c>
      <c r="C17" s="114">
        <f t="shared" si="6"/>
        <v>45</v>
      </c>
      <c r="D17" s="114">
        <f t="shared" si="6"/>
        <v>5765</v>
      </c>
      <c r="E17" s="114">
        <f t="shared" si="6"/>
        <v>52</v>
      </c>
      <c r="F17" s="114">
        <f t="shared" ref="F17:G17" si="7">SUM(F15:F16)</f>
        <v>0</v>
      </c>
      <c r="G17" s="114">
        <f t="shared" si="7"/>
        <v>56</v>
      </c>
      <c r="H17" s="114">
        <f t="shared" si="6"/>
        <v>66</v>
      </c>
      <c r="I17" s="114">
        <f t="shared" ref="I17:J17" si="8">SUM(I15:I16)</f>
        <v>164</v>
      </c>
      <c r="J17" s="114">
        <f t="shared" si="8"/>
        <v>0</v>
      </c>
      <c r="K17" s="114">
        <f t="shared" si="6"/>
        <v>269</v>
      </c>
      <c r="L17" s="114">
        <f>SUM(L15:L16)</f>
        <v>0</v>
      </c>
      <c r="M17" s="115">
        <f t="shared" si="5"/>
        <v>9562</v>
      </c>
    </row>
    <row r="18" spans="1:13" x14ac:dyDescent="0.2">
      <c r="A18" s="60" t="s">
        <v>56</v>
      </c>
      <c r="B18" s="116">
        <f>[3]Pinnacle!$HF$8</f>
        <v>0</v>
      </c>
      <c r="C18" s="117">
        <f>[3]MESA_UA!$HF$8</f>
        <v>0</v>
      </c>
      <c r="D18" s="116">
        <f>'[3]Sky West'!$HF$8</f>
        <v>0</v>
      </c>
      <c r="E18" s="116">
        <f>'[3]Sky West_UA'!$HF$8</f>
        <v>0</v>
      </c>
      <c r="F18" s="116">
        <f>'[3]Sky West_AS'!$HF$8</f>
        <v>0</v>
      </c>
      <c r="G18" s="116">
        <f>'[3]Sky West_AA'!$HF$8</f>
        <v>0</v>
      </c>
      <c r="H18" s="116">
        <f>[3]Republic!$HF$8</f>
        <v>0</v>
      </c>
      <c r="I18" s="116">
        <f>[3]Republic_UA!$HF$8</f>
        <v>0</v>
      </c>
      <c r="J18" s="116">
        <f>'[3]Sky Regional'!$HF$8</f>
        <v>0</v>
      </c>
      <c r="K18" s="116">
        <f>'[3]American Eagle'!$HF$8</f>
        <v>0</v>
      </c>
      <c r="L18" s="116">
        <f>'Other Regional'!K18</f>
        <v>0</v>
      </c>
      <c r="M18" s="108">
        <f t="shared" si="5"/>
        <v>0</v>
      </c>
    </row>
    <row r="19" spans="1:13" x14ac:dyDescent="0.2">
      <c r="A19" s="60" t="s">
        <v>57</v>
      </c>
      <c r="B19" s="118">
        <f>[3]Pinnacle!$HF$9</f>
        <v>1</v>
      </c>
      <c r="C19" s="119">
        <f>[3]MESA_UA!$HF$9</f>
        <v>0</v>
      </c>
      <c r="D19" s="118">
        <f>'[3]Sky West'!$HF$9</f>
        <v>1</v>
      </c>
      <c r="E19" s="118">
        <f>'[3]Sky West_UA'!$HF$9</f>
        <v>0</v>
      </c>
      <c r="F19" s="118">
        <f>'[3]Sky West_AS'!$HF$9</f>
        <v>0</v>
      </c>
      <c r="G19" s="118">
        <f>'[3]Sky West_AA'!$HF$9</f>
        <v>0</v>
      </c>
      <c r="H19" s="118">
        <f>[3]Republic!$HF$9</f>
        <v>0</v>
      </c>
      <c r="I19" s="118">
        <f>[3]Republic_UA!$HF$9</f>
        <v>0</v>
      </c>
      <c r="J19" s="118">
        <f>'[3]Sky Regional'!$HF$9</f>
        <v>0</v>
      </c>
      <c r="K19" s="118">
        <f>'[3]American Eagle'!$HF$9</f>
        <v>0</v>
      </c>
      <c r="L19" s="118">
        <f>'Other Regional'!K19</f>
        <v>0</v>
      </c>
      <c r="M19" s="113">
        <f t="shared" si="5"/>
        <v>2</v>
      </c>
    </row>
    <row r="20" spans="1:13" x14ac:dyDescent="0.2">
      <c r="A20" s="69" t="s">
        <v>58</v>
      </c>
      <c r="B20" s="114">
        <f t="shared" ref="B20:L20" si="9">SUM(B18:B19)</f>
        <v>1</v>
      </c>
      <c r="C20" s="114">
        <f t="shared" si="9"/>
        <v>0</v>
      </c>
      <c r="D20" s="114">
        <f t="shared" si="9"/>
        <v>1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2</v>
      </c>
    </row>
    <row r="21" spans="1:13" ht="15.75" thickBot="1" x14ac:dyDescent="0.3">
      <c r="A21" s="70" t="s">
        <v>28</v>
      </c>
      <c r="B21" s="120">
        <f>SUM(B20,B17)</f>
        <v>3146</v>
      </c>
      <c r="C21" s="120">
        <f t="shared" ref="C21:K21" si="11">SUM(C20,C17)</f>
        <v>45</v>
      </c>
      <c r="D21" s="120">
        <f t="shared" si="11"/>
        <v>5766</v>
      </c>
      <c r="E21" s="120">
        <f t="shared" si="11"/>
        <v>52</v>
      </c>
      <c r="F21" s="120">
        <f t="shared" ref="F21:G21" si="12">SUM(F20,F17)</f>
        <v>0</v>
      </c>
      <c r="G21" s="120">
        <f t="shared" si="12"/>
        <v>56</v>
      </c>
      <c r="H21" s="120">
        <f t="shared" si="11"/>
        <v>66</v>
      </c>
      <c r="I21" s="120">
        <f t="shared" si="11"/>
        <v>164</v>
      </c>
      <c r="J21" s="120">
        <f t="shared" si="11"/>
        <v>0</v>
      </c>
      <c r="K21" s="120">
        <f t="shared" si="11"/>
        <v>269</v>
      </c>
      <c r="L21" s="120">
        <f>SUM(L20,L17)</f>
        <v>0</v>
      </c>
      <c r="M21" s="121">
        <f t="shared" si="5"/>
        <v>9564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[3]Pinnacle!$HF$47</f>
        <v>0</v>
      </c>
      <c r="C25" s="130">
        <f>[3]MESA_UA!$HF$47</f>
        <v>0</v>
      </c>
      <c r="D25" s="128">
        <f>'[3]Sky West'!$HF$47</f>
        <v>0</v>
      </c>
      <c r="E25" s="128">
        <f>'[3]Sky West_UA'!$HF$47</f>
        <v>0</v>
      </c>
      <c r="F25" s="128">
        <f>'[3]Sky West_AS'!$HF$47</f>
        <v>0</v>
      </c>
      <c r="G25" s="128">
        <f>'[3]Sky West_AA'!$HF$47</f>
        <v>708</v>
      </c>
      <c r="H25" s="128">
        <f>[3]Republic!$HF$47</f>
        <v>3</v>
      </c>
      <c r="I25" s="128">
        <f>[3]Republic_UA!$HF$47</f>
        <v>0</v>
      </c>
      <c r="J25" s="128">
        <f>'[3]Sky Regional'!$HF$47</f>
        <v>0</v>
      </c>
      <c r="K25" s="128">
        <f>'[3]American Eagle'!$HF$47</f>
        <v>1993</v>
      </c>
      <c r="L25" s="128">
        <f>'Other Regional'!K25</f>
        <v>0</v>
      </c>
      <c r="M25" s="108">
        <f>SUM(B25:L25)</f>
        <v>2704</v>
      </c>
    </row>
    <row r="26" spans="1:13" x14ac:dyDescent="0.2">
      <c r="A26" s="73" t="s">
        <v>38</v>
      </c>
      <c r="B26" s="128">
        <f>[3]Pinnacle!$HF$48</f>
        <v>0</v>
      </c>
      <c r="C26" s="130">
        <f>[3]MESA_UA!$HF$48</f>
        <v>0</v>
      </c>
      <c r="D26" s="128">
        <f>'[3]Sky West'!$HF$48</f>
        <v>0</v>
      </c>
      <c r="E26" s="128">
        <f>'[3]Sky West_UA'!$HF$48</f>
        <v>0</v>
      </c>
      <c r="F26" s="128">
        <f>'[3]Sky West_AS'!$HF$48</f>
        <v>0</v>
      </c>
      <c r="G26" s="128">
        <f>'[3]Sky West_AA'!$HF$48</f>
        <v>0</v>
      </c>
      <c r="H26" s="128">
        <f>[3]Republic!$HF$48</f>
        <v>0</v>
      </c>
      <c r="I26" s="128">
        <f>[3]Republic_UA!$HF$48</f>
        <v>0</v>
      </c>
      <c r="J26" s="128">
        <f>'[3]Sky Regional'!$HF$48</f>
        <v>0</v>
      </c>
      <c r="K26" s="128">
        <f>'[3]American Eagle'!$HF$48</f>
        <v>0</v>
      </c>
      <c r="L26" s="128">
        <f>'Other Regional'!K26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708</v>
      </c>
      <c r="H27" s="131">
        <f t="shared" si="13"/>
        <v>3</v>
      </c>
      <c r="I27" s="131">
        <f t="shared" si="13"/>
        <v>0</v>
      </c>
      <c r="J27" s="131">
        <f t="shared" si="13"/>
        <v>0</v>
      </c>
      <c r="K27" s="131">
        <f t="shared" si="13"/>
        <v>1993</v>
      </c>
      <c r="L27" s="131">
        <f t="shared" si="13"/>
        <v>0</v>
      </c>
      <c r="M27" s="132">
        <f>SUM(B27:L27)</f>
        <v>2704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[3]Pinnacle!$HF$52</f>
        <v>0</v>
      </c>
      <c r="C30" s="130">
        <f>[3]MESA_UA!$HF$52</f>
        <v>0</v>
      </c>
      <c r="D30" s="128">
        <f>'[3]Sky West'!$HF$52</f>
        <v>0</v>
      </c>
      <c r="E30" s="128">
        <f>'[3]Sky West_UA'!$HF$52</f>
        <v>0</v>
      </c>
      <c r="F30" s="128">
        <f>'[3]Sky West_AS'!$HF$52</f>
        <v>0</v>
      </c>
      <c r="G30" s="128">
        <f>'[3]Sky West_AA'!$HF$52</f>
        <v>60</v>
      </c>
      <c r="H30" s="128">
        <f>[3]Republic!$HF$52</f>
        <v>62</v>
      </c>
      <c r="I30" s="128">
        <f>[3]Republic_UA!$HF$52</f>
        <v>0</v>
      </c>
      <c r="J30" s="128">
        <f>'[3]Sky Regional'!$HF$52</f>
        <v>0</v>
      </c>
      <c r="K30" s="128">
        <f>'[3]American Eagle'!$HF$52</f>
        <v>216</v>
      </c>
      <c r="L30" s="128">
        <f>'Other Regional'!K30</f>
        <v>0</v>
      </c>
      <c r="M30" s="108">
        <f t="shared" ref="M30:M37" si="15">SUM(B30:L30)</f>
        <v>338</v>
      </c>
    </row>
    <row r="31" spans="1:13" x14ac:dyDescent="0.2">
      <c r="A31" s="73" t="s">
        <v>60</v>
      </c>
      <c r="B31" s="128">
        <f>[3]Pinnacle!$HF$53</f>
        <v>0</v>
      </c>
      <c r="C31" s="130">
        <f>[3]MESA_UA!$HF$53</f>
        <v>0</v>
      </c>
      <c r="D31" s="128">
        <f>'[3]Sky West'!$HF$53</f>
        <v>0</v>
      </c>
      <c r="E31" s="128">
        <f>'[3]Sky West_UA'!$HF$53</f>
        <v>0</v>
      </c>
      <c r="F31" s="128">
        <f>'[3]Sky West_AS'!$HF$53</f>
        <v>0</v>
      </c>
      <c r="G31" s="128">
        <f>'[3]Sky West_AA'!$HF$53</f>
        <v>0</v>
      </c>
      <c r="H31" s="128">
        <f>[3]Republic!$HF$53</f>
        <v>0</v>
      </c>
      <c r="I31" s="128">
        <f>[3]Republic_UA!$HF$53</f>
        <v>0</v>
      </c>
      <c r="J31" s="128">
        <f>'[3]Sky Regional'!$HF$53</f>
        <v>0</v>
      </c>
      <c r="K31" s="128">
        <f>'[3]American Eagle'!$HF$53</f>
        <v>0</v>
      </c>
      <c r="L31" s="128">
        <f>'Other Regional'!K31</f>
        <v>0</v>
      </c>
      <c r="M31" s="108">
        <f t="shared" si="15"/>
        <v>0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60</v>
      </c>
      <c r="H32" s="131">
        <f t="shared" si="16"/>
        <v>62</v>
      </c>
      <c r="I32" s="131">
        <f t="shared" si="16"/>
        <v>0</v>
      </c>
      <c r="J32" s="131">
        <f t="shared" si="16"/>
        <v>0</v>
      </c>
      <c r="K32" s="131">
        <f t="shared" si="16"/>
        <v>216</v>
      </c>
      <c r="L32" s="131">
        <f>SUM(L30:L31)</f>
        <v>0</v>
      </c>
      <c r="M32" s="132">
        <f t="shared" si="15"/>
        <v>338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[3]Pinnacle!$HF$57</f>
        <v>0</v>
      </c>
      <c r="C35" s="130">
        <f>[3]MESA_UA!$HF$57</f>
        <v>0</v>
      </c>
      <c r="D35" s="128">
        <f>'[3]Sky West'!$HF$57</f>
        <v>0</v>
      </c>
      <c r="E35" s="128">
        <f>'[3]Sky West_UA'!$HF$57</f>
        <v>0</v>
      </c>
      <c r="F35" s="128">
        <f>'[3]Sky West_AS'!$HF$57</f>
        <v>0</v>
      </c>
      <c r="G35" s="128">
        <f>'[3]Sky West_AA'!$HF$57</f>
        <v>0</v>
      </c>
      <c r="H35" s="128">
        <f>[3]Republic!$HF$57</f>
        <v>0</v>
      </c>
      <c r="I35" s="128">
        <f>[3]Republic!$HF$57</f>
        <v>0</v>
      </c>
      <c r="J35" s="128">
        <f>[3]Republic!$HF$57</f>
        <v>0</v>
      </c>
      <c r="K35" s="128">
        <f>'[3]American Eagle'!$HF$57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[3]Pinnacle!$HF$58</f>
        <v>0</v>
      </c>
      <c r="C36" s="130">
        <f>[3]MESA_UA!$HF$58</f>
        <v>0</v>
      </c>
      <c r="D36" s="128">
        <f>'[3]Sky West'!$HF$58</f>
        <v>0</v>
      </c>
      <c r="E36" s="128">
        <f>'[3]Sky West_UA'!$HF$58</f>
        <v>0</v>
      </c>
      <c r="F36" s="128">
        <f>'[3]Sky West_AS'!$HF$58</f>
        <v>0</v>
      </c>
      <c r="G36" s="128">
        <f>'[3]Sky West_AA'!$HF$58</f>
        <v>0</v>
      </c>
      <c r="H36" s="128">
        <f>[3]Republic!$HF$58</f>
        <v>0</v>
      </c>
      <c r="I36" s="128">
        <f>[3]Republic!$HF$58</f>
        <v>0</v>
      </c>
      <c r="J36" s="128">
        <f>[3]Republic!$HF$58</f>
        <v>0</v>
      </c>
      <c r="K36" s="128">
        <f>'[3]American Eagle'!$HF$58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768</v>
      </c>
      <c r="H40" s="128">
        <f t="shared" si="20"/>
        <v>65</v>
      </c>
      <c r="I40" s="128">
        <f t="shared" si="20"/>
        <v>0</v>
      </c>
      <c r="J40" s="128">
        <f t="shared" si="20"/>
        <v>0</v>
      </c>
      <c r="K40" s="128">
        <f>SUM(K35,K30,K25)</f>
        <v>2209</v>
      </c>
      <c r="L40" s="128">
        <f>L35+L30+L25</f>
        <v>0</v>
      </c>
      <c r="M40" s="108">
        <f>SUM(B40:L40)</f>
        <v>3042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0</v>
      </c>
      <c r="M41" s="108">
        <f>SUM(B41:L41)</f>
        <v>0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768</v>
      </c>
      <c r="H42" s="134">
        <f t="shared" si="20"/>
        <v>65</v>
      </c>
      <c r="I42" s="134">
        <f t="shared" si="20"/>
        <v>0</v>
      </c>
      <c r="J42" s="134">
        <f t="shared" si="20"/>
        <v>0</v>
      </c>
      <c r="K42" s="134">
        <f>SUM(K37,K32,K27)</f>
        <v>2209</v>
      </c>
      <c r="L42" s="134">
        <f>SUM(L37,L32,L27)</f>
        <v>0</v>
      </c>
      <c r="M42" s="135">
        <f>SUM(B42:L42)</f>
        <v>3042</v>
      </c>
    </row>
    <row r="44" spans="1:13" x14ac:dyDescent="0.2">
      <c r="A44" s="348" t="s">
        <v>121</v>
      </c>
      <c r="B44" s="293">
        <f>[3]Pinnacle!$HF$70+[3]Pinnacle!$HF$73</f>
        <v>14405</v>
      </c>
      <c r="D44" s="294">
        <f>'[3]Sky West'!$HF$70+'[3]Sky West'!$HF$73</f>
        <v>40672</v>
      </c>
      <c r="E44" s="5"/>
      <c r="F44" s="5"/>
      <c r="G44" s="5"/>
      <c r="L44" s="294">
        <f>+'Other Regional'!K46</f>
        <v>0</v>
      </c>
      <c r="M44" s="282">
        <f>SUM(B44:L44)</f>
        <v>55077</v>
      </c>
    </row>
    <row r="45" spans="1:13" x14ac:dyDescent="0.2">
      <c r="A45" s="362" t="s">
        <v>122</v>
      </c>
      <c r="B45" s="293">
        <f>[3]Pinnacle!$HF$71+[3]Pinnacle!$HF$74</f>
        <v>38054</v>
      </c>
      <c r="D45" s="294">
        <f>'[3]Sky West'!$HF$71+'[3]Sky West'!$HF$74</f>
        <v>67190</v>
      </c>
      <c r="E45" s="5"/>
      <c r="F45" s="5"/>
      <c r="G45" s="5"/>
      <c r="L45" s="294">
        <f>+'Other Regional'!K47</f>
        <v>0</v>
      </c>
      <c r="M45" s="282">
        <f>SUM(B45:L45)</f>
        <v>105244</v>
      </c>
    </row>
    <row r="46" spans="1:13" x14ac:dyDescent="0.2">
      <c r="A46" s="284" t="s">
        <v>123</v>
      </c>
      <c r="B46" s="285">
        <f>SUM(B44:B45)</f>
        <v>52459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March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C1" sqref="C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44256</v>
      </c>
      <c r="B2" s="464" t="s">
        <v>171</v>
      </c>
      <c r="C2" s="464" t="s">
        <v>170</v>
      </c>
      <c r="D2" s="464" t="s">
        <v>197</v>
      </c>
      <c r="E2" s="538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America'!$HF$22</f>
        <v>0</v>
      </c>
      <c r="C5" s="129">
        <f>'[3]Shuttle America_Delta'!$HF$22</f>
        <v>0</v>
      </c>
      <c r="D5" s="426">
        <f>[3]Horizon_AS!$HF$22</f>
        <v>0</v>
      </c>
      <c r="E5" s="426">
        <f>'[3]Air Wisconsin'!$HF$22</f>
        <v>0</v>
      </c>
      <c r="F5" s="426">
        <f>[3]PSA!$HF$22</f>
        <v>0</v>
      </c>
      <c r="G5" s="129">
        <f>'[3]Atlantic Southeast'!$HF$22+'[3]Atlantic Southeast'!$HF$32</f>
        <v>0</v>
      </c>
      <c r="H5" s="129">
        <f>'[3]Continental Express'!$HF$22</f>
        <v>0</v>
      </c>
      <c r="I5" s="128">
        <f>'[3]Go Jet_UA'!$HF$22</f>
        <v>0</v>
      </c>
      <c r="J5" s="20">
        <f>'[3]Go Jet'!$HF$22+'[3]Go Jet'!$HF$32</f>
        <v>0</v>
      </c>
      <c r="K5" s="108">
        <f>SUM(B5:J5)</f>
        <v>0</v>
      </c>
    </row>
    <row r="6" spans="1:11" s="10" customFormat="1" x14ac:dyDescent="0.2">
      <c r="A6" s="60" t="s">
        <v>31</v>
      </c>
      <c r="B6" s="129">
        <f>'[3]Shuttle America'!$HF$23</f>
        <v>0</v>
      </c>
      <c r="C6" s="129">
        <f>'[3]Shuttle America_Delta'!$HF$23</f>
        <v>0</v>
      </c>
      <c r="D6" s="426">
        <f>[3]Horizon_AS!$HF$23</f>
        <v>0</v>
      </c>
      <c r="E6" s="426">
        <f>'[3]Air Wisconsin'!$HF$23</f>
        <v>0</v>
      </c>
      <c r="F6" s="426">
        <f>[3]PSA!$HF$23</f>
        <v>0</v>
      </c>
      <c r="G6" s="129">
        <f>'[3]Atlantic Southeast'!$HF$23+'[3]Atlantic Southeast'!$HF$33</f>
        <v>0</v>
      </c>
      <c r="H6" s="129">
        <f>'[3]Continental Express'!$HF$23</f>
        <v>0</v>
      </c>
      <c r="I6" s="128">
        <f>'[3]Go Jet_UA'!$HF$23</f>
        <v>0</v>
      </c>
      <c r="J6" s="13">
        <f>'[3]Go Jet'!$HF$23+'[3]Go Jet'!$HF$33</f>
        <v>0</v>
      </c>
      <c r="K6" s="113">
        <f>SUM(B6:J6)</f>
        <v>0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0</v>
      </c>
      <c r="E7" s="131">
        <f t="shared" si="1"/>
        <v>0</v>
      </c>
      <c r="F7" s="131">
        <f t="shared" si="0"/>
        <v>0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0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America'!$HF$27</f>
        <v>0</v>
      </c>
      <c r="C10" s="129">
        <f>'[3]Shuttle America_Delta'!$HF$27</f>
        <v>0</v>
      </c>
      <c r="D10" s="426">
        <f>[3]Horizon_AS!$HF$27</f>
        <v>0</v>
      </c>
      <c r="E10" s="426">
        <f>'[3]Air Wisconsin'!$HF$27</f>
        <v>0</v>
      </c>
      <c r="F10" s="426">
        <f>[3]PSA!$HF$27</f>
        <v>0</v>
      </c>
      <c r="G10" s="20">
        <f>'[3]Atlantic Southeast'!$HF$27+'[3]Atlantic Southeast'!$HF$37</f>
        <v>0</v>
      </c>
      <c r="H10" s="129">
        <f>'[3]Continental Express'!$HF$27</f>
        <v>0</v>
      </c>
      <c r="I10" s="128">
        <f>'[3]Go Jet_UA'!$HF$27</f>
        <v>0</v>
      </c>
      <c r="J10" s="20">
        <f>'[3]Go Jet'!$HF$27+'[3]Go Jet'!$HF$37</f>
        <v>0</v>
      </c>
      <c r="K10" s="108">
        <f>SUM(B10:J10)</f>
        <v>0</v>
      </c>
    </row>
    <row r="11" spans="1:11" x14ac:dyDescent="0.2">
      <c r="A11" s="60" t="s">
        <v>33</v>
      </c>
      <c r="B11" s="129">
        <f>'[3]Shuttle America'!$HF$28</f>
        <v>0</v>
      </c>
      <c r="C11" s="129">
        <f>'[3]Shuttle America_Delta'!$HF$28</f>
        <v>0</v>
      </c>
      <c r="D11" s="426">
        <f>[3]Horizon_AS!$HF$28</f>
        <v>0</v>
      </c>
      <c r="E11" s="426">
        <f>'[3]Air Wisconsin'!$HF$28</f>
        <v>0</v>
      </c>
      <c r="F11" s="426">
        <f>[3]PSA!$HF$28</f>
        <v>0</v>
      </c>
      <c r="G11" s="13">
        <f>'[3]Atlantic Southeast'!$HF$28+'[3]Atlantic Southeast'!$HF$38</f>
        <v>0</v>
      </c>
      <c r="H11" s="129">
        <f>'[3]Continental Express'!$HF$28</f>
        <v>0</v>
      </c>
      <c r="I11" s="128">
        <f>'[3]Go Jet_UA'!$HF$28</f>
        <v>0</v>
      </c>
      <c r="J11" s="13">
        <f>'[3]Go Jet'!$HF$28+'[3]Go Jet'!$HF$38</f>
        <v>0</v>
      </c>
      <c r="K11" s="113">
        <f>SUM(B11:J11)</f>
        <v>0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0</v>
      </c>
      <c r="E12" s="134">
        <f t="shared" ref="E12" si="3">SUM(E10:E11)</f>
        <v>0</v>
      </c>
      <c r="F12" s="134">
        <f t="shared" si="2"/>
        <v>0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0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America'!$HF$4</f>
        <v>0</v>
      </c>
      <c r="C15" s="104">
        <f>'[3]Shuttle America_Delta'!$HF$4</f>
        <v>0</v>
      </c>
      <c r="D15" s="427">
        <f>[3]Horizon_AS!$HF$4</f>
        <v>0</v>
      </c>
      <c r="E15" s="427">
        <f>'[3]Air Wisconsin'!$HF$4</f>
        <v>0</v>
      </c>
      <c r="F15" s="427">
        <f>[3]PSA!$HF$4</f>
        <v>0</v>
      </c>
      <c r="G15" s="105">
        <f>'[3]Atlantic Southeast'!$HF$4+'[3]Atlantic Southeast'!$HF$15</f>
        <v>0</v>
      </c>
      <c r="H15" s="105">
        <f>'[3]Continental Express'!$HF$4</f>
        <v>0</v>
      </c>
      <c r="I15" s="104">
        <f>'[3]Go Jet_UA'!$HF$4</f>
        <v>0</v>
      </c>
      <c r="J15" s="20">
        <f>'[3]Go Jet'!$HF$4+'[3]Go Jet'!$HF$15</f>
        <v>0</v>
      </c>
      <c r="K15" s="108">
        <f t="shared" ref="K15:K21" si="6">SUM(B15:J15)</f>
        <v>0</v>
      </c>
    </row>
    <row r="16" spans="1:11" x14ac:dyDescent="0.2">
      <c r="A16" s="60" t="s">
        <v>54</v>
      </c>
      <c r="B16" s="109">
        <f>'[3]Shuttle America'!$HF$5</f>
        <v>0</v>
      </c>
      <c r="C16" s="109">
        <f>'[3]Shuttle America_Delta'!$HF$5</f>
        <v>0</v>
      </c>
      <c r="D16" s="428">
        <f>[3]Horizon_AS!$HF$5</f>
        <v>0</v>
      </c>
      <c r="E16" s="428">
        <f>'[3]Air Wisconsin'!$HF$5</f>
        <v>0</v>
      </c>
      <c r="F16" s="428">
        <f>[3]PSA!$HF$5</f>
        <v>0</v>
      </c>
      <c r="G16" s="110">
        <f>'[3]Atlantic Southeast'!$HF$5+'[3]Atlantic Southeast'!$HF$16</f>
        <v>0</v>
      </c>
      <c r="H16" s="110">
        <f>'[3]Continental Express'!$HF$5</f>
        <v>0</v>
      </c>
      <c r="I16" s="109">
        <f>'[3]Go Jet_UA'!$HF$5</f>
        <v>0</v>
      </c>
      <c r="J16" s="13">
        <f>'[3]Go Jet'!$HF$5+'[3]Go Jet'!$HF$16</f>
        <v>0</v>
      </c>
      <c r="K16" s="113">
        <f t="shared" si="6"/>
        <v>0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0</v>
      </c>
      <c r="E17" s="114">
        <f t="shared" ref="E17" si="8">SUM(E15:E16)</f>
        <v>0</v>
      </c>
      <c r="F17" s="114">
        <f t="shared" si="7"/>
        <v>0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0</v>
      </c>
    </row>
    <row r="18" spans="1:14" x14ac:dyDescent="0.2">
      <c r="A18" s="60" t="s">
        <v>56</v>
      </c>
      <c r="B18" s="116">
        <f>'[3]Shuttle America'!$HF$8</f>
        <v>0</v>
      </c>
      <c r="C18" s="116">
        <f>'[3]Shuttle America_Delta'!$HF$8</f>
        <v>0</v>
      </c>
      <c r="D18" s="116">
        <f>[3]Horizon_AS!$HF$8</f>
        <v>0</v>
      </c>
      <c r="E18" s="116">
        <f>'[3]Air Wisconsin'!$HF$8</f>
        <v>0</v>
      </c>
      <c r="F18" s="116">
        <f>[3]PSA!$HF$8</f>
        <v>0</v>
      </c>
      <c r="G18" s="107">
        <f>'[3]Atlantic Southeast'!$HF$8</f>
        <v>0</v>
      </c>
      <c r="H18" s="107">
        <f>'[3]Continental Express'!$HF$8</f>
        <v>0</v>
      </c>
      <c r="I18" s="116">
        <f>'[3]Go Jet_UA'!$HF$8</f>
        <v>0</v>
      </c>
      <c r="J18" s="20">
        <f>'[3]Go Jet'!$HF$8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America'!$HF$9</f>
        <v>0</v>
      </c>
      <c r="C19" s="118">
        <f>'[3]Shuttle America_Delta'!$HF$9</f>
        <v>0</v>
      </c>
      <c r="D19" s="118">
        <f>[3]Horizon_AS!$HF$9</f>
        <v>0</v>
      </c>
      <c r="E19" s="118">
        <f>'[3]Air Wisconsin'!$HF$9</f>
        <v>0</v>
      </c>
      <c r="F19" s="118">
        <f>[3]PSA!$HF$9</f>
        <v>0</v>
      </c>
      <c r="G19" s="112">
        <f>'[3]Atlantic Southeast'!$HF$9</f>
        <v>0</v>
      </c>
      <c r="H19" s="112">
        <f>'[3]Continental Express'!$HF$9</f>
        <v>0</v>
      </c>
      <c r="I19" s="118">
        <f>'[3]Go Jet_UA'!$HF$9</f>
        <v>0</v>
      </c>
      <c r="J19" s="13">
        <f>'[3]Go Jet'!$HF$9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0</v>
      </c>
      <c r="E21" s="120">
        <f t="shared" ref="E21" si="14">SUM(E20,E17)</f>
        <v>0</v>
      </c>
      <c r="F21" s="120">
        <f t="shared" si="13"/>
        <v>0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0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America'!$HF$47</f>
        <v>0</v>
      </c>
      <c r="C25" s="128">
        <f>'[3]Shuttle America_Delta'!$HF$47</f>
        <v>0</v>
      </c>
      <c r="D25" s="128">
        <f>[3]Horizon_AS!$HF$47</f>
        <v>0</v>
      </c>
      <c r="E25" s="128">
        <f>'[3]Air Wisconsin'!$HF$47</f>
        <v>0</v>
      </c>
      <c r="F25" s="128">
        <f>[3]PSA!$HF$47</f>
        <v>0</v>
      </c>
      <c r="G25" s="129">
        <f>'[3]Atlantic Southeast'!$HF$47</f>
        <v>0</v>
      </c>
      <c r="H25" s="129">
        <f>'[3]Continental Express'!$HF$47</f>
        <v>0</v>
      </c>
      <c r="I25" s="128">
        <f>'[3]Go Jet_UA'!$HF$47</f>
        <v>0</v>
      </c>
      <c r="J25" s="128">
        <f>'[3]Go Jet'!$HF$47</f>
        <v>0</v>
      </c>
      <c r="K25" s="108">
        <f>SUM(B25:J25)</f>
        <v>0</v>
      </c>
    </row>
    <row r="26" spans="1:14" x14ac:dyDescent="0.2">
      <c r="A26" s="73" t="s">
        <v>38</v>
      </c>
      <c r="B26" s="128">
        <f>'[3]Shuttle America'!$HF$48</f>
        <v>0</v>
      </c>
      <c r="C26" s="128">
        <f>'[3]Shuttle America_Delta'!$HF$48</f>
        <v>0</v>
      </c>
      <c r="D26" s="128">
        <f>[3]Horizon_AS!$HF$48</f>
        <v>0</v>
      </c>
      <c r="E26" s="128">
        <f>'[3]Air Wisconsin'!$HF$48</f>
        <v>0</v>
      </c>
      <c r="F26" s="128">
        <f>[3]PSA!$HF$48</f>
        <v>0</v>
      </c>
      <c r="G26" s="129">
        <f>'[3]Atlantic Southeast'!$HF$48</f>
        <v>0</v>
      </c>
      <c r="H26" s="129">
        <f>'[3]Continental Express'!$HF$48</f>
        <v>0</v>
      </c>
      <c r="I26" s="128">
        <f>'[3]Go Jet_UA'!$HF$48</f>
        <v>0</v>
      </c>
      <c r="J26" s="128">
        <f>'[3]Go Jet'!$HF$48</f>
        <v>0</v>
      </c>
      <c r="K26" s="108">
        <f>SUM(B26:J26)</f>
        <v>0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0</v>
      </c>
      <c r="E27" s="131">
        <f t="shared" ref="E27" si="18">SUM(E25:E26)</f>
        <v>0</v>
      </c>
      <c r="F27" s="131">
        <f t="shared" si="17"/>
        <v>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0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America'!$HF$52</f>
        <v>0</v>
      </c>
      <c r="C30" s="128">
        <f>'[3]Shuttle America_Delta'!$HF$52</f>
        <v>0</v>
      </c>
      <c r="D30" s="128">
        <f>[3]Horizon_AS!$HF$52</f>
        <v>0</v>
      </c>
      <c r="E30" s="128">
        <f>'[3]Air Wisconsin'!$HF$52</f>
        <v>0</v>
      </c>
      <c r="F30" s="128">
        <f>[3]PSA!$HF$52</f>
        <v>0</v>
      </c>
      <c r="G30" s="129">
        <f>'[3]Atlantic Southeast'!$HF$52</f>
        <v>0</v>
      </c>
      <c r="H30" s="129">
        <f>'[3]Continental Express'!$HF$52</f>
        <v>0</v>
      </c>
      <c r="I30" s="128">
        <f>'[3]Go Jet_UA'!$HF$52</f>
        <v>0</v>
      </c>
      <c r="J30" s="128">
        <f>'[3]Go Jet'!$HF$52</f>
        <v>0</v>
      </c>
      <c r="K30" s="108">
        <f>SUM(B30:J30)</f>
        <v>0</v>
      </c>
    </row>
    <row r="31" spans="1:14" x14ac:dyDescent="0.2">
      <c r="A31" s="73" t="s">
        <v>60</v>
      </c>
      <c r="B31" s="128">
        <f>'[3]Shuttle America'!$HF$53</f>
        <v>0</v>
      </c>
      <c r="C31" s="128">
        <f>'[3]Shuttle America_Delta'!$HF$53</f>
        <v>0</v>
      </c>
      <c r="D31" s="128">
        <f>[3]Horizon_AS!$HF$53</f>
        <v>0</v>
      </c>
      <c r="E31" s="128">
        <f>'[3]Air Wisconsin'!$HF$53</f>
        <v>0</v>
      </c>
      <c r="F31" s="128">
        <f>[3]PSA!$HF$53</f>
        <v>0</v>
      </c>
      <c r="G31" s="129">
        <f>'[3]Atlantic Southeast'!$HF$53</f>
        <v>0</v>
      </c>
      <c r="H31" s="129">
        <f>'[3]Continental Express'!$HF$53</f>
        <v>0</v>
      </c>
      <c r="I31" s="128">
        <f>'[3]Go Jet_UA'!$HF$53</f>
        <v>0</v>
      </c>
      <c r="J31" s="128">
        <f>'[3]Go Jet'!$HF$53</f>
        <v>0</v>
      </c>
      <c r="K31" s="108">
        <f>SUM(B31:J31)</f>
        <v>0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0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0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America'!$HF$57</f>
        <v>0</v>
      </c>
      <c r="C35" s="128">
        <f>'[3]Shuttle America_Delta'!$HF$57</f>
        <v>0</v>
      </c>
      <c r="D35" s="128">
        <f>[3]Horizon_AS!$HF$57</f>
        <v>0</v>
      </c>
      <c r="E35" s="128">
        <f>'[3]Air Wisconsin'!$HF$57</f>
        <v>0</v>
      </c>
      <c r="F35" s="128">
        <f>[3]PSA!$HF$57</f>
        <v>0</v>
      </c>
      <c r="G35" s="129">
        <f>'[3]Atlantic Southeast'!$HF$57</f>
        <v>0</v>
      </c>
      <c r="H35" s="129">
        <f>'[3]Continental Express'!$HF$57</f>
        <v>0</v>
      </c>
      <c r="I35" s="128">
        <f>'[3]Go Jet_UA'!$AJ$57</f>
        <v>0</v>
      </c>
      <c r="J35" s="128">
        <f>'[3]Go Jet'!$HF$57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0</v>
      </c>
      <c r="E40" s="128">
        <f t="shared" ref="E40" si="28">SUM(E35,E30,E25)</f>
        <v>0</v>
      </c>
      <c r="F40" s="128">
        <f t="shared" si="27"/>
        <v>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0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0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0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0</v>
      </c>
      <c r="E42" s="134">
        <f t="shared" ref="E42" si="34">SUM(E40:E41)</f>
        <v>0</v>
      </c>
      <c r="F42" s="134">
        <f t="shared" si="33"/>
        <v>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0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America_Delta'!$HF$70+'[3]Shuttle America_Delta'!$HF$73</f>
        <v>0</v>
      </c>
      <c r="D46" s="5"/>
      <c r="E46" s="5"/>
      <c r="G46" s="294">
        <f>'[3]Atlantic Southeast'!$HF$70+'[3]Atlantic Southeast'!$HF$73</f>
        <v>0</v>
      </c>
      <c r="J46" s="294">
        <f>'[3]Go Jet'!$HF$70+'[3]Go Jet'!$HF$73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America_Delta'!$HF$71+'[3]Shuttle America_Delta'!$HF$74</f>
        <v>0</v>
      </c>
      <c r="D47" s="5"/>
      <c r="E47" s="5"/>
      <c r="G47" s="294">
        <f>'[3]Atlantic Southeast'!$HF$71+'[3]Atlantic Southeast'!$HF$74</f>
        <v>0</v>
      </c>
      <c r="J47" s="294">
        <f>'[3]Go Jet'!$HF$71+'[3]Go Jet'!$HF$74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March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7" zoomScale="115" zoomScaleNormal="115" workbookViewId="0">
      <selection activeCell="E14" sqref="E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44256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Misc'!$HF$22</f>
        <v>0</v>
      </c>
      <c r="C5" s="179">
        <f>[3]Ryan!$HF$22</f>
        <v>0</v>
      </c>
      <c r="D5" s="179">
        <f>'[3]Charter Misc'!$HF$32</f>
        <v>0</v>
      </c>
      <c r="E5" s="179">
        <f>[3]Omni!$HF$32+[3]Omni!$HF$22</f>
        <v>0</v>
      </c>
      <c r="F5" s="179">
        <f>[3]Xtra!$HF$32+[3]Xtra!$HF$22</f>
        <v>0</v>
      </c>
      <c r="G5" s="312">
        <f>SUM(B5:F5)</f>
        <v>0</v>
      </c>
    </row>
    <row r="6" spans="1:17" x14ac:dyDescent="0.2">
      <c r="A6" s="60" t="s">
        <v>31</v>
      </c>
      <c r="B6" s="391">
        <f>'[3]Charter Misc'!$HF$23</f>
        <v>0</v>
      </c>
      <c r="C6" s="182">
        <f>[3]Ryan!$HF$23</f>
        <v>0</v>
      </c>
      <c r="D6" s="182">
        <f>'[3]Charter Misc'!$HF$33</f>
        <v>0</v>
      </c>
      <c r="E6" s="182">
        <f>[3]Omni!$HF$33+[3]Omni!$HF$23</f>
        <v>0</v>
      </c>
      <c r="F6" s="182">
        <f>[3]Xtra!$HF$33+[3]Xtra!$HF$23</f>
        <v>0</v>
      </c>
      <c r="G6" s="311">
        <f>SUM(B6:F6)</f>
        <v>0</v>
      </c>
    </row>
    <row r="7" spans="1:17" ht="15.75" thickBot="1" x14ac:dyDescent="0.3">
      <c r="A7" s="178" t="s">
        <v>7</v>
      </c>
      <c r="B7" s="392">
        <f>SUM(B5:B6)</f>
        <v>0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0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Misc'!$HF$4</f>
        <v>0</v>
      </c>
      <c r="C10" s="179">
        <f>[3]Ryan!$HF$4</f>
        <v>0</v>
      </c>
      <c r="D10" s="179">
        <f>'[3]Charter Misc'!$HF$15</f>
        <v>0</v>
      </c>
      <c r="E10" s="179">
        <f>[3]Omni!$HF$15</f>
        <v>0</v>
      </c>
      <c r="F10" s="179">
        <f>[3]Xtra!$HF$15+[3]Xtra!$HF$4</f>
        <v>0</v>
      </c>
      <c r="G10" s="311">
        <f>SUM(B10:F10)</f>
        <v>0</v>
      </c>
    </row>
    <row r="11" spans="1:17" x14ac:dyDescent="0.2">
      <c r="A11" s="177" t="s">
        <v>80</v>
      </c>
      <c r="B11" s="390">
        <f>'[3]Charter Misc'!$HF$5</f>
        <v>0</v>
      </c>
      <c r="C11" s="179">
        <f>[3]Ryan!$HF$5</f>
        <v>0</v>
      </c>
      <c r="D11" s="179">
        <f>'[3]Charter Misc'!$HF$16</f>
        <v>0</v>
      </c>
      <c r="E11" s="179">
        <f>[3]Omni!$HF$16+[3]Omni!$HF$5</f>
        <v>0</v>
      </c>
      <c r="F11" s="179">
        <f>[3]Xtra!$HF$16+[3]Xtra!$HF$5</f>
        <v>0</v>
      </c>
      <c r="G11" s="311">
        <f>SUM(B11:F11)</f>
        <v>0</v>
      </c>
    </row>
    <row r="12" spans="1:17" ht="15.75" thickBot="1" x14ac:dyDescent="0.3">
      <c r="A12" s="250" t="s">
        <v>28</v>
      </c>
      <c r="B12" s="394">
        <f>SUM(B10:B11)</f>
        <v>0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0</v>
      </c>
      <c r="Q12" s="128"/>
    </row>
    <row r="17" spans="1:16" x14ac:dyDescent="0.2">
      <c r="B17" s="554" t="s">
        <v>150</v>
      </c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6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7" t="s">
        <v>118</v>
      </c>
      <c r="C19" s="558"/>
      <c r="D19" s="558"/>
      <c r="E19" s="559"/>
      <c r="G19" s="557" t="s">
        <v>119</v>
      </c>
      <c r="H19" s="560"/>
      <c r="I19" s="560"/>
      <c r="J19" s="561"/>
      <c r="L19" s="562" t="s">
        <v>120</v>
      </c>
      <c r="M19" s="563"/>
      <c r="N19" s="563"/>
      <c r="O19" s="564"/>
    </row>
    <row r="20" spans="1:16" ht="13.5" thickBot="1" x14ac:dyDescent="0.25">
      <c r="A20" s="210" t="s">
        <v>99</v>
      </c>
      <c r="B20" s="543" t="s">
        <v>100</v>
      </c>
      <c r="C20" s="547" t="s">
        <v>101</v>
      </c>
      <c r="D20" s="547" t="s">
        <v>230</v>
      </c>
      <c r="E20" s="542" t="s">
        <v>205</v>
      </c>
      <c r="F20" s="216" t="s">
        <v>96</v>
      </c>
      <c r="G20" s="8" t="s">
        <v>100</v>
      </c>
      <c r="H20" s="8" t="s">
        <v>101</v>
      </c>
      <c r="I20" s="521" t="s">
        <v>230</v>
      </c>
      <c r="J20" s="521" t="s">
        <v>205</v>
      </c>
      <c r="K20" s="216" t="s">
        <v>96</v>
      </c>
      <c r="L20" s="215" t="s">
        <v>100</v>
      </c>
      <c r="M20" s="209" t="s">
        <v>101</v>
      </c>
      <c r="N20" s="521" t="s">
        <v>230</v>
      </c>
      <c r="O20" s="521" t="s">
        <v>205</v>
      </c>
      <c r="P20" s="216" t="s">
        <v>96</v>
      </c>
    </row>
    <row r="21" spans="1:16" ht="14.1" customHeight="1" thickBot="1" x14ac:dyDescent="0.25">
      <c r="A21" s="219" t="s">
        <v>102</v>
      </c>
      <c r="B21" s="546">
        <f>+[4]Charter!$B$21</f>
        <v>31072</v>
      </c>
      <c r="C21" s="544">
        <f>+[4]Charter!$C$21</f>
        <v>25325</v>
      </c>
      <c r="D21" s="544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>SUM(G21:H21)</f>
        <v>1054440</v>
      </c>
      <c r="J21" s="307">
        <f>[5]Charter!$I$21</f>
        <v>2616372</v>
      </c>
      <c r="K21" s="220">
        <f t="shared" ref="K21:K32" si="3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226">
        <f>+[2]Charter!$B22</f>
        <v>22144</v>
      </c>
      <c r="C22" s="159">
        <f>+[2]Charter!C22</f>
        <v>24136</v>
      </c>
      <c r="D22" s="544">
        <f t="shared" ref="D22" si="4">SUM(B22:C22)</f>
        <v>46280</v>
      </c>
      <c r="E22" s="545">
        <f>[6]Charter!$D22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>SUM(G22:H22)</f>
        <v>1076686</v>
      </c>
      <c r="J22" s="309">
        <f>[6]Charter!$I$22</f>
        <v>2554827</v>
      </c>
      <c r="K22" s="223">
        <f t="shared" si="3"/>
        <v>-0.57856794217377538</v>
      </c>
      <c r="L22" s="305">
        <f>+[2]Charter!$L$22</f>
        <v>547653</v>
      </c>
      <c r="M22" s="306">
        <f>+[2]Charter!$M$22</f>
        <v>575313</v>
      </c>
      <c r="N22" s="306">
        <f>SUM(L22:M22)</f>
        <v>1122966</v>
      </c>
      <c r="O22" s="309">
        <f>[6]Charter!$N$22</f>
        <v>2860613</v>
      </c>
      <c r="P22" s="222">
        <f t="shared" ref="P22:P32" si="5">(N22-O22)/O22</f>
        <v>-0.60743868534471457</v>
      </c>
    </row>
    <row r="23" spans="1:16" ht="14.1" customHeight="1" x14ac:dyDescent="0.2">
      <c r="A23" s="221" t="s">
        <v>104</v>
      </c>
      <c r="B23" s="301">
        <f>'Intl Detail'!$P$4+'Intl Detail'!$P$9</f>
        <v>37142</v>
      </c>
      <c r="C23" s="303">
        <f>'Intl Detail'!$P$5+'Intl Detail'!$P$10</f>
        <v>41054</v>
      </c>
      <c r="D23" s="303">
        <f t="shared" ref="D23" si="6">SUM(B23:C23)</f>
        <v>78196</v>
      </c>
      <c r="E23" s="309">
        <f>[1]Charter!$D23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>SUM(G23:H23)</f>
        <v>1642699</v>
      </c>
      <c r="J23" s="309">
        <f>[1]Charter!I23</f>
        <v>1602785</v>
      </c>
      <c r="K23" s="223">
        <f t="shared" si="3"/>
        <v>2.4902903383797578E-2</v>
      </c>
      <c r="L23" s="301">
        <f>'Monthly Summary'!$B$11</f>
        <v>837902</v>
      </c>
      <c r="M23" s="303">
        <f>'Monthly Summary'!$C$11</f>
        <v>882993</v>
      </c>
      <c r="N23" s="302">
        <f>SUM(L23:M23)</f>
        <v>1720895</v>
      </c>
      <c r="O23" s="309">
        <f>[1]Charter!N23</f>
        <v>1788111</v>
      </c>
      <c r="P23" s="222">
        <f t="shared" si="5"/>
        <v>-3.7590507524421023E-2</v>
      </c>
    </row>
    <row r="24" spans="1:16" ht="14.1" customHeight="1" x14ac:dyDescent="0.2">
      <c r="A24" s="221" t="s">
        <v>105</v>
      </c>
      <c r="B24" s="301"/>
      <c r="C24" s="303"/>
      <c r="D24" s="302">
        <f t="shared" si="0"/>
        <v>0</v>
      </c>
      <c r="E24" s="308"/>
      <c r="F24" s="222" t="e">
        <f t="shared" si="1"/>
        <v>#DIV/0!</v>
      </c>
      <c r="G24" s="301"/>
      <c r="H24" s="303"/>
      <c r="I24" s="302">
        <f>SUM(G24:H24)</f>
        <v>0</v>
      </c>
      <c r="J24" s="308"/>
      <c r="K24" s="223" t="e">
        <f t="shared" si="3"/>
        <v>#DIV/0!</v>
      </c>
      <c r="L24" s="301"/>
      <c r="M24" s="303"/>
      <c r="N24" s="302">
        <f t="shared" ref="N24:N32" si="7">SUM(L24:M24)</f>
        <v>0</v>
      </c>
      <c r="O24" s="308"/>
      <c r="P24" s="222" t="e">
        <f t="shared" si="5"/>
        <v>#DIV/0!</v>
      </c>
    </row>
    <row r="25" spans="1:16" ht="14.1" customHeight="1" x14ac:dyDescent="0.2">
      <c r="A25" s="208" t="s">
        <v>75</v>
      </c>
      <c r="B25" s="301"/>
      <c r="C25" s="303"/>
      <c r="D25" s="302">
        <f t="shared" si="0"/>
        <v>0</v>
      </c>
      <c r="E25" s="308"/>
      <c r="F25" s="211" t="e">
        <f t="shared" si="1"/>
        <v>#DIV/0!</v>
      </c>
      <c r="G25" s="301"/>
      <c r="H25" s="303"/>
      <c r="I25" s="302">
        <f t="shared" ref="I25:I32" si="8">SUM(G25:H25)</f>
        <v>0</v>
      </c>
      <c r="J25" s="308"/>
      <c r="K25" s="217" t="e">
        <f t="shared" si="3"/>
        <v>#DIV/0!</v>
      </c>
      <c r="L25" s="301"/>
      <c r="M25" s="303"/>
      <c r="N25" s="302">
        <f t="shared" si="7"/>
        <v>0</v>
      </c>
      <c r="O25" s="308"/>
      <c r="P25" s="211" t="e">
        <f t="shared" si="5"/>
        <v>#DIV/0!</v>
      </c>
    </row>
    <row r="26" spans="1:16" ht="14.1" customHeight="1" x14ac:dyDescent="0.2">
      <c r="A26" s="221" t="s">
        <v>106</v>
      </c>
      <c r="B26" s="301"/>
      <c r="C26" s="303"/>
      <c r="D26" s="302">
        <f t="shared" si="0"/>
        <v>0</v>
      </c>
      <c r="E26" s="308"/>
      <c r="F26" s="222" t="e">
        <f t="shared" si="1"/>
        <v>#DIV/0!</v>
      </c>
      <c r="G26" s="301"/>
      <c r="H26" s="303"/>
      <c r="I26" s="302">
        <f t="shared" si="8"/>
        <v>0</v>
      </c>
      <c r="J26" s="308"/>
      <c r="K26" s="223" t="e">
        <f t="shared" si="3"/>
        <v>#DIV/0!</v>
      </c>
      <c r="L26" s="301"/>
      <c r="M26" s="303"/>
      <c r="N26" s="302">
        <f t="shared" si="7"/>
        <v>0</v>
      </c>
      <c r="O26" s="308"/>
      <c r="P26" s="222" t="e">
        <f t="shared" si="5"/>
        <v>#DIV/0!</v>
      </c>
    </row>
    <row r="27" spans="1:16" ht="14.1" customHeight="1" x14ac:dyDescent="0.2">
      <c r="A27" s="208" t="s">
        <v>107</v>
      </c>
      <c r="B27" s="301"/>
      <c r="C27" s="303"/>
      <c r="D27" s="302">
        <f t="shared" si="0"/>
        <v>0</v>
      </c>
      <c r="E27" s="308"/>
      <c r="F27" s="211" t="e">
        <f t="shared" si="1"/>
        <v>#DIV/0!</v>
      </c>
      <c r="G27" s="301"/>
      <c r="H27" s="303"/>
      <c r="I27" s="302">
        <f t="shared" si="8"/>
        <v>0</v>
      </c>
      <c r="J27" s="308"/>
      <c r="K27" s="217" t="e">
        <f t="shared" si="3"/>
        <v>#DIV/0!</v>
      </c>
      <c r="L27" s="301"/>
      <c r="M27" s="303"/>
      <c r="N27" s="302">
        <f t="shared" si="7"/>
        <v>0</v>
      </c>
      <c r="O27" s="308"/>
      <c r="P27" s="211" t="e">
        <f t="shared" si="5"/>
        <v>#DIV/0!</v>
      </c>
    </row>
    <row r="28" spans="1:16" ht="14.1" customHeight="1" x14ac:dyDescent="0.2">
      <c r="A28" s="221" t="s">
        <v>108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si="8"/>
        <v>0</v>
      </c>
      <c r="J28" s="308"/>
      <c r="K28" s="223" t="e">
        <f t="shared" si="3"/>
        <v>#DIV/0!</v>
      </c>
      <c r="L28" s="301"/>
      <c r="M28" s="303"/>
      <c r="N28" s="302">
        <f t="shared" si="7"/>
        <v>0</v>
      </c>
      <c r="O28" s="308"/>
      <c r="P28" s="222" t="e">
        <f t="shared" si="5"/>
        <v>#DIV/0!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8"/>
        <v>0</v>
      </c>
      <c r="J29" s="308"/>
      <c r="K29" s="217" t="e">
        <f t="shared" si="3"/>
        <v>#DIV/0!</v>
      </c>
      <c r="L29" s="301"/>
      <c r="M29" s="303"/>
      <c r="N29" s="302">
        <f t="shared" si="7"/>
        <v>0</v>
      </c>
      <c r="O29" s="308"/>
      <c r="P29" s="211" t="e">
        <f t="shared" si="5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3"/>
        <v>#DIV/0!</v>
      </c>
      <c r="L30" s="301"/>
      <c r="M30" s="303"/>
      <c r="N30" s="302">
        <f>SUM(L30:M30)</f>
        <v>0</v>
      </c>
      <c r="O30" s="308"/>
      <c r="P30" s="222" t="e">
        <f t="shared" si="5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8"/>
        <v>0</v>
      </c>
      <c r="J31" s="308"/>
      <c r="K31" s="217" t="e">
        <f t="shared" si="3"/>
        <v>#DIV/0!</v>
      </c>
      <c r="L31" s="301"/>
      <c r="M31" s="303"/>
      <c r="N31" s="302">
        <f>SUM(L31:M31)</f>
        <v>0</v>
      </c>
      <c r="O31" s="308"/>
      <c r="P31" s="211" t="e">
        <f t="shared" si="5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8"/>
        <v>0</v>
      </c>
      <c r="J32" s="308"/>
      <c r="K32" s="225" t="e">
        <f t="shared" si="3"/>
        <v>#DIV/0!</v>
      </c>
      <c r="L32" s="301"/>
      <c r="M32" s="303"/>
      <c r="N32" s="159">
        <f t="shared" si="7"/>
        <v>0</v>
      </c>
      <c r="O32" s="308"/>
      <c r="P32" s="225" t="e">
        <f t="shared" si="5"/>
        <v>#DIV/0!</v>
      </c>
    </row>
    <row r="33" spans="1:16" ht="13.5" thickBot="1" x14ac:dyDescent="0.25">
      <c r="A33" s="218" t="s">
        <v>76</v>
      </c>
      <c r="B33" s="228">
        <f>SUM(B21:B32)</f>
        <v>90358</v>
      </c>
      <c r="C33" s="229">
        <f>SUM(C21:C32)</f>
        <v>90515</v>
      </c>
      <c r="D33" s="229">
        <f>SUM(D21:D32)</f>
        <v>180873</v>
      </c>
      <c r="E33" s="230">
        <f>SUM(E21:E32)</f>
        <v>790183</v>
      </c>
      <c r="F33" s="213">
        <f>(D33-E33)/E33</f>
        <v>-0.7710998591465521</v>
      </c>
      <c r="G33" s="231">
        <f>SUM(G21:G32)</f>
        <v>1856397</v>
      </c>
      <c r="H33" s="229">
        <f>SUM(H21:H32)</f>
        <v>1917428</v>
      </c>
      <c r="I33" s="229">
        <f>SUM(I21:I32)</f>
        <v>3773825</v>
      </c>
      <c r="J33" s="232">
        <f>SUM(J21:J32)</f>
        <v>6773984</v>
      </c>
      <c r="K33" s="214">
        <f>(I33-J33)/J33</f>
        <v>-0.44289431448317562</v>
      </c>
      <c r="L33" s="231">
        <f>SUM(L21:L32)</f>
        <v>1946755</v>
      </c>
      <c r="M33" s="229">
        <f>SUM(M21:M32)</f>
        <v>2007943</v>
      </c>
      <c r="N33" s="229">
        <f>SUM(N21:N32)</f>
        <v>3954698</v>
      </c>
      <c r="O33" s="230">
        <f>SUM(O21:O32)</f>
        <v>7564167</v>
      </c>
      <c r="P33" s="212">
        <f>(N33-O33)/O33</f>
        <v>-0.47717997236179477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March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G5" sqref="G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4" customFormat="1" ht="16.5" thickBot="1" x14ac:dyDescent="0.3">
      <c r="B1" s="565" t="s">
        <v>212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7"/>
    </row>
    <row r="2" spans="1:20" s="185" customFormat="1" ht="43.5" customHeight="1" thickBot="1" x14ac:dyDescent="0.25">
      <c r="A2" s="351">
        <v>44256</v>
      </c>
      <c r="B2" s="410" t="s">
        <v>200</v>
      </c>
      <c r="C2" s="410" t="s">
        <v>176</v>
      </c>
      <c r="D2" s="482" t="s">
        <v>83</v>
      </c>
      <c r="E2" s="410" t="s">
        <v>213</v>
      </c>
      <c r="F2" s="467" t="s">
        <v>202</v>
      </c>
      <c r="G2" s="409" t="s">
        <v>81</v>
      </c>
      <c r="H2" s="467" t="s">
        <v>177</v>
      </c>
      <c r="I2" s="410" t="s">
        <v>214</v>
      </c>
      <c r="J2" s="467" t="s">
        <v>85</v>
      </c>
      <c r="K2" s="410" t="s">
        <v>215</v>
      </c>
      <c r="L2" s="410" t="s">
        <v>216</v>
      </c>
      <c r="M2" s="410" t="s">
        <v>217</v>
      </c>
      <c r="N2" s="409" t="s">
        <v>82</v>
      </c>
      <c r="O2" s="467" t="s">
        <v>127</v>
      </c>
      <c r="P2" s="467" t="s">
        <v>21</v>
      </c>
    </row>
    <row r="3" spans="1:20" ht="15" x14ac:dyDescent="0.25">
      <c r="A3" s="187" t="s">
        <v>9</v>
      </c>
      <c r="B3" s="483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4"/>
      <c r="R3" s="485"/>
      <c r="S3" s="485"/>
      <c r="T3" s="485"/>
    </row>
    <row r="4" spans="1:20" x14ac:dyDescent="0.2">
      <c r="A4" s="52" t="s">
        <v>53</v>
      </c>
      <c r="B4" s="226">
        <f>'[3]Atlas Air'!$HF$4</f>
        <v>15</v>
      </c>
      <c r="C4" s="473">
        <f>[3]DHL!$HF$4+[3]DHL_Atlas!$HF$4+[3]DHL_Atlas!$HF$8+[3]DHL_Atlas!$HF$15</f>
        <v>3</v>
      </c>
      <c r="D4" s="128">
        <f>[3]Bemidji!$HF$4</f>
        <v>224</v>
      </c>
      <c r="E4" s="473">
        <f>[3]DHL_Encore!$HF$4+[3]DHL_Encore!$HF$15</f>
        <v>44</v>
      </c>
      <c r="F4" s="473">
        <f>[3]Encore!$HF$4+[3]Encore!$HF$15</f>
        <v>0</v>
      </c>
      <c r="G4" s="473">
        <f>[3]FedEx!$HF$4+[3]FedEx!$HF$15</f>
        <v>152</v>
      </c>
      <c r="H4" s="473">
        <f>[3]IFL!$HF$4+[3]IFL!$HF$15</f>
        <v>19</v>
      </c>
      <c r="I4" s="473">
        <f>[3]DHL_Kalitta!$HF$4+[3]DHL_Kalitta!$HF$15</f>
        <v>20</v>
      </c>
      <c r="J4" s="128">
        <f>'[3]Mountain Cargo'!$HF$4</f>
        <v>22</v>
      </c>
      <c r="K4" s="473">
        <f>[3]DHL_Southair!$HF$4+[3]DHL_Southair!$HF$15</f>
        <v>0</v>
      </c>
      <c r="L4" s="473">
        <f>[3]DHL_Swift!$HF$4+[3]DHL_Swift!$HF$15</f>
        <v>4</v>
      </c>
      <c r="M4" s="473">
        <f>+'[3]Sun Country Cargo'!$HF$4+'[3]Sun Country Cargo'!$HF$8+'[3]Sun Country Cargo'!$HF$15</f>
        <v>47</v>
      </c>
      <c r="N4" s="473">
        <f>[3]UPS!$HF$4+[3]UPS!$HF$15</f>
        <v>151</v>
      </c>
      <c r="O4" s="128">
        <f>'[3]Misc Cargo'!$HF$4</f>
        <v>0</v>
      </c>
      <c r="P4" s="486">
        <f>SUM(B4:O4)</f>
        <v>701</v>
      </c>
      <c r="R4" s="485"/>
      <c r="S4" s="485"/>
      <c r="T4" s="283"/>
    </row>
    <row r="5" spans="1:20" x14ac:dyDescent="0.2">
      <c r="A5" s="52" t="s">
        <v>54</v>
      </c>
      <c r="B5" s="487">
        <f>'[3]Atlas Air'!$HF$5</f>
        <v>14</v>
      </c>
      <c r="C5" s="186">
        <f>[3]DHL!$HF$5+[3]DHL_Atlas!$HF$5+[3]DHL_Atlas!$HF$9+[3]DHL_Atlas!$HF$16</f>
        <v>3</v>
      </c>
      <c r="D5" s="118">
        <f>[3]Bemidji!$HF$5</f>
        <v>224</v>
      </c>
      <c r="E5" s="186">
        <f>[3]DHL_Encore!$HF$5</f>
        <v>44</v>
      </c>
      <c r="F5" s="186">
        <f>[3]Encore!$HF$5</f>
        <v>0</v>
      </c>
      <c r="G5" s="186">
        <f>[3]FedEx!$HF$5</f>
        <v>152</v>
      </c>
      <c r="H5" s="186">
        <f>[3]IFL!$HF$5</f>
        <v>19</v>
      </c>
      <c r="I5" s="186">
        <f>[3]DHL_Kalitta!$HF$5</f>
        <v>20</v>
      </c>
      <c r="J5" s="118">
        <f>'[3]Mountain Cargo'!$HF$5</f>
        <v>22</v>
      </c>
      <c r="K5" s="186">
        <f>[3]DHL_Southair!$HF$5</f>
        <v>0</v>
      </c>
      <c r="L5" s="186">
        <f>[3]DHL_Swift!$HF$5</f>
        <v>4</v>
      </c>
      <c r="M5" s="186">
        <f>+'[3]Sun Country Cargo'!$HF$5+'[3]Sun Country Cargo'!$HF$9+'[3]Sun Country Cargo'!$HF$16</f>
        <v>44</v>
      </c>
      <c r="N5" s="186">
        <f>[3]UPS!$HF$5+[3]UPS!$HF$16</f>
        <v>151</v>
      </c>
      <c r="O5" s="118">
        <f>'[3]Misc Cargo'!$HF$5</f>
        <v>0</v>
      </c>
      <c r="P5" s="486">
        <f t="shared" ref="P5:P10" si="0">SUM(B5:O5)</f>
        <v>697</v>
      </c>
      <c r="R5" s="485"/>
      <c r="S5" s="485"/>
      <c r="T5" s="283"/>
    </row>
    <row r="6" spans="1:20" s="183" customFormat="1" x14ac:dyDescent="0.2">
      <c r="A6" s="189" t="s">
        <v>55</v>
      </c>
      <c r="B6" s="488">
        <f t="shared" ref="B6:O6" si="1">SUM(B4:B5)</f>
        <v>29</v>
      </c>
      <c r="C6" s="489">
        <f t="shared" si="1"/>
        <v>6</v>
      </c>
      <c r="D6" s="468">
        <f t="shared" si="1"/>
        <v>448</v>
      </c>
      <c r="E6" s="489">
        <f t="shared" si="1"/>
        <v>88</v>
      </c>
      <c r="F6" s="489">
        <f t="shared" si="1"/>
        <v>0</v>
      </c>
      <c r="G6" s="489">
        <f t="shared" si="1"/>
        <v>304</v>
      </c>
      <c r="H6" s="489">
        <f t="shared" si="1"/>
        <v>38</v>
      </c>
      <c r="I6" s="489">
        <f t="shared" si="1"/>
        <v>40</v>
      </c>
      <c r="J6" s="468">
        <f t="shared" si="1"/>
        <v>44</v>
      </c>
      <c r="K6" s="489">
        <f t="shared" si="1"/>
        <v>0</v>
      </c>
      <c r="L6" s="489">
        <f t="shared" si="1"/>
        <v>8</v>
      </c>
      <c r="M6" s="489">
        <f t="shared" si="1"/>
        <v>91</v>
      </c>
      <c r="N6" s="489">
        <f t="shared" si="1"/>
        <v>302</v>
      </c>
      <c r="O6" s="468">
        <f t="shared" si="1"/>
        <v>0</v>
      </c>
      <c r="P6" s="486">
        <f t="shared" si="0"/>
        <v>1398</v>
      </c>
      <c r="T6" s="490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6"/>
      <c r="R7" s="491"/>
      <c r="S7" s="485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Cargo'!$HF$8</f>
        <v>0</v>
      </c>
      <c r="P8" s="486">
        <f t="shared" si="0"/>
        <v>0</v>
      </c>
      <c r="R8" s="485"/>
      <c r="S8" s="485"/>
      <c r="T8" s="283"/>
    </row>
    <row r="9" spans="1:20" ht="15" x14ac:dyDescent="0.25">
      <c r="A9" s="52" t="s">
        <v>57</v>
      </c>
      <c r="B9" s="487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Cargo'!$HF$9</f>
        <v>0</v>
      </c>
      <c r="P9" s="486">
        <f t="shared" si="0"/>
        <v>0</v>
      </c>
      <c r="R9" s="485"/>
      <c r="S9" s="492"/>
      <c r="T9" s="283"/>
    </row>
    <row r="10" spans="1:20" s="183" customFormat="1" x14ac:dyDescent="0.2">
      <c r="A10" s="189" t="s">
        <v>58</v>
      </c>
      <c r="B10" s="488">
        <f t="shared" ref="B10:O10" si="2">SUM(B8:B9)</f>
        <v>0</v>
      </c>
      <c r="C10" s="489">
        <f t="shared" si="2"/>
        <v>0</v>
      </c>
      <c r="D10" s="468">
        <f t="shared" si="2"/>
        <v>0</v>
      </c>
      <c r="E10" s="489">
        <f t="shared" si="2"/>
        <v>0</v>
      </c>
      <c r="F10" s="489">
        <f t="shared" si="2"/>
        <v>0</v>
      </c>
      <c r="G10" s="489">
        <f t="shared" si="2"/>
        <v>0</v>
      </c>
      <c r="H10" s="489">
        <f t="shared" si="2"/>
        <v>0</v>
      </c>
      <c r="I10" s="489">
        <f t="shared" si="2"/>
        <v>0</v>
      </c>
      <c r="J10" s="468">
        <f t="shared" si="2"/>
        <v>0</v>
      </c>
      <c r="K10" s="489">
        <f t="shared" si="2"/>
        <v>0</v>
      </c>
      <c r="L10" s="489">
        <f t="shared" si="2"/>
        <v>0</v>
      </c>
      <c r="M10" s="489">
        <f t="shared" si="2"/>
        <v>0</v>
      </c>
      <c r="N10" s="489">
        <f t="shared" si="2"/>
        <v>0</v>
      </c>
      <c r="O10" s="468">
        <f t="shared" si="2"/>
        <v>0</v>
      </c>
      <c r="P10" s="486">
        <f t="shared" si="0"/>
        <v>0</v>
      </c>
      <c r="T10" s="490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3"/>
      <c r="R11" s="485"/>
      <c r="S11" s="485"/>
      <c r="T11" s="283"/>
    </row>
    <row r="12" spans="1:20" ht="18" customHeight="1" thickBot="1" x14ac:dyDescent="0.25">
      <c r="A12" s="190" t="s">
        <v>28</v>
      </c>
      <c r="B12" s="494">
        <f t="shared" ref="B12:O12" si="3">B6+B10</f>
        <v>29</v>
      </c>
      <c r="C12" s="191">
        <f t="shared" si="3"/>
        <v>6</v>
      </c>
      <c r="D12" s="192">
        <f t="shared" si="3"/>
        <v>448</v>
      </c>
      <c r="E12" s="191">
        <f t="shared" si="3"/>
        <v>88</v>
      </c>
      <c r="F12" s="191">
        <f t="shared" si="3"/>
        <v>0</v>
      </c>
      <c r="G12" s="191">
        <f t="shared" si="3"/>
        <v>304</v>
      </c>
      <c r="H12" s="191">
        <f t="shared" si="3"/>
        <v>38</v>
      </c>
      <c r="I12" s="191">
        <f t="shared" si="3"/>
        <v>40</v>
      </c>
      <c r="J12" s="192">
        <f t="shared" si="3"/>
        <v>44</v>
      </c>
      <c r="K12" s="191">
        <f t="shared" si="3"/>
        <v>0</v>
      </c>
      <c r="L12" s="191">
        <f t="shared" si="3"/>
        <v>8</v>
      </c>
      <c r="M12" s="191">
        <f t="shared" si="3"/>
        <v>91</v>
      </c>
      <c r="N12" s="191">
        <f t="shared" si="3"/>
        <v>302</v>
      </c>
      <c r="O12" s="192">
        <f t="shared" si="3"/>
        <v>0</v>
      </c>
      <c r="P12" s="495">
        <f>SUM(B12:O12)</f>
        <v>1398</v>
      </c>
      <c r="R12" s="485"/>
      <c r="S12" s="485"/>
      <c r="T12" s="283"/>
    </row>
    <row r="13" spans="1:20" ht="18" customHeight="1" thickBot="1" x14ac:dyDescent="0.25">
      <c r="A13" s="174"/>
      <c r="B13" s="496"/>
      <c r="C13" s="497"/>
      <c r="D13" s="469"/>
      <c r="E13" s="497"/>
      <c r="F13" s="497"/>
      <c r="G13" s="497"/>
      <c r="H13" s="497"/>
      <c r="I13" s="497"/>
      <c r="J13" s="469"/>
      <c r="K13" s="497"/>
      <c r="L13" s="497"/>
      <c r="M13" s="497"/>
      <c r="N13" s="497"/>
      <c r="O13" s="469"/>
      <c r="P13" s="2"/>
      <c r="R13" s="485"/>
      <c r="S13" s="485"/>
      <c r="T13" s="283"/>
    </row>
    <row r="14" spans="1:20" ht="15" x14ac:dyDescent="0.25">
      <c r="A14" s="193" t="s">
        <v>92</v>
      </c>
      <c r="B14" s="498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9"/>
      <c r="R14" s="485"/>
      <c r="S14" s="485"/>
      <c r="T14" s="283"/>
    </row>
    <row r="15" spans="1:20" x14ac:dyDescent="0.2">
      <c r="A15" s="195" t="s">
        <v>93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5"/>
      <c r="S15" s="485"/>
      <c r="T15" s="283"/>
    </row>
    <row r="16" spans="1:20" x14ac:dyDescent="0.2">
      <c r="A16" s="52" t="s">
        <v>37</v>
      </c>
      <c r="B16" s="226">
        <f>'[3]Atlas Air'!$HF$47</f>
        <v>488347</v>
      </c>
      <c r="C16" s="473">
        <f>[3]DHL!$HF$47+[3]DHL_Atlas!$HF$47</f>
        <v>118936</v>
      </c>
      <c r="D16" s="568" t="s">
        <v>86</v>
      </c>
      <c r="E16" s="473">
        <f>[3]DHL_Encore!$HF$47</f>
        <v>100285</v>
      </c>
      <c r="F16" s="473">
        <f>[3]Encore!$HF$47</f>
        <v>0</v>
      </c>
      <c r="G16" s="473">
        <f>[3]FedEx!$HF$47</f>
        <v>9420091</v>
      </c>
      <c r="H16" s="473">
        <f>[3]IFL!$HF$47</f>
        <v>52854</v>
      </c>
      <c r="I16" s="473">
        <f>[3]DHL_Kalitta!$HF$47</f>
        <v>642824</v>
      </c>
      <c r="J16" s="128">
        <f>'[3]Mountain Cargo'!$HF$47</f>
        <v>0</v>
      </c>
      <c r="K16" s="473">
        <f>[3]DHL_Southair!$HF$47</f>
        <v>0</v>
      </c>
      <c r="L16" s="473">
        <f>[3]DHL_Swift!$HF$47</f>
        <v>81859</v>
      </c>
      <c r="M16" s="473">
        <f>+'[3]Sun Country Cargo'!$HF$47</f>
        <v>2068656</v>
      </c>
      <c r="N16" s="473">
        <f>[3]UPS!$HF$47</f>
        <v>6928654</v>
      </c>
      <c r="O16" s="128">
        <f>'[3]Misc Cargo'!$HF$47</f>
        <v>0</v>
      </c>
      <c r="P16" s="486">
        <f>SUM(B16:C16)+SUM(E16:O16)</f>
        <v>19902506</v>
      </c>
      <c r="R16" s="485"/>
      <c r="S16" s="485"/>
      <c r="T16" s="283"/>
    </row>
    <row r="17" spans="1:20" x14ac:dyDescent="0.2">
      <c r="A17" s="52" t="s">
        <v>38</v>
      </c>
      <c r="B17" s="226">
        <f>'[3]Atlas Air'!$HF$48</f>
        <v>0</v>
      </c>
      <c r="C17" s="473">
        <f>[3]DHL!$HF$48</f>
        <v>0</v>
      </c>
      <c r="D17" s="569"/>
      <c r="E17" s="473">
        <f>[3]DHL_Encore!$HF$48</f>
        <v>0</v>
      </c>
      <c r="F17" s="473">
        <f>[3]Encore!$HF$48</f>
        <v>0</v>
      </c>
      <c r="G17" s="473">
        <f>[3]FedEx!$HF$48</f>
        <v>0</v>
      </c>
      <c r="H17" s="473">
        <f>[3]IFL!$HF$48</f>
        <v>0</v>
      </c>
      <c r="I17" s="473">
        <f>[3]DHL_Kalitta!$HF$48</f>
        <v>0</v>
      </c>
      <c r="J17" s="128">
        <f>'[3]Mountain Cargo'!$HF$48</f>
        <v>4849</v>
      </c>
      <c r="K17" s="473">
        <f>[3]DHL_Southair!$HF$48</f>
        <v>0</v>
      </c>
      <c r="L17" s="473">
        <f>[3]DHL_Swift!$HF$48</f>
        <v>0</v>
      </c>
      <c r="M17" s="473">
        <f>+'[3]Sun Country Cargo'!$HF$48</f>
        <v>0</v>
      </c>
      <c r="N17" s="473">
        <f>[3]UPS!$HF$48</f>
        <v>906060</v>
      </c>
      <c r="O17" s="128">
        <f>'[3]Misc Cargo'!$HF$48</f>
        <v>0</v>
      </c>
      <c r="P17" s="486">
        <f>SUM(B17:C17)+SUM(E17:O17)</f>
        <v>910909</v>
      </c>
      <c r="R17" s="485"/>
      <c r="S17" s="485"/>
      <c r="T17" s="283"/>
    </row>
    <row r="18" spans="1:20" ht="18" customHeight="1" x14ac:dyDescent="0.2">
      <c r="A18" s="196" t="s">
        <v>39</v>
      </c>
      <c r="B18" s="500">
        <f>SUM(B16:B17)</f>
        <v>488347</v>
      </c>
      <c r="C18" s="274">
        <f>SUM(C16:C17)</f>
        <v>118936</v>
      </c>
      <c r="D18" s="569"/>
      <c r="E18" s="274">
        <f>SUM(E16:E17)</f>
        <v>100285</v>
      </c>
      <c r="F18" s="274">
        <f>SUM(F16:F17)</f>
        <v>0</v>
      </c>
      <c r="G18" s="274">
        <f>SUM(G16:G17)</f>
        <v>9420091</v>
      </c>
      <c r="H18" s="274">
        <f>SUM(H16:H17)</f>
        <v>52854</v>
      </c>
      <c r="I18" s="274">
        <f t="shared" ref="I18:O18" si="4">SUM(I16:I17)</f>
        <v>642824</v>
      </c>
      <c r="J18" s="275">
        <f t="shared" si="4"/>
        <v>4849</v>
      </c>
      <c r="K18" s="274">
        <f t="shared" si="4"/>
        <v>0</v>
      </c>
      <c r="L18" s="274">
        <f t="shared" si="4"/>
        <v>81859</v>
      </c>
      <c r="M18" s="274">
        <f t="shared" si="4"/>
        <v>2068656</v>
      </c>
      <c r="N18" s="274">
        <f t="shared" si="4"/>
        <v>7834714</v>
      </c>
      <c r="O18" s="275">
        <f t="shared" si="4"/>
        <v>0</v>
      </c>
      <c r="P18" s="501">
        <f>SUM(B18:C18)+SUM(E18:O18)</f>
        <v>20813415</v>
      </c>
      <c r="R18" s="485"/>
      <c r="S18" s="485"/>
      <c r="T18" s="283"/>
    </row>
    <row r="19" spans="1:20" x14ac:dyDescent="0.2">
      <c r="A19" s="52"/>
      <c r="B19" s="226"/>
      <c r="C19" s="473"/>
      <c r="D19" s="569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6"/>
      <c r="R19" s="491"/>
      <c r="S19" s="485"/>
      <c r="T19" s="283"/>
    </row>
    <row r="20" spans="1:20" x14ac:dyDescent="0.2">
      <c r="A20" s="195" t="s">
        <v>87</v>
      </c>
      <c r="B20" s="226"/>
      <c r="C20" s="473"/>
      <c r="D20" s="569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6"/>
      <c r="R20" s="491"/>
      <c r="S20" s="485"/>
      <c r="T20" s="283"/>
    </row>
    <row r="21" spans="1:20" x14ac:dyDescent="0.2">
      <c r="A21" s="52" t="s">
        <v>59</v>
      </c>
      <c r="B21" s="226">
        <f>'[3]Atlas Air'!$HF$52</f>
        <v>269861</v>
      </c>
      <c r="C21" s="473">
        <f>[3]DHL!$HF$52+[3]DHL_Atlas!$HF$52</f>
        <v>17679</v>
      </c>
      <c r="D21" s="569"/>
      <c r="E21" s="473">
        <f>[3]DHL_Encore!$HF$52</f>
        <v>60981</v>
      </c>
      <c r="F21" s="473">
        <f>[3]Encore!$HF$52</f>
        <v>0</v>
      </c>
      <c r="G21" s="473">
        <f>[3]FedEx!$HF$52</f>
        <v>8030118</v>
      </c>
      <c r="H21" s="473">
        <f>[3]IFL!$HF$52</f>
        <v>0</v>
      </c>
      <c r="I21" s="473">
        <f>[3]DHL_Kalitta!$HF$52</f>
        <v>395122</v>
      </c>
      <c r="J21" s="128">
        <f>'[3]Mountain Cargo'!$HF$52</f>
        <v>0</v>
      </c>
      <c r="K21" s="473">
        <f>[3]DHL_Southair!$HF$52</f>
        <v>0</v>
      </c>
      <c r="L21" s="473">
        <f>[3]DHL_Swift!$HF$52</f>
        <v>63184</v>
      </c>
      <c r="M21" s="473">
        <f>+'[3]Sun Country Cargo'!$HF$52</f>
        <v>1100506</v>
      </c>
      <c r="N21" s="473">
        <f>[3]UPS!$HF$52</f>
        <v>5917852</v>
      </c>
      <c r="O21" s="128">
        <f>'[3]Misc Cargo'!$HF$52</f>
        <v>0</v>
      </c>
      <c r="P21" s="486">
        <f t="shared" ref="P21:P23" si="5">SUM(B21:C21)+SUM(E21:O21)</f>
        <v>15855303</v>
      </c>
      <c r="R21" s="485"/>
      <c r="S21" s="485"/>
      <c r="T21" s="283"/>
    </row>
    <row r="22" spans="1:20" x14ac:dyDescent="0.2">
      <c r="A22" s="52" t="s">
        <v>60</v>
      </c>
      <c r="B22" s="226">
        <f>'[3]Atlas Air'!$HF$53</f>
        <v>0</v>
      </c>
      <c r="C22" s="473">
        <f>[3]DHL!$HF$53</f>
        <v>0</v>
      </c>
      <c r="D22" s="569"/>
      <c r="E22" s="473">
        <f>[3]DHL_Encore!$HF$53</f>
        <v>0</v>
      </c>
      <c r="F22" s="473">
        <f>[3]Encore!$HF$53</f>
        <v>0</v>
      </c>
      <c r="G22" s="473">
        <f>[3]FedEx!$HF$53</f>
        <v>0</v>
      </c>
      <c r="H22" s="473">
        <f>[3]IFL!$HF$53</f>
        <v>0</v>
      </c>
      <c r="I22" s="473">
        <f>[3]DHL_Kalitta!$HF$53</f>
        <v>0</v>
      </c>
      <c r="J22" s="128">
        <f>'[3]Mountain Cargo'!$HF$53</f>
        <v>6582</v>
      </c>
      <c r="K22" s="473">
        <f>[3]DHL_Southair!$HF$53</f>
        <v>0</v>
      </c>
      <c r="L22" s="473">
        <f>[3]DHL_Swift!$HF$53</f>
        <v>0</v>
      </c>
      <c r="M22" s="473">
        <f>+'[3]Sun Country Cargo'!$HF$53</f>
        <v>0</v>
      </c>
      <c r="N22" s="473">
        <f>[3]UPS!$HF$53</f>
        <v>1019995</v>
      </c>
      <c r="O22" s="128">
        <f>'[3]Misc Cargo'!$HF$53</f>
        <v>0</v>
      </c>
      <c r="P22" s="486">
        <f t="shared" si="5"/>
        <v>1026577</v>
      </c>
      <c r="R22" s="485"/>
      <c r="S22" s="485"/>
      <c r="T22" s="283"/>
    </row>
    <row r="23" spans="1:20" ht="18" customHeight="1" x14ac:dyDescent="0.2">
      <c r="A23" s="196" t="s">
        <v>41</v>
      </c>
      <c r="B23" s="500">
        <f>SUM(B21:B22)</f>
        <v>269861</v>
      </c>
      <c r="C23" s="274">
        <f>SUM(C21:C22)</f>
        <v>17679</v>
      </c>
      <c r="D23" s="569"/>
      <c r="E23" s="274">
        <f t="shared" ref="E23:O23" si="6">SUM(E21:E22)</f>
        <v>60981</v>
      </c>
      <c r="F23" s="274">
        <f t="shared" si="6"/>
        <v>0</v>
      </c>
      <c r="G23" s="274">
        <f t="shared" si="6"/>
        <v>8030118</v>
      </c>
      <c r="H23" s="274">
        <f t="shared" si="6"/>
        <v>0</v>
      </c>
      <c r="I23" s="274">
        <f t="shared" si="6"/>
        <v>395122</v>
      </c>
      <c r="J23" s="275">
        <f t="shared" si="6"/>
        <v>6582</v>
      </c>
      <c r="K23" s="274">
        <f t="shared" si="6"/>
        <v>0</v>
      </c>
      <c r="L23" s="274">
        <f t="shared" si="6"/>
        <v>63184</v>
      </c>
      <c r="M23" s="274">
        <f t="shared" si="6"/>
        <v>1100506</v>
      </c>
      <c r="N23" s="274">
        <f t="shared" si="6"/>
        <v>6937847</v>
      </c>
      <c r="O23" s="275">
        <f t="shared" si="6"/>
        <v>0</v>
      </c>
      <c r="P23" s="501">
        <f t="shared" si="5"/>
        <v>16881880</v>
      </c>
      <c r="R23" s="485"/>
      <c r="S23" s="485"/>
      <c r="T23" s="283"/>
    </row>
    <row r="24" spans="1:20" x14ac:dyDescent="0.2">
      <c r="A24" s="52"/>
      <c r="B24" s="226"/>
      <c r="C24" s="473"/>
      <c r="D24" s="569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6"/>
      <c r="R24" s="485"/>
      <c r="S24" s="485"/>
      <c r="T24" s="283"/>
    </row>
    <row r="25" spans="1:20" x14ac:dyDescent="0.2">
      <c r="A25" s="195" t="s">
        <v>94</v>
      </c>
      <c r="B25" s="226"/>
      <c r="C25" s="473"/>
      <c r="D25" s="569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6"/>
      <c r="R25" s="485"/>
      <c r="S25" s="485"/>
      <c r="T25" s="283"/>
    </row>
    <row r="26" spans="1:20" x14ac:dyDescent="0.2">
      <c r="A26" s="52" t="s">
        <v>59</v>
      </c>
      <c r="B26" s="226">
        <f>'[3]Atlas Air'!$HF$57</f>
        <v>0</v>
      </c>
      <c r="C26" s="473">
        <f>[3]DHL!$HF$57</f>
        <v>0</v>
      </c>
      <c r="D26" s="569"/>
      <c r="E26" s="473">
        <f>[3]DHL_Encore!$HF$57</f>
        <v>0</v>
      </c>
      <c r="F26" s="473">
        <f>[3]Encore!$HF$57</f>
        <v>0</v>
      </c>
      <c r="G26" s="473">
        <f>[3]FedEx!$HF$57</f>
        <v>0</v>
      </c>
      <c r="H26" s="473">
        <f>[3]IFL!$HF$57</f>
        <v>0</v>
      </c>
      <c r="I26" s="473">
        <f>[3]DHL_Kalitta!$HF$57</f>
        <v>0</v>
      </c>
      <c r="J26" s="128">
        <f>'[3]Mountain Cargo'!$HF$57</f>
        <v>0</v>
      </c>
      <c r="K26" s="473">
        <f>[3]DHL_Southair!$HF$57</f>
        <v>0</v>
      </c>
      <c r="L26" s="473">
        <f>[3]DHL_Swift!$HF$57</f>
        <v>0</v>
      </c>
      <c r="M26" s="473">
        <f>+'[3]Sun Country Cargo'!$HF$57</f>
        <v>0</v>
      </c>
      <c r="N26" s="473">
        <f>[3]UPS!$HF$57</f>
        <v>0</v>
      </c>
      <c r="O26" s="128">
        <f>'[3]Misc Cargo'!$HF$57</f>
        <v>0</v>
      </c>
      <c r="P26" s="486">
        <f t="shared" ref="P26:P28" si="7">SUM(B26:C26)+SUM(E26:O26)</f>
        <v>0</v>
      </c>
      <c r="R26" s="485"/>
      <c r="S26" s="485"/>
      <c r="T26" s="485"/>
    </row>
    <row r="27" spans="1:20" x14ac:dyDescent="0.2">
      <c r="A27" s="52" t="s">
        <v>60</v>
      </c>
      <c r="B27" s="226">
        <f>'[3]Atlas Air'!$HF$58</f>
        <v>0</v>
      </c>
      <c r="C27" s="473">
        <f>[3]DHL!$HF$58</f>
        <v>0</v>
      </c>
      <c r="D27" s="569"/>
      <c r="E27" s="473">
        <f>[3]DHL_Encore!$HF$58</f>
        <v>0</v>
      </c>
      <c r="F27" s="473">
        <f>[3]Encore!$HF$58</f>
        <v>0</v>
      </c>
      <c r="G27" s="473">
        <f>[3]FedEx!$HF$58</f>
        <v>0</v>
      </c>
      <c r="H27" s="473">
        <f>[3]IFL!$HF$58</f>
        <v>0</v>
      </c>
      <c r="I27" s="473">
        <f>[3]DHL_Kalitta!$HF$58</f>
        <v>0</v>
      </c>
      <c r="J27" s="128">
        <f>'[3]Mountain Cargo'!$HF$58</f>
        <v>0</v>
      </c>
      <c r="K27" s="473">
        <f>[3]DHL_Southair!$HF$58</f>
        <v>0</v>
      </c>
      <c r="L27" s="473">
        <f>[3]DHL_Swift!$HF$58</f>
        <v>0</v>
      </c>
      <c r="M27" s="473">
        <f>+'[3]Sun Country Cargo'!$HF$58</f>
        <v>0</v>
      </c>
      <c r="N27" s="473">
        <f>[3]UPS!$HF$58</f>
        <v>0</v>
      </c>
      <c r="O27" s="128">
        <f>'[3]Misc Cargo'!$HF$58</f>
        <v>0</v>
      </c>
      <c r="P27" s="486">
        <f t="shared" si="7"/>
        <v>0</v>
      </c>
      <c r="R27" s="485"/>
      <c r="S27" s="485"/>
      <c r="T27" s="283"/>
    </row>
    <row r="28" spans="1:20" ht="18" customHeight="1" x14ac:dyDescent="0.2">
      <c r="A28" s="196" t="s">
        <v>43</v>
      </c>
      <c r="B28" s="500">
        <f>SUM(B26:B27)</f>
        <v>0</v>
      </c>
      <c r="C28" s="274">
        <f>SUM(C26:C27)</f>
        <v>0</v>
      </c>
      <c r="D28" s="569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1">
        <f t="shared" si="7"/>
        <v>0</v>
      </c>
      <c r="R28" s="485"/>
      <c r="S28" s="485"/>
      <c r="T28" s="485"/>
    </row>
    <row r="29" spans="1:20" x14ac:dyDescent="0.2">
      <c r="A29" s="52"/>
      <c r="B29" s="226"/>
      <c r="C29" s="473"/>
      <c r="D29" s="569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6"/>
      <c r="R29" s="485"/>
      <c r="S29" s="485"/>
      <c r="T29" s="485"/>
    </row>
    <row r="30" spans="1:20" x14ac:dyDescent="0.2">
      <c r="A30" s="197" t="s">
        <v>44</v>
      </c>
      <c r="B30" s="226"/>
      <c r="C30" s="473"/>
      <c r="D30" s="569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6"/>
      <c r="R30" s="485"/>
      <c r="S30" s="485"/>
      <c r="T30" s="485"/>
    </row>
    <row r="31" spans="1:20" x14ac:dyDescent="0.2">
      <c r="A31" s="52" t="s">
        <v>88</v>
      </c>
      <c r="B31" s="226">
        <f>B26+B21+B16</f>
        <v>758208</v>
      </c>
      <c r="C31" s="473">
        <f t="shared" ref="C31:O33" si="9">C26+C21+C16</f>
        <v>136615</v>
      </c>
      <c r="D31" s="569"/>
      <c r="E31" s="473">
        <f t="shared" ref="E31:M33" si="10">E26+E21+E16</f>
        <v>161266</v>
      </c>
      <c r="F31" s="473">
        <f t="shared" si="10"/>
        <v>0</v>
      </c>
      <c r="G31" s="473">
        <f t="shared" si="10"/>
        <v>17450209</v>
      </c>
      <c r="H31" s="473">
        <f t="shared" si="10"/>
        <v>52854</v>
      </c>
      <c r="I31" s="473">
        <f t="shared" si="10"/>
        <v>1037946</v>
      </c>
      <c r="J31" s="128">
        <f>J26+J21+J16</f>
        <v>0</v>
      </c>
      <c r="K31" s="473">
        <f t="shared" si="10"/>
        <v>0</v>
      </c>
      <c r="L31" s="473">
        <f t="shared" si="10"/>
        <v>145043</v>
      </c>
      <c r="M31" s="473">
        <f t="shared" si="10"/>
        <v>3169162</v>
      </c>
      <c r="N31" s="473">
        <f t="shared" si="9"/>
        <v>12846506</v>
      </c>
      <c r="O31" s="128">
        <f>O26+O21+O16</f>
        <v>0</v>
      </c>
      <c r="P31" s="486">
        <f t="shared" ref="P31:P32" si="11">SUM(B31:C31)+SUM(E31:O31)</f>
        <v>35757809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70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11431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1926055</v>
      </c>
      <c r="O32" s="128">
        <f>O27+O22+O17</f>
        <v>0</v>
      </c>
      <c r="P32" s="502">
        <f t="shared" si="11"/>
        <v>1937486</v>
      </c>
    </row>
    <row r="33" spans="1:16" ht="18" customHeight="1" thickBot="1" x14ac:dyDescent="0.25">
      <c r="A33" s="190" t="s">
        <v>46</v>
      </c>
      <c r="B33" s="494">
        <f>B28+B23+B18</f>
        <v>758208</v>
      </c>
      <c r="C33" s="191">
        <f>C28+C23+C18</f>
        <v>136615</v>
      </c>
      <c r="D33" s="276">
        <f>D28+D23+D18</f>
        <v>0</v>
      </c>
      <c r="E33" s="191">
        <f>E28+E23+E18</f>
        <v>161266</v>
      </c>
      <c r="F33" s="191">
        <f>F28+F23+F18</f>
        <v>0</v>
      </c>
      <c r="G33" s="191">
        <f t="shared" si="10"/>
        <v>17450209</v>
      </c>
      <c r="H33" s="191">
        <f t="shared" si="10"/>
        <v>52854</v>
      </c>
      <c r="I33" s="191">
        <f t="shared" si="10"/>
        <v>1037946</v>
      </c>
      <c r="J33" s="192">
        <f>J28+J23+J18</f>
        <v>11431</v>
      </c>
      <c r="K33" s="191">
        <f t="shared" si="10"/>
        <v>0</v>
      </c>
      <c r="L33" s="191">
        <f t="shared" si="10"/>
        <v>145043</v>
      </c>
      <c r="M33" s="191">
        <f t="shared" si="9"/>
        <v>3169162</v>
      </c>
      <c r="N33" s="191">
        <f t="shared" si="9"/>
        <v>14772561</v>
      </c>
      <c r="O33" s="192">
        <f t="shared" si="9"/>
        <v>0</v>
      </c>
      <c r="P33" s="495">
        <f>SUM(B33:C33)+SUM(E33:O33)</f>
        <v>37695295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90</v>
      </c>
    </row>
    <row r="37" spans="1:16" x14ac:dyDescent="0.2">
      <c r="A37" t="s">
        <v>91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March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44256</v>
      </c>
      <c r="B2" s="75" t="s">
        <v>242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1332228</v>
      </c>
      <c r="C5" s="116">
        <f>'Regional Major'!M25</f>
        <v>2704</v>
      </c>
      <c r="D5" s="116">
        <f>Cargo!P16</f>
        <v>19902506</v>
      </c>
      <c r="E5" s="116">
        <f>SUM(B5:D5)</f>
        <v>21237438</v>
      </c>
      <c r="F5" s="116">
        <f>E5*0.00045359237</f>
        <v>9633.1398351480602</v>
      </c>
      <c r="G5" s="144">
        <f>'[1]Cargo Summary'!F5</f>
        <v>8018.4253870967395</v>
      </c>
      <c r="H5" s="96">
        <f>(F5-G5)/G5</f>
        <v>0.20137550330638745</v>
      </c>
      <c r="I5" s="144">
        <f>+F5+'[2]Cargo Summary'!I5</f>
        <v>23686.533233614791</v>
      </c>
      <c r="J5" s="144">
        <f>'[1]Cargo Summary'!I5</f>
        <v>25527.679178400631</v>
      </c>
      <c r="K5" s="83">
        <f>(I5-J5)/J5</f>
        <v>-7.2123514711970454E-2</v>
      </c>
      <c r="M5" s="34"/>
    </row>
    <row r="6" spans="1:18" x14ac:dyDescent="0.2">
      <c r="A6" s="60" t="s">
        <v>16</v>
      </c>
      <c r="B6" s="167">
        <f>'Major Airline Stats'!K29</f>
        <v>1104434</v>
      </c>
      <c r="C6" s="116">
        <f>'Regional Major'!M26</f>
        <v>0</v>
      </c>
      <c r="D6" s="116">
        <f>Cargo!P17</f>
        <v>910909</v>
      </c>
      <c r="E6" s="116">
        <f>SUM(B6:D6)</f>
        <v>2015343</v>
      </c>
      <c r="F6" s="116">
        <f>E6*0.00045359237</f>
        <v>914.14420773290999</v>
      </c>
      <c r="G6" s="144">
        <f>'[1]Cargo Summary'!F6</f>
        <v>610.77528038372998</v>
      </c>
      <c r="H6" s="36">
        <f>(F6-G6)/G6</f>
        <v>0.49669483538787507</v>
      </c>
      <c r="I6" s="144">
        <f>+F6+'[2]Cargo Summary'!I6</f>
        <v>2442.0147678087696</v>
      </c>
      <c r="J6" s="144">
        <f>'[1]Cargo Summary'!I6</f>
        <v>2118.68233307115</v>
      </c>
      <c r="K6" s="83">
        <f>(I6-J6)/J6</f>
        <v>0.152610152872201</v>
      </c>
      <c r="M6" s="34"/>
    </row>
    <row r="7" spans="1:18" ht="18" customHeight="1" thickBot="1" x14ac:dyDescent="0.25">
      <c r="A7" s="71" t="s">
        <v>71</v>
      </c>
      <c r="B7" s="169">
        <f>SUM(B5:B6)</f>
        <v>2436662</v>
      </c>
      <c r="C7" s="131">
        <f t="shared" ref="C7:J7" si="0">SUM(C5:C6)</f>
        <v>2704</v>
      </c>
      <c r="D7" s="131">
        <f t="shared" si="0"/>
        <v>20813415</v>
      </c>
      <c r="E7" s="131">
        <f t="shared" si="0"/>
        <v>23252781</v>
      </c>
      <c r="F7" s="131">
        <f t="shared" si="0"/>
        <v>10547.28404288097</v>
      </c>
      <c r="G7" s="131">
        <f t="shared" si="0"/>
        <v>8629.2006674804688</v>
      </c>
      <c r="H7" s="43">
        <f>(F7-G7)/G7</f>
        <v>0.22227822127591554</v>
      </c>
      <c r="I7" s="131">
        <f t="shared" si="0"/>
        <v>26128.548001423562</v>
      </c>
      <c r="J7" s="131">
        <f t="shared" si="0"/>
        <v>27646.36151147178</v>
      </c>
      <c r="K7" s="290">
        <f>(I7-J7)/J7</f>
        <v>-5.4901022306982614E-2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1360129</v>
      </c>
      <c r="C10" s="116">
        <f>'Regional Major'!M30</f>
        <v>338</v>
      </c>
      <c r="D10" s="116">
        <f>Cargo!P21</f>
        <v>15855303</v>
      </c>
      <c r="E10" s="116">
        <f>SUM(B10:D10)</f>
        <v>17215770</v>
      </c>
      <c r="F10" s="116">
        <f>E10*0.00045359237</f>
        <v>7808.9419156749</v>
      </c>
      <c r="G10" s="144">
        <f>'[1]Cargo Summary'!F10</f>
        <v>7480.5437613491194</v>
      </c>
      <c r="H10" s="36">
        <f>(F10-G10)/G10</f>
        <v>4.3900305218795184E-2</v>
      </c>
      <c r="I10" s="144">
        <f>+F10+'[2]Cargo Summary'!I10</f>
        <v>20635.54440072356</v>
      </c>
      <c r="J10" s="144">
        <f>'[1]Cargo Summary'!I10</f>
        <v>21898.64719772961</v>
      </c>
      <c r="K10" s="83">
        <f>(I10-J10)/J10</f>
        <v>-5.7679489769441303E-2</v>
      </c>
      <c r="M10" s="34"/>
    </row>
    <row r="11" spans="1:18" x14ac:dyDescent="0.2">
      <c r="A11" s="60" t="s">
        <v>16</v>
      </c>
      <c r="B11" s="167">
        <f>'Major Airline Stats'!K34</f>
        <v>326718</v>
      </c>
      <c r="C11" s="116">
        <f>'Regional Major'!M31</f>
        <v>0</v>
      </c>
      <c r="D11" s="116">
        <f>Cargo!P22</f>
        <v>1026577</v>
      </c>
      <c r="E11" s="116">
        <f>SUM(B11:D11)</f>
        <v>1353295</v>
      </c>
      <c r="F11" s="116">
        <f>E11*0.00045359237</f>
        <v>613.84428635915003</v>
      </c>
      <c r="G11" s="144">
        <f>'[1]Cargo Summary'!F11</f>
        <v>927.71977377463998</v>
      </c>
      <c r="H11" s="34">
        <f>(F11-G11)/G11</f>
        <v>-0.33833006074497668</v>
      </c>
      <c r="I11" s="144">
        <f>+F11+'[2]Cargo Summary'!I11</f>
        <v>2424.1513930934298</v>
      </c>
      <c r="J11" s="144">
        <f>'[1]Cargo Summary'!I11</f>
        <v>3115.9428066828605</v>
      </c>
      <c r="K11" s="83">
        <f>(I11-J11)/J11</f>
        <v>-0.22201672383258253</v>
      </c>
      <c r="M11" s="34"/>
    </row>
    <row r="12" spans="1:18" ht="18" customHeight="1" thickBot="1" x14ac:dyDescent="0.25">
      <c r="A12" s="71" t="s">
        <v>72</v>
      </c>
      <c r="B12" s="169">
        <f>SUM(B10:B11)</f>
        <v>1686847</v>
      </c>
      <c r="C12" s="131">
        <f t="shared" ref="C12:J12" si="1">SUM(C10:C11)</f>
        <v>338</v>
      </c>
      <c r="D12" s="131">
        <f t="shared" si="1"/>
        <v>16881880</v>
      </c>
      <c r="E12" s="131">
        <f t="shared" si="1"/>
        <v>18569065</v>
      </c>
      <c r="F12" s="131">
        <f t="shared" si="1"/>
        <v>8422.7862020340508</v>
      </c>
      <c r="G12" s="131">
        <f t="shared" si="1"/>
        <v>8408.2635351237586</v>
      </c>
      <c r="H12" s="43">
        <f>(F12-G12)/G12</f>
        <v>1.7271897877161886E-3</v>
      </c>
      <c r="I12" s="131">
        <f t="shared" si="1"/>
        <v>23059.695793816991</v>
      </c>
      <c r="J12" s="131">
        <f t="shared" si="1"/>
        <v>25014.590004412472</v>
      </c>
      <c r="K12" s="290">
        <f>(I12-J12)/J12</f>
        <v>-7.8150159976663455E-2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2692357</v>
      </c>
      <c r="C20" s="116">
        <f t="shared" si="3"/>
        <v>3042</v>
      </c>
      <c r="D20" s="116">
        <f t="shared" si="3"/>
        <v>35757809</v>
      </c>
      <c r="E20" s="116">
        <f>SUM(B20:D20)</f>
        <v>38453208</v>
      </c>
      <c r="F20" s="116">
        <f>E20*0.00045359237</f>
        <v>17442.081750822959</v>
      </c>
      <c r="G20" s="144">
        <f>'[1]Cargo Summary'!F20</f>
        <v>15498.96914844586</v>
      </c>
      <c r="H20" s="36">
        <f>(F20-G20)/G20</f>
        <v>0.12537044133492856</v>
      </c>
      <c r="I20" s="144">
        <f>+F20+'[2]Cargo Summary'!I20</f>
        <v>44322.077634338348</v>
      </c>
      <c r="J20" s="144">
        <f>+J5+J10+J15</f>
        <v>47426.326376130237</v>
      </c>
      <c r="K20" s="83">
        <f>(I20-J20)/J20</f>
        <v>-6.5454125988435474E-2</v>
      </c>
      <c r="M20" s="34"/>
    </row>
    <row r="21" spans="1:13" x14ac:dyDescent="0.2">
      <c r="A21" s="60" t="s">
        <v>16</v>
      </c>
      <c r="B21" s="167">
        <f t="shared" si="3"/>
        <v>1431152</v>
      </c>
      <c r="C21" s="118">
        <f t="shared" si="3"/>
        <v>0</v>
      </c>
      <c r="D21" s="118">
        <f t="shared" si="3"/>
        <v>1937486</v>
      </c>
      <c r="E21" s="116">
        <f>SUM(B21:D21)</f>
        <v>3368638</v>
      </c>
      <c r="F21" s="116">
        <f>E21*0.00045359237</f>
        <v>1527.9884940920599</v>
      </c>
      <c r="G21" s="144">
        <f>'[1]Cargo Summary'!F21</f>
        <v>1538.4950541583701</v>
      </c>
      <c r="H21" s="36">
        <f>(F21-G21)/G21</f>
        <v>-6.8291152694395533E-3</v>
      </c>
      <c r="I21" s="144">
        <f>+F21+'[2]Cargo Summary'!I21</f>
        <v>4866.1661609022003</v>
      </c>
      <c r="J21" s="144">
        <f>+J6+J11+J16</f>
        <v>5234.6251397540109</v>
      </c>
      <c r="K21" s="83">
        <f>(I21-J21)/J21</f>
        <v>-7.0388799391492896E-2</v>
      </c>
      <c r="M21" s="34"/>
    </row>
    <row r="22" spans="1:13" ht="18" customHeight="1" thickBot="1" x14ac:dyDescent="0.25">
      <c r="A22" s="86" t="s">
        <v>62</v>
      </c>
      <c r="B22" s="170">
        <f>SUM(B20:B21)</f>
        <v>4123509</v>
      </c>
      <c r="C22" s="171">
        <f t="shared" ref="C22:J22" si="4">SUM(C20:C21)</f>
        <v>3042</v>
      </c>
      <c r="D22" s="171">
        <f t="shared" si="4"/>
        <v>37695295</v>
      </c>
      <c r="E22" s="171">
        <f t="shared" si="4"/>
        <v>41821846</v>
      </c>
      <c r="F22" s="171">
        <f t="shared" si="4"/>
        <v>18970.070244915019</v>
      </c>
      <c r="G22" s="171">
        <f t="shared" si="4"/>
        <v>17037.464202604231</v>
      </c>
      <c r="H22" s="296">
        <f>(F22-G22)/G22</f>
        <v>0.11343272797693586</v>
      </c>
      <c r="I22" s="171">
        <f t="shared" si="4"/>
        <v>49188.243795240545</v>
      </c>
      <c r="J22" s="171">
        <f t="shared" si="4"/>
        <v>52660.951515884248</v>
      </c>
      <c r="K22" s="297">
        <f>(I22-J22)/J22</f>
        <v>-6.5944644384107284E-2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March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topLeftCell="B1" zoomScaleNormal="100" workbookViewId="0">
      <selection activeCell="K10" sqref="K10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9" bestFit="1" customWidth="1"/>
  </cols>
  <sheetData>
    <row r="1" spans="1:20" ht="13.5" thickBot="1" x14ac:dyDescent="0.25">
      <c r="F1" s="503"/>
      <c r="J1" s="3"/>
      <c r="K1"/>
    </row>
    <row r="2" spans="1:20" s="198" customFormat="1" ht="26.25" thickBot="1" x14ac:dyDescent="0.25">
      <c r="A2" s="577" t="s">
        <v>187</v>
      </c>
      <c r="B2" s="578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4" t="s">
        <v>96</v>
      </c>
      <c r="I2" s="431" t="s">
        <v>137</v>
      </c>
      <c r="J2" s="577" t="s">
        <v>183</v>
      </c>
      <c r="K2" s="578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40"/>
    </row>
    <row r="3" spans="1:20" s="198" customFormat="1" ht="13.5" customHeight="1" thickBot="1" x14ac:dyDescent="0.25">
      <c r="A3" s="579">
        <v>44256</v>
      </c>
      <c r="B3" s="580"/>
      <c r="C3" s="581" t="s">
        <v>9</v>
      </c>
      <c r="D3" s="582"/>
      <c r="E3" s="582"/>
      <c r="F3" s="582"/>
      <c r="G3" s="582"/>
      <c r="H3" s="583"/>
      <c r="I3" s="481"/>
      <c r="J3" s="579">
        <f>+A3</f>
        <v>44256</v>
      </c>
      <c r="K3" s="580"/>
      <c r="L3" s="574" t="s">
        <v>184</v>
      </c>
      <c r="M3" s="575"/>
      <c r="N3" s="575"/>
      <c r="O3" s="575"/>
      <c r="P3" s="575"/>
      <c r="Q3" s="575"/>
      <c r="R3" s="576"/>
      <c r="T3" s="540"/>
    </row>
    <row r="4" spans="1:20" x14ac:dyDescent="0.2">
      <c r="A4" s="315"/>
      <c r="B4" s="316"/>
      <c r="C4" s="317"/>
      <c r="D4" s="318"/>
      <c r="E4" s="319"/>
      <c r="F4" s="505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6">
        <f>SUM(C6:C7)</f>
        <v>120</v>
      </c>
      <c r="D5" s="506">
        <f>SUM(D6:D7)</f>
        <v>60</v>
      </c>
      <c r="E5" s="507">
        <f>(C5-D5)/D5</f>
        <v>1</v>
      </c>
      <c r="F5" s="506">
        <f>SUM(F6:F7)</f>
        <v>243</v>
      </c>
      <c r="G5" s="506">
        <f>SUM(G6:G7)</f>
        <v>176</v>
      </c>
      <c r="H5" s="508">
        <f>(F5-G5)/G5</f>
        <v>0.38068181818181818</v>
      </c>
      <c r="I5" s="507">
        <f>+F5/$F$33</f>
        <v>6.4268711980957419E-2</v>
      </c>
      <c r="J5" s="322" t="s">
        <v>218</v>
      </c>
      <c r="K5" s="54"/>
      <c r="L5" s="506">
        <f>SUM(L6:L7)</f>
        <v>3927370</v>
      </c>
      <c r="M5" s="506">
        <f>SUM(M6:M7)</f>
        <v>2678702</v>
      </c>
      <c r="N5" s="507">
        <f>(L5-M5)/M5</f>
        <v>0.46614666357063983</v>
      </c>
      <c r="O5" s="506">
        <f>SUM(O6:O7)</f>
        <v>6632060</v>
      </c>
      <c r="P5" s="506">
        <f>SUM(P6:P7)</f>
        <v>6676432</v>
      </c>
      <c r="Q5" s="508">
        <f>(O5-P5)/P5</f>
        <v>-6.6460648442161919E-3</v>
      </c>
      <c r="R5" s="507">
        <f>O5/$O$33</f>
        <v>6.773952976914481E-2</v>
      </c>
      <c r="S5" s="19"/>
    </row>
    <row r="6" spans="1:20" ht="14.1" customHeight="1" x14ac:dyDescent="0.2">
      <c r="A6" s="52"/>
      <c r="B6" s="397" t="s">
        <v>219</v>
      </c>
      <c r="C6" s="509">
        <f>+'[3]Atlas Air'!$HF$19</f>
        <v>29</v>
      </c>
      <c r="D6" s="283">
        <f>+'[3]Atlas Air'!$GR$19</f>
        <v>60</v>
      </c>
      <c r="E6" s="510">
        <f>(C6-D6)/D6</f>
        <v>-0.51666666666666672</v>
      </c>
      <c r="F6" s="509">
        <f>+SUM('[3]Atlas Air'!$HD$19:$HF$19)</f>
        <v>29</v>
      </c>
      <c r="G6" s="283">
        <f>+SUM('[3]Atlas Air'!$GP$19:$GR$19)</f>
        <v>176</v>
      </c>
      <c r="H6" s="491">
        <f>(F6-G6)/G6</f>
        <v>-0.83522727272727271</v>
      </c>
      <c r="I6" s="510">
        <f>+F6/$F$33</f>
        <v>7.6699285903200215E-3</v>
      </c>
      <c r="J6" s="52"/>
      <c r="K6" s="397" t="s">
        <v>219</v>
      </c>
      <c r="L6" s="509">
        <f>+'[3]Atlas Air'!$HF$64</f>
        <v>758208</v>
      </c>
      <c r="M6" s="283">
        <f>+'[3]Atlas Air'!$GR$64</f>
        <v>2678702</v>
      </c>
      <c r="N6" s="510">
        <f>(L6-M6)/M6</f>
        <v>-0.71694947776945694</v>
      </c>
      <c r="O6" s="283">
        <f>+SUM('[3]Atlas Air'!$HD$64:$HF$64)</f>
        <v>758208</v>
      </c>
      <c r="P6" s="283">
        <f>+SUM('[3]Atlas Air'!$GP$64:$GR$64)</f>
        <v>6676432</v>
      </c>
      <c r="Q6" s="491">
        <f>(O6-P6)/P6</f>
        <v>-0.88643514979258387</v>
      </c>
      <c r="R6" s="510">
        <f>O6/$O$33</f>
        <v>7.7442986624372745E-3</v>
      </c>
      <c r="S6" s="19"/>
    </row>
    <row r="7" spans="1:20" ht="14.1" customHeight="1" x14ac:dyDescent="0.2">
      <c r="A7" s="52"/>
      <c r="B7" s="397" t="s">
        <v>49</v>
      </c>
      <c r="C7" s="509">
        <f>+'[3]Sun Country Cargo'!$HF$19</f>
        <v>91</v>
      </c>
      <c r="D7" s="283">
        <f>+'[3]Sun Country Cargo'!$GR$19</f>
        <v>0</v>
      </c>
      <c r="E7" s="510" t="e">
        <f>(C7-D7)/D7</f>
        <v>#DIV/0!</v>
      </c>
      <c r="F7" s="509">
        <f>+SUM('[3]Sun Country Cargo'!$HD$19:$HF$19)</f>
        <v>214</v>
      </c>
      <c r="G7" s="283">
        <f>+SUM('[3]Sun Country Cargo'!$GP$19:$GR$19)</f>
        <v>0</v>
      </c>
      <c r="H7" s="491" t="e">
        <f>(F7-G7)/G7</f>
        <v>#DIV/0!</v>
      </c>
      <c r="I7" s="510">
        <f>+F7/$F$33</f>
        <v>5.6598783390637397E-2</v>
      </c>
      <c r="J7" s="52"/>
      <c r="K7" s="397" t="s">
        <v>49</v>
      </c>
      <c r="L7" s="509">
        <f>+'[3]Sun Country Cargo'!$HF$64</f>
        <v>3169162</v>
      </c>
      <c r="M7" s="283">
        <f>+'[3]Sun Country Cargo'!$GR$64</f>
        <v>0</v>
      </c>
      <c r="N7" s="510" t="e">
        <f>(L7-M7)/M7</f>
        <v>#DIV/0!</v>
      </c>
      <c r="O7" s="283">
        <f>+SUM('[3]Sun Country Cargo'!$HD$64:$HF$64)</f>
        <v>5873852</v>
      </c>
      <c r="P7" s="283">
        <f>+SUM('[3]Sun Country Cargo'!$GP$64:$GR$64)</f>
        <v>0</v>
      </c>
      <c r="Q7" s="491" t="e">
        <f>(O7-P7)/P7</f>
        <v>#DIV/0!</v>
      </c>
      <c r="R7" s="510">
        <f>O7/$O$33</f>
        <v>5.9995231106707535E-2</v>
      </c>
      <c r="S7" s="19"/>
    </row>
    <row r="8" spans="1:20" ht="14.1" customHeight="1" x14ac:dyDescent="0.2">
      <c r="A8" s="52"/>
      <c r="B8" s="54"/>
      <c r="F8" s="511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6">
        <f>SUM(C10:C16)</f>
        <v>142</v>
      </c>
      <c r="D9" s="506">
        <f>SUM(D10:D16)</f>
        <v>131</v>
      </c>
      <c r="E9" s="507">
        <f>(C9-D9)/D9</f>
        <v>8.3969465648854963E-2</v>
      </c>
      <c r="F9" s="506">
        <f>SUM(F10:F16)</f>
        <v>384</v>
      </c>
      <c r="G9" s="506">
        <f>SUM(G10:G16)</f>
        <v>405</v>
      </c>
      <c r="H9" s="508">
        <f>(F9-G9)/G9</f>
        <v>-5.185185185185185E-2</v>
      </c>
      <c r="I9" s="507">
        <f>+F9/$F$33</f>
        <v>0.10156043374768579</v>
      </c>
      <c r="J9" s="322" t="s">
        <v>220</v>
      </c>
      <c r="K9" s="54"/>
      <c r="L9" s="506">
        <f>SUM(L10:L16)</f>
        <v>1480870</v>
      </c>
      <c r="M9" s="506">
        <f>SUM(M10:M16)</f>
        <v>1641604</v>
      </c>
      <c r="N9" s="507">
        <f t="shared" ref="N9:N16" si="0">(L9-M9)/M9</f>
        <v>-9.7912773117024565E-2</v>
      </c>
      <c r="O9" s="506">
        <f>SUM(O10:O16)</f>
        <v>3840721</v>
      </c>
      <c r="P9" s="506">
        <f>SUM(P10:P16)</f>
        <v>4861547</v>
      </c>
      <c r="Q9" s="508">
        <f t="shared" ref="Q9:Q16" si="1">(O9-P9)/P9</f>
        <v>-0.20997966285217443</v>
      </c>
      <c r="R9" s="507">
        <f t="shared" ref="R9:R16" si="2">O9/$O$33</f>
        <v>3.9228932566122685E-2</v>
      </c>
      <c r="S9" s="19"/>
    </row>
    <row r="10" spans="1:20" ht="14.1" customHeight="1" x14ac:dyDescent="0.2">
      <c r="A10" s="322"/>
      <c r="B10" s="397" t="s">
        <v>221</v>
      </c>
      <c r="C10" s="509">
        <f>+[3]Airborne!$HF$19</f>
        <v>0</v>
      </c>
      <c r="D10" s="283">
        <f>+[3]Airborne!$GR$19</f>
        <v>0</v>
      </c>
      <c r="E10" s="510" t="e">
        <f>(C10-D10)/D10</f>
        <v>#DIV/0!</v>
      </c>
      <c r="F10" s="509">
        <f>+SUM([3]Airborne!$HD$19:$HF$19)</f>
        <v>0</v>
      </c>
      <c r="G10" s="283">
        <f>+SUM([3]Airborne!$GP$19:$GR$19)</f>
        <v>0</v>
      </c>
      <c r="H10" s="491" t="e">
        <f>(F10-G10)/G10</f>
        <v>#DIV/0!</v>
      </c>
      <c r="I10" s="510">
        <f t="shared" ref="I10" si="3">+F10/$F$33</f>
        <v>0</v>
      </c>
      <c r="J10" s="322"/>
      <c r="K10" s="397" t="s">
        <v>221</v>
      </c>
      <c r="L10" s="509">
        <f>+[3]Airborne!$HF$64</f>
        <v>0</v>
      </c>
      <c r="M10" s="283">
        <f>+[3]Airborne!$GR$64</f>
        <v>0</v>
      </c>
      <c r="N10" s="510" t="e">
        <f t="shared" si="0"/>
        <v>#DIV/0!</v>
      </c>
      <c r="O10" s="509">
        <f>+SUM([3]Airborne!$HD$64:$HF$64)</f>
        <v>0</v>
      </c>
      <c r="P10" s="283">
        <f>+SUM([3]Airborne!$GP$64:$GR$64)</f>
        <v>0</v>
      </c>
      <c r="Q10" s="491" t="e">
        <f t="shared" si="1"/>
        <v>#DIV/0!</v>
      </c>
      <c r="R10" s="510">
        <f t="shared" si="2"/>
        <v>0</v>
      </c>
      <c r="S10" s="19"/>
    </row>
    <row r="11" spans="1:20" ht="14.1" customHeight="1" x14ac:dyDescent="0.2">
      <c r="A11" s="322"/>
      <c r="B11" s="54" t="s">
        <v>219</v>
      </c>
      <c r="C11" s="509">
        <f>+[3]DHL_Atlas!$HF$19</f>
        <v>6</v>
      </c>
      <c r="D11" s="283">
        <f>+[3]DHL_Atlas!$GR$19</f>
        <v>0</v>
      </c>
      <c r="E11" s="510" t="e">
        <f t="shared" ref="E11:E16" si="4">(C11-D11)/D11</f>
        <v>#DIV/0!</v>
      </c>
      <c r="F11" s="509">
        <f>+SUM([3]DHL_Atlas!$HD$19:$HF$19)</f>
        <v>6</v>
      </c>
      <c r="G11" s="283">
        <f>+SUM([3]DHL_Atlas!$GP$19:$GR$19)</f>
        <v>0</v>
      </c>
      <c r="H11" s="491" t="e">
        <f t="shared" ref="H11:H16" si="5">(F11-G11)/G11</f>
        <v>#DIV/0!</v>
      </c>
      <c r="I11" s="510">
        <f>+F11/$F$33</f>
        <v>1.5868817773075905E-3</v>
      </c>
      <c r="J11" s="322"/>
      <c r="K11" s="54" t="s">
        <v>219</v>
      </c>
      <c r="L11" s="509">
        <f>+[3]DHL_Atlas!$HF$64</f>
        <v>136615</v>
      </c>
      <c r="M11" s="283">
        <f>+[3]DHL_Atlas!$GR$64</f>
        <v>0</v>
      </c>
      <c r="N11" s="510" t="e">
        <f t="shared" si="0"/>
        <v>#DIV/0!</v>
      </c>
      <c r="O11" s="509">
        <f>+SUM([3]DHL_Atlas!$HD$64:$HF$64)</f>
        <v>136615</v>
      </c>
      <c r="P11" s="283">
        <f>+SUM([3]DHL_Atlas!$GP$64:$GR$64)</f>
        <v>0</v>
      </c>
      <c r="Q11" s="491" t="e">
        <f t="shared" si="1"/>
        <v>#DIV/0!</v>
      </c>
      <c r="R11" s="510">
        <f t="shared" si="2"/>
        <v>1.395378790211747E-3</v>
      </c>
      <c r="S11" s="19"/>
    </row>
    <row r="12" spans="1:20" ht="14.1" customHeight="1" x14ac:dyDescent="0.2">
      <c r="A12" s="322"/>
      <c r="B12" s="54" t="s">
        <v>222</v>
      </c>
      <c r="C12" s="509">
        <f>+[3]DHL!$HF$19</f>
        <v>0</v>
      </c>
      <c r="D12" s="283">
        <f>+[3]DHL!$GR$19</f>
        <v>41</v>
      </c>
      <c r="E12" s="510">
        <f t="shared" si="4"/>
        <v>-1</v>
      </c>
      <c r="F12" s="509">
        <f>+SUM([3]DHL!$HD$19:$HF$19)</f>
        <v>0</v>
      </c>
      <c r="G12" s="283">
        <f>+SUM([3]DHL!$GP$19:$GR$19)</f>
        <v>117</v>
      </c>
      <c r="H12" s="491">
        <f t="shared" si="5"/>
        <v>-1</v>
      </c>
      <c r="I12" s="510">
        <f>+F12/$F$33</f>
        <v>0</v>
      </c>
      <c r="J12" s="322"/>
      <c r="K12" s="54" t="s">
        <v>222</v>
      </c>
      <c r="L12" s="509">
        <f>+[3]DHL!$HF$64</f>
        <v>0</v>
      </c>
      <c r="M12" s="283">
        <f>+[3]DHL!$GR$64</f>
        <v>1504363</v>
      </c>
      <c r="N12" s="510">
        <f t="shared" si="0"/>
        <v>-1</v>
      </c>
      <c r="O12" s="509">
        <f>+SUM([3]DHL!$HD$64:$HF$64)</f>
        <v>0</v>
      </c>
      <c r="P12" s="283">
        <f>+SUM([3]DHL!$GP$64:$GR$64)</f>
        <v>3687908</v>
      </c>
      <c r="Q12" s="491">
        <f t="shared" si="1"/>
        <v>-1</v>
      </c>
      <c r="R12" s="510">
        <f t="shared" si="2"/>
        <v>0</v>
      </c>
      <c r="S12" s="19"/>
    </row>
    <row r="13" spans="1:20" ht="14.1" customHeight="1" x14ac:dyDescent="0.2">
      <c r="A13" s="322"/>
      <c r="B13" s="54" t="s">
        <v>201</v>
      </c>
      <c r="C13" s="509">
        <f>+[3]Encore!$HF$19+[3]DHL_Encore!$HF$12</f>
        <v>88</v>
      </c>
      <c r="D13" s="283">
        <f>+[3]Encore!$GR$19+[3]DHL_Encore!$GR$19</f>
        <v>90</v>
      </c>
      <c r="E13" s="510">
        <f t="shared" si="4"/>
        <v>-2.2222222222222223E-2</v>
      </c>
      <c r="F13" s="509">
        <f>+SUM([3]Encore!$HD$19:$HF$19)+SUM([3]DHL_Encore!$HD$19:$HF$19)</f>
        <v>246</v>
      </c>
      <c r="G13" s="283">
        <f>+SUM([3]Encore!$GP$19:$GR$19)+SUM([3]DHL_Encore!$GP$19:$GR$19)</f>
        <v>254</v>
      </c>
      <c r="H13" s="491">
        <f t="shared" si="5"/>
        <v>-3.1496062992125984E-2</v>
      </c>
      <c r="I13" s="510">
        <f t="shared" ref="I13:I16" si="6">+F13/$F$33</f>
        <v>6.5062152869611214E-2</v>
      </c>
      <c r="J13" s="322"/>
      <c r="K13" s="54" t="s">
        <v>201</v>
      </c>
      <c r="L13" s="509">
        <f>+[3]Encore!$HF$64+[3]DHL_Encore!$HF$64</f>
        <v>161266</v>
      </c>
      <c r="M13" s="283">
        <f>+[3]Encore!$GR$64+[3]DHL_Encore!$GR$64</f>
        <v>137241</v>
      </c>
      <c r="N13" s="510">
        <f t="shared" si="0"/>
        <v>0.17505701648924155</v>
      </c>
      <c r="O13" s="509">
        <f>+SUM([3]Encore!$HD$64:$HF$64)+SUM([3]DHL_Encore!$HD$64:$HF$64)</f>
        <v>425704</v>
      </c>
      <c r="P13" s="283">
        <f>+SUM([3]Encore!$GP$64:$GR$64)+SUM([3]DHL_Encore!$GP$64:$GR$64)</f>
        <v>337652</v>
      </c>
      <c r="Q13" s="491">
        <f t="shared" si="1"/>
        <v>0.26077736841481763</v>
      </c>
      <c r="R13" s="510">
        <f t="shared" si="2"/>
        <v>4.3481194049577393E-3</v>
      </c>
      <c r="S13" s="19"/>
    </row>
    <row r="14" spans="1:20" ht="14.1" customHeight="1" x14ac:dyDescent="0.2">
      <c r="A14" s="322"/>
      <c r="B14" s="54" t="s">
        <v>223</v>
      </c>
      <c r="C14" s="509">
        <f>+[3]DHL_Kalitta!$HF$19</f>
        <v>40</v>
      </c>
      <c r="D14" s="283">
        <f>+[3]DHL_Kalitta!$GR$19</f>
        <v>0</v>
      </c>
      <c r="E14" s="510" t="e">
        <f t="shared" si="4"/>
        <v>#DIV/0!</v>
      </c>
      <c r="F14" s="509">
        <f>+SUM([3]DHL_Kalitta!$HD$19:$HF$19)</f>
        <v>48</v>
      </c>
      <c r="G14" s="283">
        <f>+SUM([3]DHL_Kalitta!$GP$19:$GR$19)</f>
        <v>34</v>
      </c>
      <c r="H14" s="491">
        <f t="shared" si="5"/>
        <v>0.41176470588235292</v>
      </c>
      <c r="I14" s="510">
        <f>+F14/$F$33</f>
        <v>1.2695054218460724E-2</v>
      </c>
      <c r="J14" s="322"/>
      <c r="K14" s="54" t="s">
        <v>223</v>
      </c>
      <c r="L14" s="509">
        <f>+[3]DHL_Kalitta!$HF$64</f>
        <v>1037946</v>
      </c>
      <c r="M14" s="283">
        <f>+[3]DHL_Kalitta!$GR$64</f>
        <v>0</v>
      </c>
      <c r="N14" s="510" t="e">
        <f t="shared" si="0"/>
        <v>#DIV/0!</v>
      </c>
      <c r="O14" s="509">
        <f>+SUM([3]DHL_Kalitta!$HD$64:$HF$64)</f>
        <v>1228459</v>
      </c>
      <c r="P14" s="283">
        <f>+SUM([3]DHL_Kalitta!$GP$64:$GR$64)</f>
        <v>835987</v>
      </c>
      <c r="Q14" s="491">
        <f t="shared" si="1"/>
        <v>0.46947141522535635</v>
      </c>
      <c r="R14" s="510">
        <f t="shared" si="2"/>
        <v>1.2547418901619386E-2</v>
      </c>
      <c r="S14" s="19"/>
    </row>
    <row r="15" spans="1:20" ht="14.1" customHeight="1" x14ac:dyDescent="0.2">
      <c r="A15" s="322"/>
      <c r="B15" s="54" t="s">
        <v>224</v>
      </c>
      <c r="C15" s="509">
        <f>+[3]DHL_Southair!$HF$19</f>
        <v>0</v>
      </c>
      <c r="D15" s="283">
        <f>+[3]DHL_Southair!$GR$19</f>
        <v>0</v>
      </c>
      <c r="E15" s="510" t="e">
        <f t="shared" si="4"/>
        <v>#DIV/0!</v>
      </c>
      <c r="F15" s="509">
        <f>+SUM([3]DHL_Southair!$HD$19:$HF$19)</f>
        <v>0</v>
      </c>
      <c r="G15" s="283">
        <f>+SUM([3]DHL_Southair!$GP$19:$GR$19)</f>
        <v>0</v>
      </c>
      <c r="H15" s="491" t="e">
        <f t="shared" si="5"/>
        <v>#DIV/0!</v>
      </c>
      <c r="I15" s="510">
        <f>+F15/$F$33</f>
        <v>0</v>
      </c>
      <c r="J15" s="322"/>
      <c r="K15" s="54" t="s">
        <v>224</v>
      </c>
      <c r="L15" s="509">
        <f>+[3]DHL_Southair!$HF$64</f>
        <v>0</v>
      </c>
      <c r="M15" s="283">
        <f>+[3]DHL_Southair!$GR$64</f>
        <v>0</v>
      </c>
      <c r="N15" s="510" t="e">
        <f t="shared" si="0"/>
        <v>#DIV/0!</v>
      </c>
      <c r="O15" s="509">
        <f>+SUM([3]DHL_Southair!$HD$64:$HF$64)</f>
        <v>0</v>
      </c>
      <c r="P15" s="283">
        <f>+SUM([3]DHL_Southair!$GP$64:$GR$64)</f>
        <v>0</v>
      </c>
      <c r="Q15" s="491" t="e">
        <f t="shared" si="1"/>
        <v>#DIV/0!</v>
      </c>
      <c r="R15" s="510">
        <f t="shared" si="2"/>
        <v>0</v>
      </c>
      <c r="S15" s="19"/>
    </row>
    <row r="16" spans="1:20" ht="14.1" customHeight="1" x14ac:dyDescent="0.2">
      <c r="A16" s="322"/>
      <c r="B16" s="54" t="s">
        <v>225</v>
      </c>
      <c r="C16" s="509">
        <f>+[3]DHL_Swift!$HF$19</f>
        <v>8</v>
      </c>
      <c r="D16" s="283">
        <f>+[3]DHL_Swift!$GR$19</f>
        <v>0</v>
      </c>
      <c r="E16" s="510" t="e">
        <f t="shared" si="4"/>
        <v>#DIV/0!</v>
      </c>
      <c r="F16" s="509">
        <f>+SUM([3]DHL_Swift!$HD$19:$HF$19)</f>
        <v>84</v>
      </c>
      <c r="G16" s="283">
        <f>+SUM([3]DHL_Swift!$GP$19:$GR$19)</f>
        <v>0</v>
      </c>
      <c r="H16" s="491" t="e">
        <f t="shared" si="5"/>
        <v>#DIV/0!</v>
      </c>
      <c r="I16" s="510">
        <f t="shared" si="6"/>
        <v>2.2216344882306269E-2</v>
      </c>
      <c r="J16" s="322"/>
      <c r="K16" s="54" t="s">
        <v>225</v>
      </c>
      <c r="L16" s="509">
        <f>+[3]DHL_Swift!$HF$64</f>
        <v>145043</v>
      </c>
      <c r="M16" s="283">
        <f>+[3]DHL_Swift!$GR$64</f>
        <v>0</v>
      </c>
      <c r="N16" s="510" t="e">
        <f t="shared" si="0"/>
        <v>#DIV/0!</v>
      </c>
      <c r="O16" s="509">
        <f>+SUM([3]DHL_Swift!$HD$64:$HF$64)</f>
        <v>2049943</v>
      </c>
      <c r="P16" s="283">
        <f>+SUM([3]DHL_Swift!$GP$64:$GR$64)</f>
        <v>0</v>
      </c>
      <c r="Q16" s="491" t="e">
        <f t="shared" si="1"/>
        <v>#DIV/0!</v>
      </c>
      <c r="R16" s="510">
        <f t="shared" si="2"/>
        <v>2.0938015469333816E-2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185</v>
      </c>
      <c r="B18" s="54"/>
      <c r="C18" s="512">
        <f>SUM(C19:C22)</f>
        <v>386</v>
      </c>
      <c r="D18" s="506">
        <f>SUM(D19:D22)</f>
        <v>304</v>
      </c>
      <c r="E18" s="507">
        <f>(C18-D18)/D18</f>
        <v>0.26973684210526316</v>
      </c>
      <c r="F18" s="512">
        <f>SUM(F19:F22)</f>
        <v>1056</v>
      </c>
      <c r="G18" s="506">
        <f>SUM(G19:G22)</f>
        <v>903</v>
      </c>
      <c r="H18" s="508">
        <f t="shared" ref="H18:H19" si="7">(F18-G18)/G18</f>
        <v>0.16943521594684385</v>
      </c>
      <c r="I18" s="507">
        <f>+F18/$F$33</f>
        <v>0.27929119280613596</v>
      </c>
      <c r="J18" s="322" t="s">
        <v>185</v>
      </c>
      <c r="K18" s="54"/>
      <c r="L18" s="512">
        <f>SUM(L19:L22)</f>
        <v>17514494</v>
      </c>
      <c r="M18" s="506">
        <f>SUM(M19:M22)</f>
        <v>15979100</v>
      </c>
      <c r="N18" s="507">
        <f>(L18-M18)/M18</f>
        <v>9.6087639479069537E-2</v>
      </c>
      <c r="O18" s="512">
        <f>SUM(O19:O22)</f>
        <v>48098622</v>
      </c>
      <c r="P18" s="506">
        <f>SUM(P19:P22)</f>
        <v>47356884</v>
      </c>
      <c r="Q18" s="508">
        <f t="shared" ref="Q18:Q20" si="8">(O18-P18)/P18</f>
        <v>1.5662728147400915E-2</v>
      </c>
      <c r="R18" s="507">
        <f>O18/$O$33</f>
        <v>0.49127692403624867</v>
      </c>
      <c r="S18" s="19"/>
    </row>
    <row r="19" spans="1:20" ht="14.1" customHeight="1" x14ac:dyDescent="0.2">
      <c r="A19" s="52"/>
      <c r="B19" s="397" t="s">
        <v>185</v>
      </c>
      <c r="C19" s="509">
        <f>+[3]FedEx!$HF$19</f>
        <v>304</v>
      </c>
      <c r="D19" s="283">
        <f>+[3]FedEx!$GR$19</f>
        <v>228</v>
      </c>
      <c r="E19" s="510">
        <f>(C19-D19)/D19</f>
        <v>0.33333333333333331</v>
      </c>
      <c r="F19" s="509">
        <f>+SUM([3]FedEx!$HD$19:$HF$19)</f>
        <v>844</v>
      </c>
      <c r="G19" s="283">
        <f>+SUM([3]FedEx!$GP$19:$GR$19)</f>
        <v>678</v>
      </c>
      <c r="H19" s="491">
        <f t="shared" si="7"/>
        <v>0.24483775811209441</v>
      </c>
      <c r="I19" s="510">
        <f>+F19/$F$33</f>
        <v>0.22322137000793441</v>
      </c>
      <c r="J19" s="322"/>
      <c r="K19" s="397" t="s">
        <v>185</v>
      </c>
      <c r="L19" s="509">
        <f>+[3]FedEx!$HF$64</f>
        <v>17450209</v>
      </c>
      <c r="M19" s="283">
        <f>+[3]FedEx!$GR$64</f>
        <v>15796402</v>
      </c>
      <c r="N19" s="510">
        <f>(L19-M19)/M19</f>
        <v>0.10469517045717119</v>
      </c>
      <c r="O19" s="509">
        <f>+SUM([3]FedEx!$HD$64:$HF$64)</f>
        <v>47724757</v>
      </c>
      <c r="P19" s="283">
        <f>+SUM([3]FedEx!$GP$64:$GR$64)</f>
        <v>46157736</v>
      </c>
      <c r="Q19" s="491">
        <f t="shared" si="8"/>
        <v>3.3949260422998215E-2</v>
      </c>
      <c r="R19" s="510">
        <f>O19/$O$33</f>
        <v>0.48745828558950044</v>
      </c>
      <c r="S19" s="19"/>
    </row>
    <row r="20" spans="1:20" ht="14.1" customHeight="1" x14ac:dyDescent="0.2">
      <c r="A20" s="52"/>
      <c r="B20" s="397" t="s">
        <v>226</v>
      </c>
      <c r="C20" s="509">
        <f>+'[3]Mountain Cargo'!$HF$19</f>
        <v>44</v>
      </c>
      <c r="D20" s="283">
        <f>+'[3]Mountain Cargo'!$GR$19</f>
        <v>40</v>
      </c>
      <c r="E20" s="510">
        <f>(C20-D20)/D20</f>
        <v>0.1</v>
      </c>
      <c r="F20" s="509">
        <f>+SUM('[3]Mountain Cargo'!$HD$19:$HF$19)</f>
        <v>126</v>
      </c>
      <c r="G20" s="283">
        <f>+SUM('[3]Mountain Cargo'!$GP$19:$GR$19)</f>
        <v>124</v>
      </c>
      <c r="H20" s="491">
        <f>(F20-G20)/G20</f>
        <v>1.6129032258064516E-2</v>
      </c>
      <c r="I20" s="510">
        <f>+F20/$F$33</f>
        <v>3.3324517323459403E-2</v>
      </c>
      <c r="J20" s="476"/>
      <c r="K20" s="397" t="s">
        <v>226</v>
      </c>
      <c r="L20" s="509">
        <f>+'[3]Mountain Cargo'!$HF$64</f>
        <v>11431</v>
      </c>
      <c r="M20" s="283">
        <f>+'[3]Mountain Cargo'!$GR$64</f>
        <v>132476</v>
      </c>
      <c r="N20" s="510">
        <f>(L20-M20)/M20</f>
        <v>-0.91371267248407262</v>
      </c>
      <c r="O20" s="509">
        <f>+SUM('[3]Mountain Cargo'!$HD$64:$HF$64)</f>
        <v>247136</v>
      </c>
      <c r="P20" s="283">
        <f>+SUM('[3]Mountain Cargo'!$GP$64:$GR$64)</f>
        <v>1071602</v>
      </c>
      <c r="Q20" s="491">
        <f t="shared" si="8"/>
        <v>-0.76937706349932156</v>
      </c>
      <c r="R20" s="510">
        <f>O20/$O$33</f>
        <v>2.5242347670297572E-3</v>
      </c>
      <c r="S20" s="19"/>
    </row>
    <row r="21" spans="1:20" ht="14.1" customHeight="1" x14ac:dyDescent="0.2">
      <c r="A21" s="52"/>
      <c r="B21" s="397" t="s">
        <v>177</v>
      </c>
      <c r="C21" s="509">
        <f>+[3]IFL!$HF$19</f>
        <v>38</v>
      </c>
      <c r="D21" s="283">
        <f>+[3]IFL!$GR$19</f>
        <v>36</v>
      </c>
      <c r="E21" s="510">
        <f>(C21-D21)/D21</f>
        <v>5.5555555555555552E-2</v>
      </c>
      <c r="F21" s="509">
        <f>+SUM([3]IFL!$HD$19:$HF$19)</f>
        <v>86</v>
      </c>
      <c r="G21" s="283">
        <f>+SUM([3]IFL!$GP$19:$GR$19)</f>
        <v>101</v>
      </c>
      <c r="H21" s="491">
        <f>(F21-G21)/G21</f>
        <v>-0.14851485148514851</v>
      </c>
      <c r="I21" s="510">
        <f>+F21/$F$33</f>
        <v>2.2745305474742131E-2</v>
      </c>
      <c r="J21" s="476"/>
      <c r="K21" s="397" t="s">
        <v>177</v>
      </c>
      <c r="L21" s="509">
        <f>+[3]IFL!$HF$64</f>
        <v>52854</v>
      </c>
      <c r="M21" s="283">
        <f>+[3]IFL!$GR$64</f>
        <v>50222</v>
      </c>
      <c r="N21" s="510">
        <f>(L21-M21)/M21</f>
        <v>5.2407311536776711E-2</v>
      </c>
      <c r="O21" s="509">
        <f>+SUM([3]IFL!$HD$64:$HF$64)</f>
        <v>126729</v>
      </c>
      <c r="P21" s="283">
        <f>+SUM([3]IFL!$GP$64:$GR$64)</f>
        <v>127546</v>
      </c>
      <c r="Q21" s="491">
        <f>(O21-P21)/P21</f>
        <v>-6.4055321217443119E-3</v>
      </c>
      <c r="R21" s="510">
        <f>O21/$O$33</f>
        <v>1.2944036797185117E-3</v>
      </c>
      <c r="S21" s="19"/>
    </row>
    <row r="22" spans="1:20" ht="14.1" customHeight="1" x14ac:dyDescent="0.2">
      <c r="A22" s="322"/>
      <c r="B22" s="397" t="s">
        <v>84</v>
      </c>
      <c r="C22" s="509">
        <f>+'[3]CSA Air'!$HF$19</f>
        <v>0</v>
      </c>
      <c r="D22" s="283">
        <f>+'[3]CSA Air'!$GR$19</f>
        <v>0</v>
      </c>
      <c r="E22" s="510" t="e">
        <f>(C22-D22)/D22</f>
        <v>#DIV/0!</v>
      </c>
      <c r="F22" s="509">
        <f>+SUM('[3]CSA Air'!$HD$19:$HF$19)</f>
        <v>0</v>
      </c>
      <c r="G22" s="283">
        <f>+SUM('[3]CSA Air'!$GP$19:$GR$19)</f>
        <v>0</v>
      </c>
      <c r="H22" s="491" t="e">
        <f t="shared" ref="H22" si="9">(F22-G22)/G22</f>
        <v>#DIV/0!</v>
      </c>
      <c r="I22" s="510">
        <f>+F22/$F$33</f>
        <v>0</v>
      </c>
      <c r="J22" s="322"/>
      <c r="K22" s="397" t="s">
        <v>84</v>
      </c>
      <c r="L22" s="509">
        <f>+'[3]CSA Air'!$HF$64</f>
        <v>0</v>
      </c>
      <c r="M22" s="283">
        <f>+'[3]CSA Air'!$GR$64</f>
        <v>0</v>
      </c>
      <c r="N22" s="510" t="e">
        <f>(L22-M22)/M22</f>
        <v>#DIV/0!</v>
      </c>
      <c r="O22" s="509">
        <f>+SUM('[3]CSA Air'!$HD$64:$HF$64)</f>
        <v>0</v>
      </c>
      <c r="P22" s="283">
        <f>+SUM('[3]CSA Air'!$GP$64:$GR$64)</f>
        <v>0</v>
      </c>
      <c r="Q22" s="491" t="e">
        <f t="shared" ref="Q22" si="10">(O22-P22)/P22</f>
        <v>#DIV/0!</v>
      </c>
      <c r="R22" s="510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6">
        <f>SUM(C26:C27)</f>
        <v>750</v>
      </c>
      <c r="D25" s="506">
        <f>SUM(D26:D27)</f>
        <v>650</v>
      </c>
      <c r="E25" s="507">
        <f>(C25-D25)/D25</f>
        <v>0.15384615384615385</v>
      </c>
      <c r="F25" s="506">
        <f>SUM(F26:F27)</f>
        <v>2096</v>
      </c>
      <c r="G25" s="506">
        <f>SUM(G26:G27)</f>
        <v>1954</v>
      </c>
      <c r="H25" s="508">
        <f>(F25-G25)/G25</f>
        <v>7.2671443193449328E-2</v>
      </c>
      <c r="I25" s="507">
        <f>+F25/$F$33</f>
        <v>0.55435070087278493</v>
      </c>
      <c r="J25" s="322" t="s">
        <v>82</v>
      </c>
      <c r="K25" s="54"/>
      <c r="L25" s="506">
        <f>SUM(L26:L27)</f>
        <v>14772561</v>
      </c>
      <c r="M25" s="506">
        <f>SUM(M26:M27)</f>
        <v>11649110</v>
      </c>
      <c r="N25" s="507">
        <f>(L25-M25)/M25</f>
        <v>0.26812786556226181</v>
      </c>
      <c r="O25" s="506">
        <f>SUM(O26:O27)</f>
        <v>39331130</v>
      </c>
      <c r="P25" s="506">
        <f>SUM(P26:P27)</f>
        <v>34034497</v>
      </c>
      <c r="Q25" s="508">
        <f>(O25-P25)/P25</f>
        <v>0.15562542322867295</v>
      </c>
      <c r="R25" s="507">
        <f>O25/$O$33</f>
        <v>0.40172619841936058</v>
      </c>
      <c r="S25" s="433"/>
      <c r="T25" s="541"/>
    </row>
    <row r="26" spans="1:20" s="7" customFormat="1" ht="14.1" customHeight="1" x14ac:dyDescent="0.2">
      <c r="A26" s="322"/>
      <c r="B26" s="397" t="s">
        <v>82</v>
      </c>
      <c r="C26" s="509">
        <f>+[3]UPS!$HF$19</f>
        <v>302</v>
      </c>
      <c r="D26" s="283">
        <f>+[3]UPS!$GR$19</f>
        <v>252</v>
      </c>
      <c r="E26" s="510">
        <f>(C26-D26)/D26</f>
        <v>0.1984126984126984</v>
      </c>
      <c r="F26" s="509">
        <f>+SUM([3]UPS!$HD$19:$HF$19)</f>
        <v>878</v>
      </c>
      <c r="G26" s="283">
        <f>+SUM([3]UPS!$GP$19:$GR$19)</f>
        <v>770</v>
      </c>
      <c r="H26" s="491">
        <f>(F26-G26)/G26</f>
        <v>0.14025974025974025</v>
      </c>
      <c r="I26" s="510">
        <f>+F26/$F$33</f>
        <v>0.23221370007934408</v>
      </c>
      <c r="J26" s="322"/>
      <c r="K26" s="397" t="s">
        <v>82</v>
      </c>
      <c r="L26" s="509">
        <f>+[3]UPS!$HF$64</f>
        <v>14772561</v>
      </c>
      <c r="M26" s="283">
        <f>+[3]UPS!$GR$64</f>
        <v>11649110</v>
      </c>
      <c r="N26" s="510">
        <f>(L26-M26)/M26</f>
        <v>0.26812786556226181</v>
      </c>
      <c r="O26" s="509">
        <f>+SUM([3]UPS!$HD$64:$HF$64)</f>
        <v>39331130</v>
      </c>
      <c r="P26" s="283">
        <f>+SUM([3]UPS!$GP$64:$GR$64)</f>
        <v>34034497</v>
      </c>
      <c r="Q26" s="491">
        <f>(O26-P26)/P26</f>
        <v>0.15562542322867295</v>
      </c>
      <c r="R26" s="510">
        <f>O26/$O$33</f>
        <v>0.40172619841936058</v>
      </c>
      <c r="S26" s="433"/>
      <c r="T26" s="541"/>
    </row>
    <row r="27" spans="1:20" x14ac:dyDescent="0.2">
      <c r="A27" s="322"/>
      <c r="B27" s="397" t="s">
        <v>83</v>
      </c>
      <c r="C27" s="509">
        <f>+[3]Bemidji!$HF$19</f>
        <v>448</v>
      </c>
      <c r="D27" s="283">
        <f>+[3]Bemidji!$GR$19</f>
        <v>398</v>
      </c>
      <c r="E27" s="510">
        <f>(C27-D27)/D27</f>
        <v>0.12562814070351758</v>
      </c>
      <c r="F27" s="509">
        <f>+SUM([3]Bemidji!$HD$19:$HF$19)</f>
        <v>1218</v>
      </c>
      <c r="G27" s="283">
        <f>+SUM([3]Bemidji!$GP$19:$GR$19)</f>
        <v>1184</v>
      </c>
      <c r="H27" s="491">
        <f t="shared" ref="H27" si="11">(F27-G27)/G27</f>
        <v>2.8716216216216218E-2</v>
      </c>
      <c r="I27" s="510">
        <f>+F27/$F$33</f>
        <v>0.32213700079344088</v>
      </c>
      <c r="J27" s="322"/>
      <c r="K27" s="397" t="s">
        <v>83</v>
      </c>
      <c r="L27" s="571" t="s">
        <v>188</v>
      </c>
      <c r="M27" s="572"/>
      <c r="N27" s="572"/>
      <c r="O27" s="572"/>
      <c r="P27" s="572"/>
      <c r="Q27" s="572"/>
      <c r="R27" s="573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39"/>
    </row>
    <row r="29" spans="1:20" x14ac:dyDescent="0.2">
      <c r="A29" s="322" t="s">
        <v>127</v>
      </c>
      <c r="B29" s="54"/>
      <c r="C29" s="512">
        <f>+'[3]Misc Cargo'!$HF$19</f>
        <v>0</v>
      </c>
      <c r="D29" s="506">
        <f>+'[3]Misc Cargo'!$GR$19</f>
        <v>0</v>
      </c>
      <c r="E29" s="507" t="e">
        <f>(C29-D29)/D29</f>
        <v>#DIV/0!</v>
      </c>
      <c r="F29" s="512">
        <f>+SUM('[3]Misc Cargo'!$HD$19:$HF$19)</f>
        <v>2</v>
      </c>
      <c r="G29" s="506">
        <f>+SUM('[3]Misc Cargo'!$GP$19:$GR$19)</f>
        <v>9</v>
      </c>
      <c r="H29" s="508">
        <f>(F29-G29)/G29</f>
        <v>-0.77777777777777779</v>
      </c>
      <c r="I29" s="507">
        <f>+F29/$F$33</f>
        <v>5.2896059243586358E-4</v>
      </c>
      <c r="J29" s="322" t="s">
        <v>127</v>
      </c>
      <c r="K29" s="54"/>
      <c r="L29" s="512">
        <f>+'[3]Misc Cargo'!$HF$64</f>
        <v>0</v>
      </c>
      <c r="M29" s="506">
        <f>+'[3]Misc Cargo'!$GR$64</f>
        <v>0</v>
      </c>
      <c r="N29" s="507" t="e">
        <f>(L29-M29)/M29</f>
        <v>#DIV/0!</v>
      </c>
      <c r="O29" s="512">
        <f>+SUM('[3]Misc Cargo'!$HD$64:$HF$64)</f>
        <v>2782</v>
      </c>
      <c r="P29" s="506">
        <f>+SUM('[3]Misc Cargo'!$GP$64:$GR$64)</f>
        <v>264695</v>
      </c>
      <c r="Q29" s="508">
        <f>(O29-P29)/P29</f>
        <v>-0.98948979013581673</v>
      </c>
      <c r="R29" s="507">
        <f>O29/$O$33</f>
        <v>2.8415209123222779E-5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3"/>
      <c r="C31" s="514"/>
      <c r="D31" s="515"/>
      <c r="E31" s="516"/>
      <c r="F31" s="514"/>
      <c r="G31" s="515"/>
      <c r="H31" s="517"/>
      <c r="I31" s="516"/>
      <c r="J31" s="322"/>
      <c r="K31" s="54"/>
      <c r="L31" s="518"/>
      <c r="M31" s="340"/>
      <c r="N31" s="519"/>
      <c r="O31" s="518"/>
      <c r="P31" s="340"/>
      <c r="Q31" s="520"/>
      <c r="R31" s="513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186</v>
      </c>
      <c r="C33" s="438">
        <f>+C29+C25+C18+C9+C5</f>
        <v>1398</v>
      </c>
      <c r="D33" s="438">
        <f>+D29+D25+D18+D9+D5</f>
        <v>1145</v>
      </c>
      <c r="E33" s="439">
        <f>(C33-D33)/D33</f>
        <v>0.22096069868995633</v>
      </c>
      <c r="F33" s="438">
        <f>+F29+F25+F18+F9+F5</f>
        <v>3781</v>
      </c>
      <c r="G33" s="438">
        <f>+G29+G25+G18+G9+G5</f>
        <v>3447</v>
      </c>
      <c r="H33" s="440">
        <f>(F33-G33)/G33</f>
        <v>9.6895851465042065E-2</v>
      </c>
      <c r="I33" s="455"/>
      <c r="J33"/>
      <c r="K33" s="437" t="s">
        <v>186</v>
      </c>
      <c r="L33" s="438">
        <f>+L29+L25+L18+L9+L5</f>
        <v>37695295</v>
      </c>
      <c r="M33" s="438">
        <f>+M29+M25+M18+M9+M5</f>
        <v>31948516</v>
      </c>
      <c r="N33" s="441">
        <f>(L33-M33)/M33</f>
        <v>0.1798762421390715</v>
      </c>
      <c r="O33" s="438">
        <f>+O29+O25+O18+O9+O5</f>
        <v>97905315</v>
      </c>
      <c r="P33" s="438">
        <f>+P29+P25+P18+P9+P5</f>
        <v>93194055</v>
      </c>
      <c r="Q33" s="440">
        <f t="shared" ref="Q33" si="12">(O33-P33)/P33</f>
        <v>5.0553224666530498E-2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9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5" fitToHeight="0" orientation="landscape" r:id="rId1"/>
  <headerFooter>
    <oddHeader>&amp;CMinneapolis-St. Paul International Airport&amp;"Arial,Bold"
Cargo YTD
March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4" zoomScaleNormal="100" zoomScaleSheetLayoutView="100" workbookViewId="0">
      <selection activeCell="D1" sqref="D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44256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4" t="s">
        <v>140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6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[3]Delta!$HF$32</f>
        <v>20192</v>
      </c>
      <c r="C4" s="20">
        <f>'[3]Atlantic Southeast'!$HF$32</f>
        <v>0</v>
      </c>
      <c r="D4" s="20">
        <f>[3]Pinnacle!$HF$32</f>
        <v>0</v>
      </c>
      <c r="E4" s="20">
        <f>'[3]Sky West'!$HF$32</f>
        <v>621</v>
      </c>
      <c r="F4" s="20">
        <f>'[3]Go Jet'!$HF$32</f>
        <v>0</v>
      </c>
      <c r="G4" s="20">
        <f>'[3]Sun Country'!$HF$32</f>
        <v>15450</v>
      </c>
      <c r="H4" s="20">
        <f>[3]Icelandair!$HF$32</f>
        <v>0</v>
      </c>
      <c r="I4" s="20">
        <f>[3]KLM!$HF$32</f>
        <v>0</v>
      </c>
      <c r="J4" s="20">
        <f>'[3]Air Georgian'!$HF$32</f>
        <v>0</v>
      </c>
      <c r="K4" s="20">
        <f>'[3]Sky Regional'!$HF$32</f>
        <v>0</v>
      </c>
      <c r="L4" s="20">
        <f>[3]Condor!$HF$32</f>
        <v>0</v>
      </c>
      <c r="M4" s="20">
        <f>'[3]Aer Lingus'!$HF$32</f>
        <v>0</v>
      </c>
      <c r="N4" s="20">
        <f>'[3]Air France'!$HF$32</f>
        <v>0</v>
      </c>
      <c r="O4" s="20">
        <f>'[3]Charter Misc'!$HF$32+[3]Ryan!$HF$32+[3]Omni!$HF$32</f>
        <v>0</v>
      </c>
      <c r="P4" s="254">
        <f>SUM(B4:O4)</f>
        <v>36263</v>
      </c>
    </row>
    <row r="5" spans="1:16" x14ac:dyDescent="0.2">
      <c r="A5" s="60" t="s">
        <v>31</v>
      </c>
      <c r="B5" s="13">
        <f>[3]Delta!$HF$33</f>
        <v>21442</v>
      </c>
      <c r="C5" s="13">
        <f>'[3]Atlantic Southeast'!$HF$33</f>
        <v>0</v>
      </c>
      <c r="D5" s="13">
        <f>[3]Pinnacle!$HF$33</f>
        <v>0</v>
      </c>
      <c r="E5" s="13">
        <f>'[3]Sky West'!$HF$33</f>
        <v>610</v>
      </c>
      <c r="F5" s="13">
        <f>'[3]Go Jet'!$HF$33</f>
        <v>0</v>
      </c>
      <c r="G5" s="13">
        <f>'[3]Sun Country'!$HF$33</f>
        <v>18127</v>
      </c>
      <c r="H5" s="13">
        <f>[3]Icelandair!$HF$33</f>
        <v>0</v>
      </c>
      <c r="I5" s="13">
        <f>[3]KLM!$HF$33</f>
        <v>0</v>
      </c>
      <c r="J5" s="13">
        <f>'[3]Air Georgian'!$HF$33</f>
        <v>0</v>
      </c>
      <c r="K5" s="13">
        <f>'[3]Sky Regional'!$HF$33</f>
        <v>0</v>
      </c>
      <c r="L5" s="13">
        <f>[3]Condor!$HF$33</f>
        <v>0</v>
      </c>
      <c r="M5" s="13">
        <f>'[3]Aer Lingus'!$HF$33</f>
        <v>0</v>
      </c>
      <c r="N5" s="13">
        <f>'[3]Air France'!$HF$33</f>
        <v>0</v>
      </c>
      <c r="O5" s="13">
        <f>'[3]Charter Misc'!$HF$33++[3]Ryan!$HF$33+[3]Omni!$HF$33</f>
        <v>0</v>
      </c>
      <c r="P5" s="255">
        <f>SUM(B5:O5)</f>
        <v>40179</v>
      </c>
    </row>
    <row r="6" spans="1:16" ht="15" x14ac:dyDescent="0.25">
      <c r="A6" s="58" t="s">
        <v>7</v>
      </c>
      <c r="B6" s="33">
        <f t="shared" ref="B6:O6" si="0">SUM(B4:B5)</f>
        <v>41634</v>
      </c>
      <c r="C6" s="33">
        <f t="shared" si="0"/>
        <v>0</v>
      </c>
      <c r="D6" s="33">
        <f t="shared" si="0"/>
        <v>0</v>
      </c>
      <c r="E6" s="33">
        <f t="shared" si="0"/>
        <v>1231</v>
      </c>
      <c r="F6" s="33">
        <f t="shared" ref="F6" si="1">SUM(F4:F5)</f>
        <v>0</v>
      </c>
      <c r="G6" s="33">
        <f t="shared" si="0"/>
        <v>33577</v>
      </c>
      <c r="H6" s="33">
        <f t="shared" si="0"/>
        <v>0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6">
        <f>SUM(B6:O6)</f>
        <v>76442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[3]Delta!$HF$37</f>
        <v>621</v>
      </c>
      <c r="C9" s="20">
        <f>'[3]Atlantic Southeast'!$HF$37</f>
        <v>0</v>
      </c>
      <c r="D9" s="20">
        <f>[3]Pinnacle!$HF$37</f>
        <v>0</v>
      </c>
      <c r="E9" s="20">
        <f>'[3]Sky West'!$HF$37</f>
        <v>6</v>
      </c>
      <c r="F9" s="20">
        <f>'[3]Go Jet'!$HF$37</f>
        <v>0</v>
      </c>
      <c r="G9" s="20">
        <f>'[3]Sun Country'!$HF$37</f>
        <v>252</v>
      </c>
      <c r="H9" s="20">
        <f>[3]Icelandair!$HF$37</f>
        <v>0</v>
      </c>
      <c r="I9" s="20">
        <f>[3]KLM!$HF$37</f>
        <v>0</v>
      </c>
      <c r="J9" s="20">
        <f>'[3]Air Georgian'!$HF$37</f>
        <v>0</v>
      </c>
      <c r="K9" s="20">
        <f>'[3]Sky Regional'!$HF$37</f>
        <v>0</v>
      </c>
      <c r="L9" s="20">
        <f>[3]Condor!$HF$37</f>
        <v>0</v>
      </c>
      <c r="M9" s="20">
        <f>'[3]Aer Lingus'!$HF$37</f>
        <v>0</v>
      </c>
      <c r="N9" s="20">
        <f>'[3]Air France'!$HF$37</f>
        <v>0</v>
      </c>
      <c r="O9" s="20">
        <f>'[3]Charter Misc'!$HF$37+[3]Ryan!$HF$37+[3]Omni!$HF$37</f>
        <v>0</v>
      </c>
      <c r="P9" s="254">
        <f>SUM(B9:O9)</f>
        <v>879</v>
      </c>
    </row>
    <row r="10" spans="1:16" x14ac:dyDescent="0.2">
      <c r="A10" s="60" t="s">
        <v>33</v>
      </c>
      <c r="B10" s="13">
        <f>[3]Delta!$HF$38</f>
        <v>610</v>
      </c>
      <c r="C10" s="13">
        <f>'[3]Atlantic Southeast'!$HF$38</f>
        <v>0</v>
      </c>
      <c r="D10" s="13">
        <f>[3]Pinnacle!$HF$38</f>
        <v>0</v>
      </c>
      <c r="E10" s="13">
        <f>'[3]Sky West'!$HF$38</f>
        <v>0</v>
      </c>
      <c r="F10" s="13">
        <f>'[3]Go Jet'!$HF$38</f>
        <v>0</v>
      </c>
      <c r="G10" s="13">
        <f>'[3]Sun Country'!$HF$38</f>
        <v>265</v>
      </c>
      <c r="H10" s="13">
        <f>[3]Icelandair!$HF$38</f>
        <v>0</v>
      </c>
      <c r="I10" s="13">
        <f>[3]KLM!$HF$38</f>
        <v>0</v>
      </c>
      <c r="J10" s="13">
        <f>'[3]Air Georgian'!$HF$38</f>
        <v>0</v>
      </c>
      <c r="K10" s="13">
        <f>'[3]Sky Regional'!$HF$38</f>
        <v>0</v>
      </c>
      <c r="L10" s="13">
        <f>[3]Condor!$HF$38</f>
        <v>0</v>
      </c>
      <c r="M10" s="13">
        <f>'[3]Aer Lingus'!$HF$38</f>
        <v>0</v>
      </c>
      <c r="N10" s="13">
        <f>'[3]Air France'!$HF$38</f>
        <v>0</v>
      </c>
      <c r="O10" s="13">
        <f>'[3]Charter Misc'!$HF$38+[3]Ryan!$HF$38+[3]Omni!$HF$38</f>
        <v>0</v>
      </c>
      <c r="P10" s="255">
        <f>SUM(B10:O10)</f>
        <v>875</v>
      </c>
    </row>
    <row r="11" spans="1:16" ht="15.75" thickBot="1" x14ac:dyDescent="0.3">
      <c r="A11" s="61" t="s">
        <v>34</v>
      </c>
      <c r="B11" s="257">
        <f t="shared" ref="B11:G11" si="5">SUM(B9:B10)</f>
        <v>1231</v>
      </c>
      <c r="C11" s="257">
        <f t="shared" si="5"/>
        <v>0</v>
      </c>
      <c r="D11" s="257">
        <f t="shared" si="5"/>
        <v>0</v>
      </c>
      <c r="E11" s="257">
        <f t="shared" si="5"/>
        <v>6</v>
      </c>
      <c r="F11" s="257">
        <f t="shared" ref="F11" si="6">SUM(F9:F10)</f>
        <v>0</v>
      </c>
      <c r="G11" s="257">
        <f t="shared" si="5"/>
        <v>517</v>
      </c>
      <c r="H11" s="257">
        <f t="shared" ref="H11:O11" si="7">SUM(H9:H10)</f>
        <v>0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1754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7" t="s">
        <v>141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9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SUM([3]Delta!$HD$32:$HF$32)</f>
        <v>50051</v>
      </c>
      <c r="C16" s="20">
        <f>SUM('[3]Atlantic Southeast'!$HD$32:$HF$32)</f>
        <v>0</v>
      </c>
      <c r="D16" s="20">
        <f>SUM([3]Pinnacle!$HD$32:$HF$32)</f>
        <v>0</v>
      </c>
      <c r="E16" s="20">
        <f>SUM('[3]Sky West'!$HD$32:$HF$32)</f>
        <v>3743</v>
      </c>
      <c r="F16" s="20">
        <f>SUM('[3]Go Jet'!$HD$32:$HF$32)</f>
        <v>0</v>
      </c>
      <c r="G16" s="20">
        <f>SUM('[3]Sun Country'!$HD$32:$HF$32)</f>
        <v>34092</v>
      </c>
      <c r="H16" s="20">
        <f>SUM([3]Icelandair!$HD$32:$HF$32)</f>
        <v>0</v>
      </c>
      <c r="I16" s="20">
        <f>SUM([3]KLM!$HD$32:$HF$32)</f>
        <v>0</v>
      </c>
      <c r="J16" s="20">
        <f>SUM('[3]Air Georgian'!$HD$32:$HF$32)</f>
        <v>0</v>
      </c>
      <c r="K16" s="20">
        <f>SUM('[3]Sky Regional'!$HD$32:$HF$32)</f>
        <v>0</v>
      </c>
      <c r="L16" s="20">
        <f>SUM([3]Condor!$HD$32:$HF$32)</f>
        <v>0</v>
      </c>
      <c r="M16" s="20">
        <f>SUM('[3]Aer Lingus'!$HD$32:$HF$32)</f>
        <v>0</v>
      </c>
      <c r="N16" s="20">
        <f>SUM('[3]Air France'!$HD$32:$HF$32)</f>
        <v>0</v>
      </c>
      <c r="O16" s="20">
        <f>SUM('[3]Charter Misc'!$HD$32:$HF$32)+SUM([3]Ryan!$HD$32:$HF$32)+SUM([3]Omni!$HD$32:$HF$32)</f>
        <v>0</v>
      </c>
      <c r="P16" s="254">
        <f>SUM(B16:O16)</f>
        <v>87886</v>
      </c>
    </row>
    <row r="17" spans="1:19" x14ac:dyDescent="0.2">
      <c r="A17" s="60" t="s">
        <v>31</v>
      </c>
      <c r="B17" s="13">
        <f>SUM([3]Delta!$HD$33:$HF$33)</f>
        <v>49746</v>
      </c>
      <c r="C17" s="13">
        <f>SUM('[3]Atlantic Southeast'!$HD$33:$HF$33)</f>
        <v>0</v>
      </c>
      <c r="D17" s="13">
        <f>SUM([3]Pinnacle!$HD$33:$HF$33)</f>
        <v>0</v>
      </c>
      <c r="E17" s="13">
        <f>SUM('[3]Sky West'!$HD$33:$HF$33)</f>
        <v>3716</v>
      </c>
      <c r="F17" s="13">
        <f>SUM('[3]Go Jet'!$HD$33:$HF$33)</f>
        <v>0</v>
      </c>
      <c r="G17" s="13">
        <f>SUM('[3]Sun Country'!$HD$33:$HF$33)</f>
        <v>34751</v>
      </c>
      <c r="H17" s="13">
        <f>SUM([3]Icelandair!$HD$33:$HF$33)</f>
        <v>0</v>
      </c>
      <c r="I17" s="13">
        <f>SUM([3]KLM!$HD$33:$HF$33)</f>
        <v>0</v>
      </c>
      <c r="J17" s="13">
        <f>SUM('[3]Air Georgian'!$HD$33:$HF$33)</f>
        <v>0</v>
      </c>
      <c r="K17" s="13">
        <f>SUM('[3]Sky Regional'!$HD$33:$HF$33)</f>
        <v>0</v>
      </c>
      <c r="L17" s="13">
        <f>SUM([3]Condor!$HD$33:$HF$33)</f>
        <v>0</v>
      </c>
      <c r="M17" s="13">
        <f>SUM('[3]Aer Lingus'!$HD$33:$HF$33)</f>
        <v>0</v>
      </c>
      <c r="N17" s="13">
        <f>SUM('[3]Air France'!$HD$33:$HF$33)</f>
        <v>0</v>
      </c>
      <c r="O17" s="13">
        <f>SUM('[3]Charter Misc'!$HD$33:$HF$33)++SUM([3]Ryan!$HD$33:$HF$33)+SUM([3]Omni!$HD$33:$HF$33)</f>
        <v>0</v>
      </c>
      <c r="P17" s="255">
        <f>SUM(B17:O17)</f>
        <v>88213</v>
      </c>
    </row>
    <row r="18" spans="1:19" ht="15" x14ac:dyDescent="0.25">
      <c r="A18" s="58" t="s">
        <v>7</v>
      </c>
      <c r="B18" s="33">
        <f t="shared" ref="B18:O18" si="11">SUM(B16:B17)</f>
        <v>99797</v>
      </c>
      <c r="C18" s="33">
        <f t="shared" si="11"/>
        <v>0</v>
      </c>
      <c r="D18" s="33">
        <f t="shared" si="11"/>
        <v>0</v>
      </c>
      <c r="E18" s="33">
        <f t="shared" si="11"/>
        <v>7459</v>
      </c>
      <c r="F18" s="33">
        <f t="shared" ref="F18" si="12">SUM(F16:F17)</f>
        <v>0</v>
      </c>
      <c r="G18" s="33">
        <f t="shared" si="11"/>
        <v>68843</v>
      </c>
      <c r="H18" s="33">
        <f t="shared" si="11"/>
        <v>0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0</v>
      </c>
      <c r="O18" s="33">
        <f t="shared" si="11"/>
        <v>0</v>
      </c>
      <c r="P18" s="256">
        <f>SUM(B18:O18)</f>
        <v>176099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SUM([3]Delta!$HD$37:$HF$37)</f>
        <v>1635</v>
      </c>
      <c r="C21" s="20">
        <f>SUM('[3]Atlantic Southeast'!$HD$37:$HF$37)</f>
        <v>0</v>
      </c>
      <c r="D21" s="20">
        <f>SUM([3]Pinnacle!$HD$37:$HF$37)</f>
        <v>0</v>
      </c>
      <c r="E21" s="20">
        <f>SUM('[3]Sky West'!$HD$37:$HF$37)</f>
        <v>26</v>
      </c>
      <c r="F21" s="20">
        <f>SUM('[3]Go Jet'!$HD$37:$HF$37)</f>
        <v>0</v>
      </c>
      <c r="G21" s="20">
        <f>SUM('[3]Sun Country'!$HD$37:$HF$37)</f>
        <v>811</v>
      </c>
      <c r="H21" s="20">
        <f>SUM([3]Icelandair!$HD$37:$HF$37)</f>
        <v>0</v>
      </c>
      <c r="I21" s="20">
        <f>SUM([3]KLM!$HD$37:$HF$37)</f>
        <v>0</v>
      </c>
      <c r="J21" s="20">
        <f>SUM('[3]Air Georgian'!$HD$37:$HF$37)</f>
        <v>0</v>
      </c>
      <c r="K21" s="20">
        <f>SUM('[3]Sky Regional'!$HD$37:$HF$37)</f>
        <v>0</v>
      </c>
      <c r="L21" s="20">
        <f>SUM([3]Condor!$HD$37:$HF$37)</f>
        <v>0</v>
      </c>
      <c r="M21" s="20">
        <f>SUM('[3]Aer Lingus'!$HD$37:$HF$37)</f>
        <v>0</v>
      </c>
      <c r="N21" s="20">
        <f>SUM('[3]Air France'!$HD$37:$HF$37)</f>
        <v>0</v>
      </c>
      <c r="O21" s="20">
        <f>SUM('[3]Charter Misc'!$HD$37:$HF$37)++SUM([3]Ryan!$HD$37:$HF$37)+SUM([3]Omni!$HD$37:$HF$37)</f>
        <v>0</v>
      </c>
      <c r="P21" s="254">
        <f>SUM(B21:O21)</f>
        <v>2472</v>
      </c>
    </row>
    <row r="22" spans="1:19" x14ac:dyDescent="0.2">
      <c r="A22" s="60" t="s">
        <v>33</v>
      </c>
      <c r="B22" s="13">
        <f>SUM([3]Delta!$HD$38:$HF$38)</f>
        <v>1503</v>
      </c>
      <c r="C22" s="13">
        <f>SUM('[3]Atlantic Southeast'!$HD$38:$HF$38)</f>
        <v>0</v>
      </c>
      <c r="D22" s="13">
        <f>SUM([3]Pinnacle!$HD$38:$HF$38)</f>
        <v>0</v>
      </c>
      <c r="E22" s="13">
        <f>SUM('[3]Sky West'!$HD$38:$HF$38)</f>
        <v>13</v>
      </c>
      <c r="F22" s="13">
        <f>SUM('[3]Go Jet'!$HD$38:$HF$38)</f>
        <v>0</v>
      </c>
      <c r="G22" s="13">
        <f>SUM('[3]Sun Country'!$HD$38:$HF$38)</f>
        <v>786</v>
      </c>
      <c r="H22" s="13">
        <f>SUM([3]Icelandair!$HD$38:$HF$38)</f>
        <v>0</v>
      </c>
      <c r="I22" s="13">
        <f>SUM([3]KLM!$HD$38:$HF$38)</f>
        <v>0</v>
      </c>
      <c r="J22" s="13">
        <f>SUM('[3]Air Georgian'!$HD$38:$HF$38)</f>
        <v>0</v>
      </c>
      <c r="K22" s="13">
        <f>SUM('[3]Sky Regional'!$HD$38:$HF$38)</f>
        <v>0</v>
      </c>
      <c r="L22" s="13">
        <f>SUM([3]Condor!$HD$38:$HF$38)</f>
        <v>0</v>
      </c>
      <c r="M22" s="13">
        <f>SUM('[3]Aer Lingus'!$HD$38:$HF$38)</f>
        <v>0</v>
      </c>
      <c r="N22" s="13">
        <f>SUM('[3]Air France'!$HD$38:$HF$38)</f>
        <v>0</v>
      </c>
      <c r="O22" s="13">
        <f>SUM('[3]Charter Misc'!$HD$38:$HF$38)++SUM([3]Ryan!$HD$38:$HF$38)+SUM([3]Omni!$HD$38:$HF$38)</f>
        <v>0</v>
      </c>
      <c r="P22" s="255">
        <f>SUM(B22:O22)</f>
        <v>2302</v>
      </c>
    </row>
    <row r="23" spans="1:19" ht="15.75" thickBot="1" x14ac:dyDescent="0.3">
      <c r="A23" s="61" t="s">
        <v>34</v>
      </c>
      <c r="B23" s="257">
        <f t="shared" ref="B23:O23" si="16">SUM(B21:B22)</f>
        <v>3138</v>
      </c>
      <c r="C23" s="257">
        <f t="shared" si="16"/>
        <v>0</v>
      </c>
      <c r="D23" s="257">
        <f t="shared" si="16"/>
        <v>0</v>
      </c>
      <c r="E23" s="257">
        <f t="shared" si="16"/>
        <v>39</v>
      </c>
      <c r="F23" s="257">
        <f t="shared" ref="F23" si="17">SUM(F21:F22)</f>
        <v>0</v>
      </c>
      <c r="G23" s="257">
        <f t="shared" si="16"/>
        <v>1597</v>
      </c>
      <c r="H23" s="257">
        <f t="shared" si="16"/>
        <v>0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0</v>
      </c>
      <c r="O23" s="257">
        <f t="shared" si="16"/>
        <v>0</v>
      </c>
      <c r="P23" s="258">
        <f>SUM(B23:O23)</f>
        <v>4774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90" t="s">
        <v>142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2"/>
    </row>
    <row r="27" spans="1:19" x14ac:dyDescent="0.2">
      <c r="A27" s="60" t="s">
        <v>22</v>
      </c>
      <c r="B27" s="20">
        <f>[3]Delta!$HF$15</f>
        <v>250</v>
      </c>
      <c r="C27" s="20">
        <f>'[3]Atlantic Southeast'!$HF$15</f>
        <v>0</v>
      </c>
      <c r="D27" s="20">
        <f>[3]Pinnacle!$HF$15</f>
        <v>0</v>
      </c>
      <c r="E27" s="20">
        <f>'[3]Sky West'!$HF$15</f>
        <v>32</v>
      </c>
      <c r="F27" s="20">
        <f>'[3]Go Jet'!$HF$15</f>
        <v>0</v>
      </c>
      <c r="G27" s="20">
        <f>'[3]Sun Country'!$HF$15</f>
        <v>172</v>
      </c>
      <c r="H27" s="20">
        <f>[3]Icelandair!$HF$15</f>
        <v>0</v>
      </c>
      <c r="I27" s="20">
        <f>[3]KLM!$HF$15</f>
        <v>0</v>
      </c>
      <c r="J27" s="20">
        <f>'[3]Air Georgian'!$HF$15</f>
        <v>0</v>
      </c>
      <c r="K27" s="20">
        <f>'[3]Sky Regional'!$HF$15</f>
        <v>0</v>
      </c>
      <c r="L27" s="20">
        <f>[3]Condor!$HF$15</f>
        <v>0</v>
      </c>
      <c r="M27" s="20">
        <f>'[3]Aer Lingus'!$HF$15</f>
        <v>0</v>
      </c>
      <c r="N27" s="20">
        <f>'[3]Air France'!$HF$15</f>
        <v>0</v>
      </c>
      <c r="O27" s="20">
        <f>'[3]Charter Misc'!$HF$15+[3]Ryan!$HF$15+[3]Omni!$HF$15</f>
        <v>0</v>
      </c>
      <c r="P27" s="254">
        <f>SUM(B27:O27)</f>
        <v>454</v>
      </c>
    </row>
    <row r="28" spans="1:19" x14ac:dyDescent="0.2">
      <c r="A28" s="60" t="s">
        <v>23</v>
      </c>
      <c r="B28" s="20">
        <f>[3]Delta!$HF$16</f>
        <v>249</v>
      </c>
      <c r="C28" s="20">
        <f>'[3]Atlantic Southeast'!$HF$16</f>
        <v>0</v>
      </c>
      <c r="D28" s="20">
        <f>[3]Pinnacle!$HF$16</f>
        <v>0</v>
      </c>
      <c r="E28" s="20">
        <f>'[3]Sky West'!$HF$16</f>
        <v>0</v>
      </c>
      <c r="F28" s="20">
        <f>'[3]Go Jet'!$HF$16</f>
        <v>0</v>
      </c>
      <c r="G28" s="20">
        <f>'[3]Sun Country'!$HF$16</f>
        <v>167</v>
      </c>
      <c r="H28" s="20">
        <f>[3]Icelandair!$HF$16</f>
        <v>0</v>
      </c>
      <c r="I28" s="20">
        <f>[3]KLM!$HF$16</f>
        <v>0</v>
      </c>
      <c r="J28" s="20">
        <f>'[3]Air Georgian'!$HF$16</f>
        <v>0</v>
      </c>
      <c r="K28" s="20">
        <f>'[3]Sky Regional'!$HF$16</f>
        <v>0</v>
      </c>
      <c r="L28" s="20">
        <f>[3]Condor!$HF$16</f>
        <v>0</v>
      </c>
      <c r="M28" s="20">
        <f>'[3]Aer Lingus'!$HF$16</f>
        <v>0</v>
      </c>
      <c r="N28" s="20">
        <f>'[3]Air France'!$HF$16</f>
        <v>0</v>
      </c>
      <c r="O28" s="20">
        <f>'[3]Charter Misc'!$HF$16+[3]Ryan!$HF$16+[3]Omni!$HF$16</f>
        <v>0</v>
      </c>
      <c r="P28" s="254">
        <f>SUM(B28:O28)</f>
        <v>416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499</v>
      </c>
      <c r="C30" s="354">
        <f t="shared" si="21"/>
        <v>0</v>
      </c>
      <c r="D30" s="354">
        <f t="shared" si="21"/>
        <v>0</v>
      </c>
      <c r="E30" s="354">
        <f>SUM(E27:E28)</f>
        <v>32</v>
      </c>
      <c r="F30" s="354">
        <f>SUM(F27:F28)</f>
        <v>0</v>
      </c>
      <c r="G30" s="354">
        <f t="shared" si="21"/>
        <v>339</v>
      </c>
      <c r="H30" s="354">
        <f t="shared" si="21"/>
        <v>0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0</v>
      </c>
      <c r="P30" s="355">
        <f>SUM(B30:O30)</f>
        <v>870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3" t="s">
        <v>143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5"/>
    </row>
    <row r="34" spans="1:16" x14ac:dyDescent="0.2">
      <c r="A34" s="60" t="s">
        <v>22</v>
      </c>
      <c r="B34" s="20">
        <f>SUM([3]Delta!$HD$15:$HF$15)</f>
        <v>708</v>
      </c>
      <c r="C34" s="20">
        <f>SUM('[3]Atlantic Southeast'!$HD$15:$HF$15)</f>
        <v>0</v>
      </c>
      <c r="D34" s="20">
        <f>SUM([3]Pinnacle!$HD$15:$HF$15)</f>
        <v>0</v>
      </c>
      <c r="E34" s="20">
        <f>SUM('[3]Sky West'!$HD$15:$HF$15)</f>
        <v>205</v>
      </c>
      <c r="F34" s="20">
        <f>SUM('[3]Go Jet'!$HD$15:$HF$15)</f>
        <v>0</v>
      </c>
      <c r="G34" s="20">
        <f>SUM('[3]Sun Country'!$HD$15:$HF$15)</f>
        <v>439</v>
      </c>
      <c r="H34" s="20">
        <f>SUM([3]Icelandair!$HD$15:$HF$15)</f>
        <v>0</v>
      </c>
      <c r="I34" s="20">
        <f>SUM([3]KLM!$HD$15:$HF$15)</f>
        <v>0</v>
      </c>
      <c r="J34" s="20">
        <f>SUM('[3]Air Georgian'!$HD$15:$HF$15)</f>
        <v>0</v>
      </c>
      <c r="K34" s="20">
        <f>SUM('[3]Sky Regional'!$HD$15:$HF$15)</f>
        <v>0</v>
      </c>
      <c r="L34" s="20">
        <f>SUM([3]Condor!$HD$15:$HF$15)</f>
        <v>0</v>
      </c>
      <c r="M34" s="20">
        <f>SUM('[3]Aer Lingus'!$HD$15:$HF$15)</f>
        <v>0</v>
      </c>
      <c r="N34" s="20">
        <f>SUM('[3]Air France'!$HD$15:$HF$15)</f>
        <v>0</v>
      </c>
      <c r="O34" s="20">
        <f>SUM('[3]Charter Misc'!$HD$15:$HF$15)+SUM([3]Ryan!$HD$15:$HF$15)+SUM([3]Omni!$HD$15:$HF$15)</f>
        <v>0</v>
      </c>
      <c r="P34" s="254">
        <f>SUM(B34:O34)</f>
        <v>1352</v>
      </c>
    </row>
    <row r="35" spans="1:16" x14ac:dyDescent="0.2">
      <c r="A35" s="60" t="s">
        <v>23</v>
      </c>
      <c r="B35" s="20">
        <f>SUM([3]Delta!$HD$16:$HF$16)</f>
        <v>705</v>
      </c>
      <c r="C35" s="20">
        <f>SUM('[3]Atlantic Southeast'!$HD$16:$HF$16)</f>
        <v>0</v>
      </c>
      <c r="D35" s="20">
        <f>SUM([3]Pinnacle!$HD$16:$HF$16)</f>
        <v>0</v>
      </c>
      <c r="E35" s="20">
        <f>SUM('[3]Sky West'!$HD$16:$HF$16)</f>
        <v>173</v>
      </c>
      <c r="F35" s="20">
        <f>SUM('[3]Go Jet'!$HD$16:$HF$16)</f>
        <v>0</v>
      </c>
      <c r="G35" s="20">
        <f>SUM('[3]Sun Country'!$HD$16:$HF$16)</f>
        <v>432</v>
      </c>
      <c r="H35" s="20">
        <f>SUM([3]Icelandair!$HD$16:$HF$16)</f>
        <v>0</v>
      </c>
      <c r="I35" s="20">
        <f>SUM([3]KLM!$HD$16:$HF$16)</f>
        <v>0</v>
      </c>
      <c r="J35" s="20">
        <f>SUM('[3]Air Georgian'!$HD$16:$HF$16)</f>
        <v>0</v>
      </c>
      <c r="K35" s="20">
        <f>SUM('[3]Sky Regional'!$HD$16:$HF$16)</f>
        <v>0</v>
      </c>
      <c r="L35" s="20">
        <f>SUM([3]Condor!$HD$16:$HF$16)</f>
        <v>0</v>
      </c>
      <c r="M35" s="20">
        <f>SUM('[3]Aer Lingus'!$HD$16:$HF$16)</f>
        <v>0</v>
      </c>
      <c r="N35" s="20">
        <f>SUM('[3]Air France'!$HD$16:$HF$16)</f>
        <v>0</v>
      </c>
      <c r="O35" s="20">
        <f>SUM('[3]Charter Misc'!$HD$16:$HF$16)+SUM([3]Ryan!$HD$16:$HF$16)+SUM([3]Omni!$HD$16:$HF$16)</f>
        <v>0</v>
      </c>
      <c r="P35" s="254">
        <f>SUM(B35:O35)</f>
        <v>1310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1413</v>
      </c>
      <c r="C37" s="354">
        <f t="shared" si="24"/>
        <v>0</v>
      </c>
      <c r="D37" s="354">
        <f t="shared" si="24"/>
        <v>0</v>
      </c>
      <c r="E37" s="354">
        <f>+SUM(E34:E35)</f>
        <v>378</v>
      </c>
      <c r="F37" s="354">
        <f>+SUM(F34:F35)</f>
        <v>0</v>
      </c>
      <c r="G37" s="354">
        <f t="shared" si="24"/>
        <v>871</v>
      </c>
      <c r="H37" s="354">
        <f t="shared" si="24"/>
        <v>0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0</v>
      </c>
      <c r="O37" s="354">
        <f>+SUM(O34:O35)</f>
        <v>0</v>
      </c>
      <c r="P37" s="355">
        <f>SUM(B37:O37)</f>
        <v>2662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&amp;"Arial,Bold"March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topLeftCell="A52" zoomScaleNormal="100" zoomScaleSheetLayoutView="85" workbookViewId="0">
      <selection activeCell="D8" sqref="D8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4" t="s">
        <v>132</v>
      </c>
      <c r="B1" s="605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10" t="s">
        <v>136</v>
      </c>
      <c r="K1" s="611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6" t="s">
        <v>237</v>
      </c>
      <c r="T1" s="597"/>
      <c r="U1" s="522" t="s">
        <v>235</v>
      </c>
      <c r="V1" s="523" t="s">
        <v>209</v>
      </c>
      <c r="W1" s="524" t="s">
        <v>96</v>
      </c>
      <c r="X1" s="525" t="s">
        <v>236</v>
      </c>
      <c r="Y1" s="526" t="s">
        <v>210</v>
      </c>
      <c r="Z1" s="527" t="s">
        <v>96</v>
      </c>
      <c r="AA1" s="528" t="s">
        <v>234</v>
      </c>
    </row>
    <row r="2" spans="1:27" s="198" customFormat="1" ht="13.5" customHeight="1" thickBot="1" x14ac:dyDescent="0.25">
      <c r="A2" s="606">
        <v>44256</v>
      </c>
      <c r="B2" s="607"/>
      <c r="C2" s="608" t="s">
        <v>9</v>
      </c>
      <c r="D2" s="609"/>
      <c r="E2" s="609"/>
      <c r="F2" s="609"/>
      <c r="G2" s="609"/>
      <c r="H2" s="609"/>
      <c r="I2" s="424"/>
      <c r="J2" s="606">
        <f>+A2</f>
        <v>44256</v>
      </c>
      <c r="K2" s="607"/>
      <c r="L2" s="601" t="s">
        <v>138</v>
      </c>
      <c r="M2" s="602"/>
      <c r="N2" s="602"/>
      <c r="O2" s="602"/>
      <c r="P2" s="602"/>
      <c r="Q2" s="602"/>
      <c r="R2" s="603"/>
      <c r="S2" s="579">
        <f>+J2</f>
        <v>44256</v>
      </c>
      <c r="T2" s="580"/>
      <c r="U2" s="598" t="s">
        <v>238</v>
      </c>
      <c r="V2" s="599"/>
      <c r="W2" s="599"/>
      <c r="X2" s="599"/>
      <c r="Y2" s="599"/>
      <c r="Z2" s="599"/>
      <c r="AA2" s="600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Lingus'!$HF$19</f>
        <v>0</v>
      </c>
      <c r="D4" s="469">
        <f>'[3]Aer Lingus'!$GR$19</f>
        <v>18</v>
      </c>
      <c r="E4" s="478">
        <f>(C4-D4)/D4</f>
        <v>-1</v>
      </c>
      <c r="F4" s="469">
        <f>SUM('[3]Aer Lingus'!$HD$19:$HF$19)</f>
        <v>0</v>
      </c>
      <c r="G4" s="469">
        <f>SUM('[3]Aer Lingus'!$GP$19:$GR$19)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Lingus'!$HF$41</f>
        <v>0</v>
      </c>
      <c r="M4" s="469">
        <f>'[3]Aer Lingus'!$GR$41</f>
        <v>1932</v>
      </c>
      <c r="N4" s="478">
        <f>(L4-M4)/M4</f>
        <v>-1</v>
      </c>
      <c r="O4" s="477">
        <f>SUM('[3]Aer Lingus'!$HD$41:$HF$41)</f>
        <v>0</v>
      </c>
      <c r="P4" s="469">
        <f>SUM('[3]Aer Lingus'!$GP$41:$GR$41)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Lingus'!$HF$64</f>
        <v>0</v>
      </c>
      <c r="V4" s="469">
        <f>'[3]Aer Lingus'!$GR$64</f>
        <v>1819</v>
      </c>
      <c r="W4" s="478">
        <f>(U4-V4)/V4</f>
        <v>-1</v>
      </c>
      <c r="X4" s="477">
        <f>SUM('[3]Aer Lingus'!$HD$64:$HF$64)</f>
        <v>0</v>
      </c>
      <c r="Y4" s="469">
        <f>SUM('[3]Aer Lingus'!$GP$64:$GR$64)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114</v>
      </c>
      <c r="E6" s="326">
        <f>(C6-D6)/D6</f>
        <v>-1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3448</v>
      </c>
      <c r="N6" s="326">
        <f>(L6-M6)/M6</f>
        <v>-1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+[3]AirCanada!$HF$19</f>
        <v>0</v>
      </c>
      <c r="D7" s="9">
        <f>+[3]AirCanada!$GR$19</f>
        <v>0</v>
      </c>
      <c r="E7" s="84" t="e">
        <f>(C7-D7)/D7</f>
        <v>#DIV/0!</v>
      </c>
      <c r="F7" s="267">
        <f>SUM([3]AirCanada!$HD$19:$HF$19)</f>
        <v>0</v>
      </c>
      <c r="G7" s="267">
        <f>SUM([3]AirCanada!$GP$19:$GR$19)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+[3]AirCanada!$HF$41</f>
        <v>0</v>
      </c>
      <c r="M7" s="267">
        <f>+[3]AirCanada!$GR$41</f>
        <v>0</v>
      </c>
      <c r="N7" s="405" t="e">
        <f>(L7-M7)/M7</f>
        <v>#DIV/0!</v>
      </c>
      <c r="O7" s="403">
        <f>SUM([3]AirCanada!$HD$41:$HF$41)</f>
        <v>0</v>
      </c>
      <c r="P7" s="267">
        <f>SUM([3]AirCanada!$GP$41:$GR$41)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9">
        <f>+[3]AirCanada!$HF$64</f>
        <v>0</v>
      </c>
      <c r="V7" s="283">
        <f>+[3]AirCanada!$GR$64</f>
        <v>0</v>
      </c>
      <c r="W7" s="510" t="e">
        <f>(U7-V7)/V7</f>
        <v>#DIV/0!</v>
      </c>
      <c r="X7" s="509">
        <f>SUM([3]AirCanada!$HD$64:$HF$64)</f>
        <v>0</v>
      </c>
      <c r="Y7" s="283">
        <f>SUM([3]AirCanada!$GP$64:$GR$64)</f>
        <v>0</v>
      </c>
      <c r="Z7" s="491" t="e">
        <f>(X7-Y7)/Y7</f>
        <v>#DIV/0!</v>
      </c>
      <c r="AA7" s="510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Georgian'!$HF$19</f>
        <v>0</v>
      </c>
      <c r="D8" s="9">
        <f>'[3]Air Georgian'!$GR$19</f>
        <v>0</v>
      </c>
      <c r="E8" s="84" t="e">
        <f>(C8-D8)/D8</f>
        <v>#DIV/0!</v>
      </c>
      <c r="F8" s="267">
        <f>SUM('[3]Air Georgian'!$HD$19:$HF$19)</f>
        <v>0</v>
      </c>
      <c r="G8" s="267">
        <f>SUM('[3]Air Georgian'!$GP$19:$GR$19)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Georgian'!$HF$41</f>
        <v>0</v>
      </c>
      <c r="M8" s="9">
        <f>'[3]Air Georgian'!$GR$41</f>
        <v>0</v>
      </c>
      <c r="N8" s="84" t="e">
        <f>(L8-M8)/M8</f>
        <v>#DIV/0!</v>
      </c>
      <c r="O8" s="327">
        <f>SUM('[3]Air Georgian'!$HD$41:$HF$41)</f>
        <v>0</v>
      </c>
      <c r="P8" s="9">
        <f>SUM('[3]Air Georgian'!$GP$41:$GR$41)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Georgian'!$HF$64</f>
        <v>0</v>
      </c>
      <c r="V8" s="2">
        <f>'[3]Air Georgian'!$GR$64</f>
        <v>0</v>
      </c>
      <c r="W8" s="83" t="e">
        <f>(U8-V8)/V8</f>
        <v>#DIV/0!</v>
      </c>
      <c r="X8" s="451">
        <f>SUM('[3]Air Georgian'!$HD$64:$HF$64)</f>
        <v>0</v>
      </c>
      <c r="Y8" s="2">
        <f>SUM('[3]Air Georgian'!$GP$64:$GR$64)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Regional'!$HF$19</f>
        <v>0</v>
      </c>
      <c r="D9" s="9">
        <f>'[3]Sky Regional'!$GR$19</f>
        <v>114</v>
      </c>
      <c r="E9" s="84">
        <f>(C9-D9)/D9</f>
        <v>-1</v>
      </c>
      <c r="F9" s="267">
        <f>SUM('[3]Sky Regional'!$HD$19:$HF$19)</f>
        <v>0</v>
      </c>
      <c r="G9" s="267">
        <f>SUM('[3]Sky Regional'!$GP$19:$GR$19)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Regional'!$HF$41</f>
        <v>0</v>
      </c>
      <c r="M9" s="9">
        <f>'[3]Sky Regional'!$GR$41</f>
        <v>3448</v>
      </c>
      <c r="N9" s="84">
        <f>(L9-M9)/M9</f>
        <v>-1</v>
      </c>
      <c r="O9" s="327">
        <f>SUM('[3]Sky Regional'!$HD$41:$HF$41)</f>
        <v>0</v>
      </c>
      <c r="P9" s="9">
        <f>SUM('[3]Sky Regional'!$GP$41:$GR$41)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Regional'!$HF$64</f>
        <v>0</v>
      </c>
      <c r="V9" s="2">
        <f>'[3]Sky Regional'!$GR$64</f>
        <v>0</v>
      </c>
      <c r="W9" s="83" t="e">
        <f>(U9-V9)/V9</f>
        <v>#DIV/0!</v>
      </c>
      <c r="X9" s="451">
        <f>SUM('[3]Sky Regional'!$HD$64:$HF$64)</f>
        <v>0</v>
      </c>
      <c r="Y9" s="2">
        <f>SUM('[3]Sky Regional'!$GP$64:$GR$64)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One'!$HF$19</f>
        <v>0</v>
      </c>
      <c r="D11" s="325">
        <f>'[3]Air Choice One'!$GR$19</f>
        <v>192</v>
      </c>
      <c r="E11" s="326">
        <f>(C11-D11)/D11</f>
        <v>-1</v>
      </c>
      <c r="F11" s="325">
        <f>SUM('[3]Air Choice One'!$HD$19:$HF$19)</f>
        <v>264</v>
      </c>
      <c r="G11" s="325">
        <f>SUM('[3]Air Choice One'!$GP$19:$GR$19)</f>
        <v>556</v>
      </c>
      <c r="H11" s="324">
        <f>(F11-G11)/G11</f>
        <v>-0.52517985611510787</v>
      </c>
      <c r="I11" s="326">
        <f>F11/$F$70</f>
        <v>4.6331233218090241E-3</v>
      </c>
      <c r="J11" s="322" t="s">
        <v>178</v>
      </c>
      <c r="K11" s="54"/>
      <c r="L11" s="323">
        <f>'[3]Air Choice One'!$HF$41</f>
        <v>0</v>
      </c>
      <c r="M11" s="325">
        <f>'[3]Air Choice One'!$GR$41</f>
        <v>444</v>
      </c>
      <c r="N11" s="326">
        <f>(L11-M11)/M11</f>
        <v>-1</v>
      </c>
      <c r="O11" s="323">
        <f>SUM('[3]Air Choice One'!$HD$41:$HF$41)</f>
        <v>471</v>
      </c>
      <c r="P11" s="325">
        <f>SUM('[3]Air Choice One'!$GP$41:$GR$41)</f>
        <v>1895</v>
      </c>
      <c r="Q11" s="324">
        <f>(O11-P11)/P11</f>
        <v>-0.75145118733509231</v>
      </c>
      <c r="R11" s="326">
        <f>O11/$O$70</f>
        <v>1.2377031173300509E-4</v>
      </c>
      <c r="S11" s="322" t="s">
        <v>178</v>
      </c>
      <c r="T11" s="54"/>
      <c r="U11" s="477">
        <f>'[3]Air Choice One'!$HF$64</f>
        <v>0</v>
      </c>
      <c r="V11" s="469">
        <f>'[3]Air Choice One'!$GR$64</f>
        <v>0</v>
      </c>
      <c r="W11" s="478" t="e">
        <f>(U11-V11)/V11</f>
        <v>#DIV/0!</v>
      </c>
      <c r="X11" s="477">
        <f>SUM('[3]Air Choice One'!$HD$64:$HF$64)</f>
        <v>0</v>
      </c>
      <c r="Y11" s="469">
        <f>SUM('[3]Air Choice One'!$GP$64:$GR$64)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France'!$HF$19</f>
        <v>0</v>
      </c>
      <c r="D13" s="325">
        <f>'[3]Air France'!$GR$19</f>
        <v>0</v>
      </c>
      <c r="E13" s="326" t="e">
        <f>(C13-D13)/D13</f>
        <v>#DIV/0!</v>
      </c>
      <c r="F13" s="325">
        <f>SUM('[3]Air France'!$HD$19:$HF$19)</f>
        <v>0</v>
      </c>
      <c r="G13" s="325">
        <f>SUM('[3]Air France'!$GP$19:$GR$19)</f>
        <v>0</v>
      </c>
      <c r="H13" s="324" t="e">
        <f>(F13-G13)/G13</f>
        <v>#DIV/0!</v>
      </c>
      <c r="I13" s="326">
        <f>F13/$F$70</f>
        <v>0</v>
      </c>
      <c r="J13" s="322" t="s">
        <v>156</v>
      </c>
      <c r="K13" s="54"/>
      <c r="L13" s="323">
        <f>'[3]Air France'!$HF$41</f>
        <v>0</v>
      </c>
      <c r="M13" s="325">
        <f>'[3]Air France'!$GR$41</f>
        <v>0</v>
      </c>
      <c r="N13" s="326" t="e">
        <f>(L13-M13)/M13</f>
        <v>#DIV/0!</v>
      </c>
      <c r="O13" s="323">
        <f>SUM('[3]Air France'!$HD$41:$HF$41)</f>
        <v>0</v>
      </c>
      <c r="P13" s="325">
        <f>SUM('[3]Air France'!$GP$41:$GR$41)</f>
        <v>0</v>
      </c>
      <c r="Q13" s="324" t="e">
        <f>(O13-P13)/P13</f>
        <v>#DIV/0!</v>
      </c>
      <c r="R13" s="326">
        <f>O13/$O$70</f>
        <v>0</v>
      </c>
      <c r="S13" s="322" t="s">
        <v>156</v>
      </c>
      <c r="T13" s="54"/>
      <c r="U13" s="477">
        <f>'[3]Air France'!$HF$64</f>
        <v>0</v>
      </c>
      <c r="V13" s="469">
        <f>'[3]Air France'!$GR$64</f>
        <v>0</v>
      </c>
      <c r="W13" s="478" t="e">
        <f>(U13-V13)/V13</f>
        <v>#DIV/0!</v>
      </c>
      <c r="X13" s="477">
        <f>SUM('[3]Air France'!$HD$64:$HF$64)</f>
        <v>0</v>
      </c>
      <c r="Y13" s="469">
        <f>SUM('[3]Air France'!$GP$64:$GR$64)</f>
        <v>0</v>
      </c>
      <c r="Z13" s="479" t="e">
        <f>(X13-Y13)/Y13</f>
        <v>#DIV/0!</v>
      </c>
      <c r="AA13" s="478">
        <f>X13/$X$70</f>
        <v>0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120</v>
      </c>
      <c r="D15" s="325">
        <f>SUM(D16:D18)</f>
        <v>150</v>
      </c>
      <c r="E15" s="326">
        <f>(C15-D15)/D15</f>
        <v>-0.2</v>
      </c>
      <c r="F15" s="325">
        <f>SUM(F16:F18)</f>
        <v>269</v>
      </c>
      <c r="G15" s="325">
        <f>SUM(G16:G18)</f>
        <v>482</v>
      </c>
      <c r="H15" s="324">
        <f>(F15-G15)/G15</f>
        <v>-0.44190871369294604</v>
      </c>
      <c r="I15" s="326">
        <f>F15/$F$70</f>
        <v>4.7208718695705585E-3</v>
      </c>
      <c r="J15" s="322" t="s">
        <v>128</v>
      </c>
      <c r="K15" s="54"/>
      <c r="L15" s="323">
        <f>SUM(L16:L18)</f>
        <v>12937</v>
      </c>
      <c r="M15" s="325">
        <f>SUM(M16:M18)</f>
        <v>9902</v>
      </c>
      <c r="N15" s="326">
        <f>(L15-M15)/M15</f>
        <v>0.30650373661886487</v>
      </c>
      <c r="O15" s="323">
        <f>SUM(O16:O18)</f>
        <v>23678</v>
      </c>
      <c r="P15" s="325">
        <f>SUM(P16:P18)</f>
        <v>43820</v>
      </c>
      <c r="Q15" s="324">
        <f>(O15-P15)/P15</f>
        <v>-0.45965312642628936</v>
      </c>
      <c r="R15" s="326">
        <f>O15/$O$70</f>
        <v>6.222151679860074E-3</v>
      </c>
      <c r="S15" s="322" t="s">
        <v>128</v>
      </c>
      <c r="T15" s="54"/>
      <c r="U15" s="477">
        <f>SUM(U16:U18)</f>
        <v>38881</v>
      </c>
      <c r="V15" s="469">
        <f>SUM(V16:V18)</f>
        <v>21886</v>
      </c>
      <c r="W15" s="478">
        <f>(U15-V15)/V15</f>
        <v>0.77652380517225628</v>
      </c>
      <c r="X15" s="477">
        <f>SUM(X16:X18)</f>
        <v>67001</v>
      </c>
      <c r="Y15" s="469">
        <f>SUM(Y16:Y18)</f>
        <v>67215</v>
      </c>
      <c r="Z15" s="479">
        <f>(X15-Y15)/Y15</f>
        <v>-3.1838131369485976E-3</v>
      </c>
      <c r="AA15" s="478">
        <f>X15/$X$70</f>
        <v>6.359123782767981E-3</v>
      </c>
    </row>
    <row r="16" spans="1:27" ht="14.1" customHeight="1" x14ac:dyDescent="0.2">
      <c r="A16" s="322"/>
      <c r="B16" s="397" t="s">
        <v>128</v>
      </c>
      <c r="C16" s="403">
        <f>[3]Alaska!$HF$19</f>
        <v>120</v>
      </c>
      <c r="D16" s="267">
        <f>[3]Alaska!$GR$19</f>
        <v>108</v>
      </c>
      <c r="E16" s="405">
        <f>(C16-D16)/D16</f>
        <v>0.1111111111111111</v>
      </c>
      <c r="F16" s="267">
        <f>SUM([3]Alaska!$HD$19:$HF$19)</f>
        <v>269</v>
      </c>
      <c r="G16" s="267">
        <f>SUM([3]Alaska!$GP$19:$GR$19)</f>
        <v>320</v>
      </c>
      <c r="H16" s="404">
        <f>(F16-G16)/G16</f>
        <v>-0.15937499999999999</v>
      </c>
      <c r="I16" s="405">
        <f>F16/$F$70</f>
        <v>4.7208718695705585E-3</v>
      </c>
      <c r="J16" s="322"/>
      <c r="K16" s="397" t="s">
        <v>128</v>
      </c>
      <c r="L16" s="403">
        <f>[3]Alaska!$HF$41</f>
        <v>12937</v>
      </c>
      <c r="M16" s="267">
        <f>[3]Alaska!$GR$41</f>
        <v>7911</v>
      </c>
      <c r="N16" s="405">
        <f>(L16-M16)/M16</f>
        <v>0.63531791176842367</v>
      </c>
      <c r="O16" s="403">
        <f>SUM([3]Alaska!$HD$41:$HF$41)</f>
        <v>23678</v>
      </c>
      <c r="P16" s="267">
        <f>SUM([3]Alaska!$GP$41:$GR$41)</f>
        <v>33655</v>
      </c>
      <c r="Q16" s="404">
        <f>(O16-P16)/P16</f>
        <v>-0.29644926459664239</v>
      </c>
      <c r="R16" s="405">
        <f>O16/$O$70</f>
        <v>6.222151679860074E-3</v>
      </c>
      <c r="S16" s="322"/>
      <c r="T16" s="397" t="s">
        <v>128</v>
      </c>
      <c r="U16" s="509">
        <f>[3]Alaska!$HF$64</f>
        <v>38881</v>
      </c>
      <c r="V16" s="283">
        <f>[3]Alaska!$GR$64</f>
        <v>19782</v>
      </c>
      <c r="W16" s="510">
        <f>(U16-V16)/V16</f>
        <v>0.96547366292589221</v>
      </c>
      <c r="X16" s="509">
        <f>SUM([3]Alaska!$HD$64:$HF$64)</f>
        <v>67001</v>
      </c>
      <c r="Y16" s="283">
        <f>SUM([3]Alaska!$GP$64:$GR$64)</f>
        <v>58819</v>
      </c>
      <c r="Z16" s="491">
        <f>(X16-Y16)/Y16</f>
        <v>0.13910471106275182</v>
      </c>
      <c r="AA16" s="510">
        <f>X16/$X$70</f>
        <v>6.359123782767981E-3</v>
      </c>
    </row>
    <row r="17" spans="1:27" ht="14.1" customHeight="1" x14ac:dyDescent="0.2">
      <c r="A17" s="322"/>
      <c r="B17" s="397" t="s">
        <v>97</v>
      </c>
      <c r="C17" s="327">
        <f>'[3]Sky West_AS'!$HF$19</f>
        <v>0</v>
      </c>
      <c r="D17" s="9">
        <f>'[3]Sky West_AS'!$GR$19</f>
        <v>0</v>
      </c>
      <c r="E17" s="84" t="e">
        <f>(C17-D17)/D17</f>
        <v>#DIV/0!</v>
      </c>
      <c r="F17" s="9">
        <f>SUM('[3]Sky West_AS'!$HD$19:$HF$19)</f>
        <v>0</v>
      </c>
      <c r="G17" s="9">
        <f>SUM('[3]Sky West_AS'!$GP$19:$GR$19)</f>
        <v>0</v>
      </c>
      <c r="H17" s="38" t="e">
        <f>(F17-G17)/G17</f>
        <v>#DIV/0!</v>
      </c>
      <c r="I17" s="84">
        <f>F17/$F$70</f>
        <v>0</v>
      </c>
      <c r="J17" s="322"/>
      <c r="K17" s="397" t="s">
        <v>97</v>
      </c>
      <c r="L17" s="327">
        <f>'[3]Sky West_AS'!$HF$41</f>
        <v>0</v>
      </c>
      <c r="M17" s="9">
        <f>'[3]Sky West_AS'!$GR$41</f>
        <v>0</v>
      </c>
      <c r="N17" s="84" t="e">
        <f>(L17-M17)/M17</f>
        <v>#DIV/0!</v>
      </c>
      <c r="O17" s="327">
        <f>SUM('[3]Sky West_AS'!$HD$41:$HF$41)</f>
        <v>0</v>
      </c>
      <c r="P17" s="9">
        <f>SUM('[3]Sky West_AS'!$GP$41:$GR$41)</f>
        <v>0</v>
      </c>
      <c r="Q17" s="38" t="e">
        <f>(O17-P17)/P17</f>
        <v>#DIV/0!</v>
      </c>
      <c r="R17" s="405">
        <f>O17/$O$70</f>
        <v>0</v>
      </c>
      <c r="S17" s="322"/>
      <c r="T17" s="397" t="s">
        <v>97</v>
      </c>
      <c r="U17" s="451">
        <f>'[3]Sky West_AS'!$HF$64</f>
        <v>0</v>
      </c>
      <c r="V17" s="2">
        <f>'[3]Sky West_AS'!$GR$64</f>
        <v>0</v>
      </c>
      <c r="W17" s="83" t="e">
        <f>(U17-V17)/V17</f>
        <v>#DIV/0!</v>
      </c>
      <c r="X17" s="451">
        <f>SUM('[3]Sky West_AS'!$HD$64:$HF$64)</f>
        <v>0</v>
      </c>
      <c r="Y17" s="2">
        <f>SUM('[3]Sky West_AS'!$GP$64:$GR$64)</f>
        <v>0</v>
      </c>
      <c r="Z17" s="3" t="e">
        <f>(X17-Y17)/Y17</f>
        <v>#DIV/0!</v>
      </c>
      <c r="AA17" s="510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[3]Horizon_AS!$HF$19</f>
        <v>0</v>
      </c>
      <c r="D18" s="9">
        <f>[3]Horizon_AS!$GR$19</f>
        <v>42</v>
      </c>
      <c r="E18" s="84">
        <f>(C18-D18)/D18</f>
        <v>-1</v>
      </c>
      <c r="F18" s="9">
        <f>SUM([3]Horizon_AS!$HD$19:$HF$19)</f>
        <v>0</v>
      </c>
      <c r="G18" s="9">
        <f>SUM([3]Horizon_AS!$GP$19:$GR$19)</f>
        <v>162</v>
      </c>
      <c r="H18" s="38">
        <f>(F18-G18)/G18</f>
        <v>-1</v>
      </c>
      <c r="I18" s="84">
        <f>F18/$F$70</f>
        <v>0</v>
      </c>
      <c r="J18" s="322"/>
      <c r="K18" s="397" t="s">
        <v>193</v>
      </c>
      <c r="L18" s="327">
        <f>[3]Horizon_AS!$HF$41</f>
        <v>0</v>
      </c>
      <c r="M18" s="9">
        <f>[3]Horizon_AS!$GR$41</f>
        <v>1991</v>
      </c>
      <c r="N18" s="84">
        <f>(L18-M18)/M18</f>
        <v>-1</v>
      </c>
      <c r="O18" s="327">
        <f>SUM([3]Horizon_AS!$HD$41:$HF$41)</f>
        <v>0</v>
      </c>
      <c r="P18" s="9">
        <f>SUM([3]Horizon_AS!$GP$41:$GR$41)</f>
        <v>10165</v>
      </c>
      <c r="Q18" s="38">
        <f>(O18-P18)/P18</f>
        <v>-1</v>
      </c>
      <c r="R18" s="405">
        <f>O18/$O$70</f>
        <v>0</v>
      </c>
      <c r="S18" s="322"/>
      <c r="T18" s="397" t="s">
        <v>193</v>
      </c>
      <c r="U18" s="451">
        <f>[3]Horizon_AS!$HF$64</f>
        <v>0</v>
      </c>
      <c r="V18" s="2">
        <f>[3]Horizon_AS!$GR$64</f>
        <v>2104</v>
      </c>
      <c r="W18" s="83">
        <f>(U18-V18)/V18</f>
        <v>-1</v>
      </c>
      <c r="X18" s="451">
        <f>SUM([3]Horizon_AS!$HD$64:$HF$64)</f>
        <v>0</v>
      </c>
      <c r="Y18" s="2">
        <f>SUM([3]Horizon_AS!$GP$64:$GR$64)</f>
        <v>8396</v>
      </c>
      <c r="Z18" s="3">
        <f>(X18-Y18)/Y18</f>
        <v>-1</v>
      </c>
      <c r="AA18" s="510">
        <f>X18/$X$70</f>
        <v>0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862</v>
      </c>
      <c r="D20" s="325">
        <f>SUM(D21:D27)</f>
        <v>1407</v>
      </c>
      <c r="E20" s="326">
        <f t="shared" ref="E20:E27" si="0">(C20-D20)/D20</f>
        <v>-0.38734896943852165</v>
      </c>
      <c r="F20" s="323">
        <f>SUM(F21:F27)</f>
        <v>2137</v>
      </c>
      <c r="G20" s="325">
        <f>SUM(G21:G27)</f>
        <v>4297</v>
      </c>
      <c r="H20" s="324">
        <f t="shared" ref="H20:H27" si="1">(F20-G20)/G20</f>
        <v>-0.50267628578077728</v>
      </c>
      <c r="I20" s="326">
        <f t="shared" ref="I20:I27" si="2">F20/$F$70</f>
        <v>3.7503729313279867E-2</v>
      </c>
      <c r="J20" s="322" t="s">
        <v>17</v>
      </c>
      <c r="K20" s="330"/>
      <c r="L20" s="323">
        <f>SUM(L21:L27)</f>
        <v>87508</v>
      </c>
      <c r="M20" s="325">
        <f>SUM(M21:M27)</f>
        <v>89925</v>
      </c>
      <c r="N20" s="326">
        <f t="shared" ref="N20:N27" si="3">(L20-M20)/M20</f>
        <v>-2.6877953850430916E-2</v>
      </c>
      <c r="O20" s="323">
        <f>SUM(O21:O27)</f>
        <v>198910</v>
      </c>
      <c r="P20" s="325">
        <f>SUM(P21:P27)</f>
        <v>370233</v>
      </c>
      <c r="Q20" s="324">
        <f t="shared" ref="Q20:Q27" si="4">(O20-P20)/P20</f>
        <v>-0.46274373165006899</v>
      </c>
      <c r="R20" s="326">
        <f t="shared" ref="R20:R27" si="5">O20/$O$70</f>
        <v>5.2269963284102008E-2</v>
      </c>
      <c r="S20" s="322" t="s">
        <v>17</v>
      </c>
      <c r="T20" s="330"/>
      <c r="U20" s="477">
        <f>SUM(U21:U27)</f>
        <v>161516</v>
      </c>
      <c r="V20" s="469">
        <f>SUM(V21:V27)</f>
        <v>174416</v>
      </c>
      <c r="W20" s="478">
        <f t="shared" ref="W20:W24" si="6">(U20-V20)/V20</f>
        <v>-7.3961104485826989E-2</v>
      </c>
      <c r="X20" s="477">
        <f>SUM(X21:X27)</f>
        <v>427690</v>
      </c>
      <c r="Y20" s="469">
        <f>SUM(Y21:Y27)</f>
        <v>518905</v>
      </c>
      <c r="Z20" s="479">
        <f t="shared" ref="Z20:Z24" si="7">(X20-Y20)/Y20</f>
        <v>-0.17578362127942496</v>
      </c>
      <c r="AA20" s="478">
        <f t="shared" ref="AA20:AA27" si="8">X20/$X$70</f>
        <v>4.0592433704751241E-2</v>
      </c>
    </row>
    <row r="21" spans="1:27" ht="14.1" customHeight="1" x14ac:dyDescent="0.2">
      <c r="A21" s="52"/>
      <c r="B21" s="332" t="s">
        <v>17</v>
      </c>
      <c r="C21" s="327">
        <f>[3]American!$HF$19</f>
        <v>471</v>
      </c>
      <c r="D21" s="9">
        <f>[3]American!$GR$19</f>
        <v>865</v>
      </c>
      <c r="E21" s="84">
        <f t="shared" si="0"/>
        <v>-0.45549132947976878</v>
      </c>
      <c r="F21" s="9">
        <f>SUM([3]American!$HD$19:$HF$19)</f>
        <v>1252</v>
      </c>
      <c r="G21" s="9">
        <f>SUM([3]American!$GP$19:$GR$19)</f>
        <v>2530</v>
      </c>
      <c r="H21" s="38">
        <f t="shared" si="1"/>
        <v>-0.50513833992094859</v>
      </c>
      <c r="I21" s="84">
        <f t="shared" si="2"/>
        <v>2.1972236359488251E-2</v>
      </c>
      <c r="J21" s="52"/>
      <c r="K21" s="331" t="s">
        <v>17</v>
      </c>
      <c r="L21" s="327">
        <f>[3]American!$HF$41</f>
        <v>62950</v>
      </c>
      <c r="M21" s="9">
        <f>[3]American!$GR$41</f>
        <v>72173</v>
      </c>
      <c r="N21" s="84">
        <f t="shared" si="3"/>
        <v>-0.12779017083951061</v>
      </c>
      <c r="O21" s="327">
        <f>SUM([3]American!$HD$41:$HF$41)</f>
        <v>147070</v>
      </c>
      <c r="P21" s="9">
        <f>SUM([3]American!$GP$41:$GR$41)</f>
        <v>285031</v>
      </c>
      <c r="Q21" s="38">
        <f t="shared" si="4"/>
        <v>-0.48402103630833138</v>
      </c>
      <c r="R21" s="84">
        <f t="shared" si="5"/>
        <v>3.8647345534125396E-2</v>
      </c>
      <c r="S21" s="52"/>
      <c r="T21" s="54" t="s">
        <v>17</v>
      </c>
      <c r="U21" s="451">
        <f>[3]American!$HF$64</f>
        <v>158474</v>
      </c>
      <c r="V21" s="2">
        <f>[3]American!$GR$64</f>
        <v>173704</v>
      </c>
      <c r="W21" s="83">
        <f t="shared" si="6"/>
        <v>-8.7677888822364478E-2</v>
      </c>
      <c r="X21" s="451">
        <f>SUM([3]American!$HD$64:$HF$64)</f>
        <v>422882</v>
      </c>
      <c r="Y21" s="2">
        <f>SUM([3]American!$GP$64:$GR$64)</f>
        <v>515873</v>
      </c>
      <c r="Z21" s="3">
        <f t="shared" si="7"/>
        <v>-0.18025948246952253</v>
      </c>
      <c r="AA21" s="83">
        <f t="shared" si="8"/>
        <v>4.013610220003417E-2</v>
      </c>
    </row>
    <row r="22" spans="1:27" ht="14.1" customHeight="1" x14ac:dyDescent="0.2">
      <c r="A22" s="52"/>
      <c r="B22" s="398" t="s">
        <v>165</v>
      </c>
      <c r="C22" s="327">
        <f>'[3]American Eagle'!$HF$19</f>
        <v>269</v>
      </c>
      <c r="D22" s="9">
        <f>'[3]American Eagle'!$GR$19</f>
        <v>114</v>
      </c>
      <c r="E22" s="84">
        <f t="shared" si="0"/>
        <v>1.3596491228070176</v>
      </c>
      <c r="F22" s="9">
        <f>SUM('[3]American Eagle'!$HD$19:$HF$19)</f>
        <v>682</v>
      </c>
      <c r="G22" s="9">
        <f>SUM('[3]American Eagle'!$GP$19:$GR$19)</f>
        <v>446</v>
      </c>
      <c r="H22" s="38">
        <f t="shared" si="1"/>
        <v>0.52914798206278024</v>
      </c>
      <c r="I22" s="84">
        <f t="shared" si="2"/>
        <v>1.1968901914673312E-2</v>
      </c>
      <c r="J22" s="52"/>
      <c r="K22" s="396" t="s">
        <v>165</v>
      </c>
      <c r="L22" s="327">
        <f>'[3]American Eagle'!$HF$41</f>
        <v>17867</v>
      </c>
      <c r="M22" s="9">
        <f>'[3]American Eagle'!$GR$41</f>
        <v>4413</v>
      </c>
      <c r="N22" s="84">
        <f t="shared" si="3"/>
        <v>3.048719691819624</v>
      </c>
      <c r="O22" s="327">
        <f>SUM('[3]American Eagle'!$HD$41:$HF$41)</f>
        <v>42478</v>
      </c>
      <c r="P22" s="9">
        <f>SUM('[3]American Eagle'!$GP$41:$GR$41)</f>
        <v>26667</v>
      </c>
      <c r="Q22" s="38">
        <f t="shared" si="4"/>
        <v>0.59290508868639147</v>
      </c>
      <c r="R22" s="84">
        <f t="shared" si="5"/>
        <v>1.1162452870052209E-2</v>
      </c>
      <c r="S22" s="52"/>
      <c r="T22" s="397" t="s">
        <v>165</v>
      </c>
      <c r="U22" s="451">
        <f>'[3]American Eagle'!$HF$64</f>
        <v>2209</v>
      </c>
      <c r="V22" s="2">
        <f>'[3]American Eagle'!$GR$64</f>
        <v>120</v>
      </c>
      <c r="W22" s="83">
        <f t="shared" si="6"/>
        <v>17.408333333333335</v>
      </c>
      <c r="X22" s="451">
        <f>SUM('[3]American Eagle'!$HD$64:$HF$64)</f>
        <v>3937</v>
      </c>
      <c r="Y22" s="2">
        <f>SUM('[3]American Eagle'!$GP$64:$GR$64)</f>
        <v>917</v>
      </c>
      <c r="Z22" s="3">
        <f t="shared" si="7"/>
        <v>3.2933478735005455</v>
      </c>
      <c r="AA22" s="83">
        <f t="shared" si="8"/>
        <v>3.7366412938250981E-4</v>
      </c>
    </row>
    <row r="23" spans="1:27" ht="14.1" customHeight="1" x14ac:dyDescent="0.2">
      <c r="A23" s="52"/>
      <c r="B23" s="398" t="s">
        <v>52</v>
      </c>
      <c r="C23" s="327">
        <f>[3]Republic!$HF$19</f>
        <v>66</v>
      </c>
      <c r="D23" s="9">
        <f>[3]Republic!$GR$19</f>
        <v>380</v>
      </c>
      <c r="E23" s="84">
        <f t="shared" si="0"/>
        <v>-0.82631578947368423</v>
      </c>
      <c r="F23" s="9">
        <f>SUM([3]Republic!$HD$19:$HF$19)</f>
        <v>145</v>
      </c>
      <c r="G23" s="9">
        <f>SUM([3]Republic!$GP$19:$GR$19)</f>
        <v>1135</v>
      </c>
      <c r="H23" s="38">
        <f t="shared" si="1"/>
        <v>-0.8722466960352423</v>
      </c>
      <c r="I23" s="84">
        <f t="shared" si="2"/>
        <v>2.544707885084502E-3</v>
      </c>
      <c r="J23" s="337"/>
      <c r="K23" s="333" t="s">
        <v>52</v>
      </c>
      <c r="L23" s="327">
        <f>[3]Republic!$HF$41</f>
        <v>3470</v>
      </c>
      <c r="M23" s="9">
        <f>[3]Republic!$GR$41</f>
        <v>11372</v>
      </c>
      <c r="N23" s="84">
        <f t="shared" si="3"/>
        <v>-0.69486457966936332</v>
      </c>
      <c r="O23" s="327">
        <f>SUM([3]Republic!$HD$41:$HF$41)</f>
        <v>6109</v>
      </c>
      <c r="P23" s="9">
        <f>SUM([3]Republic!$GP$41:$GR$41)</f>
        <v>48970</v>
      </c>
      <c r="Q23" s="38">
        <f t="shared" si="4"/>
        <v>-0.87525015315499288</v>
      </c>
      <c r="R23" s="84">
        <f t="shared" si="5"/>
        <v>1.6053351048342425E-3</v>
      </c>
      <c r="S23" s="52"/>
      <c r="T23" s="399" t="s">
        <v>52</v>
      </c>
      <c r="U23" s="451">
        <f>[3]Republic!$HF$64</f>
        <v>65</v>
      </c>
      <c r="V23" s="2">
        <f>[3]Republic!$GR$64</f>
        <v>431</v>
      </c>
      <c r="W23" s="83">
        <f t="shared" si="6"/>
        <v>-0.84918793503480283</v>
      </c>
      <c r="X23" s="451">
        <f>SUM([3]Republic!$HD$64:$HF$64)</f>
        <v>103</v>
      </c>
      <c r="Y23" s="2">
        <f>SUM([3]Republic!$GP$64:$GR$64)</f>
        <v>1555</v>
      </c>
      <c r="Z23" s="3">
        <f t="shared" si="7"/>
        <v>-0.93376205787781352</v>
      </c>
      <c r="AA23" s="83">
        <f t="shared" si="8"/>
        <v>9.7758205045462307E-6</v>
      </c>
    </row>
    <row r="24" spans="1:27" ht="14.1" customHeight="1" x14ac:dyDescent="0.2">
      <c r="A24" s="52"/>
      <c r="B24" s="398" t="s">
        <v>182</v>
      </c>
      <c r="C24" s="327">
        <f>[3]PSA!$HF$19</f>
        <v>0</v>
      </c>
      <c r="D24" s="9">
        <f>[3]PSA!$GR$19</f>
        <v>0</v>
      </c>
      <c r="E24" s="84" t="e">
        <f t="shared" si="0"/>
        <v>#DIV/0!</v>
      </c>
      <c r="F24" s="9">
        <f>SUM([3]PSA!$HD$19:$HF$19)</f>
        <v>2</v>
      </c>
      <c r="G24" s="9">
        <f>SUM([3]PSA!$GP$19:$GR$19)</f>
        <v>0</v>
      </c>
      <c r="H24" s="38" t="e">
        <f t="shared" si="1"/>
        <v>#DIV/0!</v>
      </c>
      <c r="I24" s="84">
        <f t="shared" si="2"/>
        <v>3.5099419104613817E-5</v>
      </c>
      <c r="J24" s="337"/>
      <c r="K24" s="398" t="s">
        <v>182</v>
      </c>
      <c r="L24" s="327">
        <f>[3]PSA!$HF$41</f>
        <v>0</v>
      </c>
      <c r="M24" s="9">
        <f>[3]PSA!$GR$41</f>
        <v>0</v>
      </c>
      <c r="N24" s="84" t="e">
        <f t="shared" si="3"/>
        <v>#DIV/0!</v>
      </c>
      <c r="O24" s="327">
        <f>SUM([3]PSA!$HD$41:$HF$41)</f>
        <v>32</v>
      </c>
      <c r="P24" s="9">
        <f>SUM([3]PSA!$GP$41:$GR$41)</f>
        <v>0</v>
      </c>
      <c r="Q24" s="38" t="e">
        <f t="shared" si="4"/>
        <v>#DIV/0!</v>
      </c>
      <c r="R24" s="84">
        <f t="shared" si="5"/>
        <v>8.4090233024546995E-6</v>
      </c>
      <c r="S24" s="52"/>
      <c r="T24" s="397" t="s">
        <v>182</v>
      </c>
      <c r="U24" s="451">
        <f>[3]PSA!$HF$64</f>
        <v>0</v>
      </c>
      <c r="V24" s="2">
        <f>[3]PSA!$GR$64</f>
        <v>0</v>
      </c>
      <c r="W24" s="83" t="e">
        <f t="shared" si="6"/>
        <v>#DIV/0!</v>
      </c>
      <c r="X24" s="451">
        <f>SUM([3]PSA!$HD$64:$HF$64)</f>
        <v>0</v>
      </c>
      <c r="Y24" s="2">
        <f>SUM([3]PSA!$GP$64:$GR$64)</f>
        <v>0</v>
      </c>
      <c r="Z24" s="3" t="e">
        <f t="shared" si="7"/>
        <v>#DIV/0!</v>
      </c>
      <c r="AA24" s="83">
        <f t="shared" si="8"/>
        <v>0</v>
      </c>
    </row>
    <row r="25" spans="1:27" ht="14.1" customHeight="1" x14ac:dyDescent="0.2">
      <c r="A25" s="52"/>
      <c r="B25" s="397" t="s">
        <v>97</v>
      </c>
      <c r="C25" s="327">
        <f>'[3]Sky West_AA'!$HF$19</f>
        <v>56</v>
      </c>
      <c r="D25" s="9">
        <f>'[3]Sky West_AA'!$GR$19</f>
        <v>48</v>
      </c>
      <c r="E25" s="84">
        <f>(C25-D25)/D25</f>
        <v>0.16666666666666666</v>
      </c>
      <c r="F25" s="9">
        <f>SUM('[3]Sky West_AA'!$HD$19:$HF$19)</f>
        <v>56</v>
      </c>
      <c r="G25" s="9">
        <f>SUM('[3]Sky West_AA'!$GP$19:$GR$19)</f>
        <v>182</v>
      </c>
      <c r="H25" s="38">
        <f>(F25-G25)/G25</f>
        <v>-0.69230769230769229</v>
      </c>
      <c r="I25" s="84">
        <f t="shared" si="2"/>
        <v>9.8278373492918683E-4</v>
      </c>
      <c r="J25" s="337"/>
      <c r="K25" s="397" t="s">
        <v>97</v>
      </c>
      <c r="L25" s="327">
        <f>'[3]Sky West_AA'!$HF$41</f>
        <v>3221</v>
      </c>
      <c r="M25" s="9">
        <f>'[3]Sky West_AA'!$GR$41</f>
        <v>1967</v>
      </c>
      <c r="N25" s="84">
        <f>(L25-M25)/M25</f>
        <v>0.63751906456532792</v>
      </c>
      <c r="O25" s="327">
        <f>SUM('[3]Sky West_AA'!$HD$41:$HF$41)</f>
        <v>3221</v>
      </c>
      <c r="P25" s="9">
        <f>SUM('[3]Sky West_AA'!$GP$41:$GR$41)</f>
        <v>9404</v>
      </c>
      <c r="Q25" s="38">
        <f>(O25-P25)/P25</f>
        <v>-0.6574861760952786</v>
      </c>
      <c r="R25" s="405">
        <f t="shared" si="5"/>
        <v>8.4642075178770584E-4</v>
      </c>
      <c r="S25" s="52"/>
      <c r="T25" s="397" t="s">
        <v>97</v>
      </c>
      <c r="U25" s="451">
        <f>'[3]Sky West_AA'!$HF$64</f>
        <v>768</v>
      </c>
      <c r="V25" s="2">
        <f>'[3]Sky West_AA'!$GR$64</f>
        <v>161</v>
      </c>
      <c r="W25" s="83">
        <f>(U25-V25)/V25</f>
        <v>3.7701863354037268</v>
      </c>
      <c r="X25" s="451">
        <f>SUM('[3]Sky West_AA'!$HD$64:$HF$64)</f>
        <v>768</v>
      </c>
      <c r="Y25" s="2">
        <f>SUM('[3]Sky West_AA'!$GP$64:$GR$64)</f>
        <v>560</v>
      </c>
      <c r="Z25" s="3">
        <f>(X25-Y25)/Y25</f>
        <v>0.37142857142857144</v>
      </c>
      <c r="AA25" s="510">
        <f t="shared" si="8"/>
        <v>7.2891554830014618E-5</v>
      </c>
    </row>
    <row r="26" spans="1:27" ht="14.1" customHeight="1" x14ac:dyDescent="0.2">
      <c r="A26" s="52"/>
      <c r="B26" s="398" t="s">
        <v>51</v>
      </c>
      <c r="C26" s="327">
        <f>[3]MESA!$HF$19</f>
        <v>0</v>
      </c>
      <c r="D26" s="9">
        <f>[3]MESA!$GR$19</f>
        <v>0</v>
      </c>
      <c r="E26" s="84" t="e">
        <f t="shared" si="0"/>
        <v>#DIV/0!</v>
      </c>
      <c r="F26" s="9">
        <f>SUM([3]MESA!$HD$19:$HF$19)</f>
        <v>0</v>
      </c>
      <c r="G26" s="9">
        <f>SUM([3]MESA!$GP$19:$GR$19)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[3]MESA!$HF$41</f>
        <v>0</v>
      </c>
      <c r="M26" s="9">
        <f>[3]MESA!$GR$41</f>
        <v>0</v>
      </c>
      <c r="N26" s="84" t="e">
        <f t="shared" si="3"/>
        <v>#DIV/0!</v>
      </c>
      <c r="O26" s="327">
        <f>SUM([3]MESA!$HD$41:$HF$41)</f>
        <v>0</v>
      </c>
      <c r="P26" s="9">
        <f>SUM([3]MESA!$GP$41:$GR$41)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[3]MESA!$HF$64</f>
        <v>0</v>
      </c>
      <c r="V26" s="2">
        <f>[3]MESA!$GR$64</f>
        <v>0</v>
      </c>
      <c r="W26" s="83" t="e">
        <f t="shared" ref="W26:W27" si="9">(U26-V26)/V26</f>
        <v>#DIV/0!</v>
      </c>
      <c r="X26" s="451">
        <f>SUM([3]MESA!$HD$64:$HF$64)</f>
        <v>0</v>
      </c>
      <c r="Y26" s="2">
        <f>SUM([3]MESA!$GP$64:$GR$64)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Wisconsin'!$HF$19</f>
        <v>0</v>
      </c>
      <c r="D27" s="9">
        <f>'[3]Air Wisconsin'!$GR$19</f>
        <v>0</v>
      </c>
      <c r="E27" s="84" t="e">
        <f t="shared" si="0"/>
        <v>#DIV/0!</v>
      </c>
      <c r="F27" s="9">
        <f>SUM('[3]Air Wisconsin'!$HD$19:$HF$19)</f>
        <v>0</v>
      </c>
      <c r="G27" s="9">
        <f>SUM('[3]Air Wisconsin'!$GP$19:$GR$19)</f>
        <v>4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Wisconsin'!$HF$41</f>
        <v>0</v>
      </c>
      <c r="M27" s="9">
        <f>'[3]Air Wisconsin'!$GR$41</f>
        <v>0</v>
      </c>
      <c r="N27" s="84" t="e">
        <f t="shared" si="3"/>
        <v>#DIV/0!</v>
      </c>
      <c r="O27" s="327">
        <f>SUM('[3]Air Wisconsin'!$HD$41:$HF$41)</f>
        <v>0</v>
      </c>
      <c r="P27" s="9">
        <f>SUM('[3]Air Wisconsin'!$GP$41:$GR$41)</f>
        <v>161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Wisconsin'!$HF$64</f>
        <v>0</v>
      </c>
      <c r="V27" s="2">
        <f>'[3]Air Wisconsin'!$GR$64</f>
        <v>0</v>
      </c>
      <c r="W27" s="83" t="e">
        <f t="shared" si="9"/>
        <v>#DIV/0!</v>
      </c>
      <c r="X27" s="451">
        <f>SUM('[3]Air Wisconsin'!$HD$64:$HF$64)</f>
        <v>0</v>
      </c>
      <c r="Y27" s="2">
        <f>SUM('[3]Air Wisconsin'!$GP$64:$GR$64)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Air'!$HF$19</f>
        <v>54</v>
      </c>
      <c r="D29" s="325">
        <f>'[3]Boutique Air'!$GR$19</f>
        <v>155</v>
      </c>
      <c r="E29" s="326">
        <f>(C29-D29)/D29</f>
        <v>-0.65161290322580645</v>
      </c>
      <c r="F29" s="325">
        <f>SUM('[3]Boutique Air'!$HD$19:$HF$19)</f>
        <v>133</v>
      </c>
      <c r="G29" s="325">
        <f>SUM('[3]Boutique Air'!$GP$19:$GR$19)</f>
        <v>511</v>
      </c>
      <c r="H29" s="324">
        <f>(F29-G29)/G29</f>
        <v>-0.73972602739726023</v>
      </c>
      <c r="I29" s="326">
        <f>F29/$F$70</f>
        <v>2.3341113704568191E-3</v>
      </c>
      <c r="J29" s="322" t="s">
        <v>179</v>
      </c>
      <c r="K29" s="332"/>
      <c r="L29" s="323">
        <f>'[3]Boutique Air'!$HF$41</f>
        <v>266</v>
      </c>
      <c r="M29" s="325">
        <f>'[3]Boutique Air'!$GR$41</f>
        <v>456</v>
      </c>
      <c r="N29" s="326">
        <f>(L29-M29)/M29</f>
        <v>-0.41666666666666669</v>
      </c>
      <c r="O29" s="323">
        <f>SUM('[3]Boutique Air'!$HD$41:$HF$41)</f>
        <v>580</v>
      </c>
      <c r="P29" s="325">
        <f>SUM('[3]Boutique Air'!$GP$41:$GR$41)</f>
        <v>2313</v>
      </c>
      <c r="Q29" s="324">
        <f>(O29-P29)/P29</f>
        <v>-0.74924340683095547</v>
      </c>
      <c r="R29" s="326">
        <f>O29/$O$70</f>
        <v>1.5241354735699142E-4</v>
      </c>
      <c r="S29" s="322" t="s">
        <v>179</v>
      </c>
      <c r="T29" s="54"/>
      <c r="U29" s="477">
        <f>'[3]Boutique Air'!$HF$64</f>
        <v>0</v>
      </c>
      <c r="V29" s="469">
        <f>'[3]Boutique Air'!$GR$64</f>
        <v>0</v>
      </c>
      <c r="W29" s="478" t="e">
        <f>(U29-V29)/V29</f>
        <v>#DIV/0!</v>
      </c>
      <c r="X29" s="477">
        <f>SUM('[3]Boutique Air'!$HD$64:$HF$64)</f>
        <v>0</v>
      </c>
      <c r="Y29" s="469">
        <f>SUM('[3]Boutique Air'!$GP$64:$GR$64)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[3]Condor!$HF$19</f>
        <v>0</v>
      </c>
      <c r="D31" s="325">
        <f>[3]Condor!$GR$19</f>
        <v>0</v>
      </c>
      <c r="E31" s="326" t="e">
        <f>(C31-D31)/D31</f>
        <v>#DIV/0!</v>
      </c>
      <c r="F31" s="325">
        <f>SUM([3]Condor!$HD$19:$HF$19)</f>
        <v>0</v>
      </c>
      <c r="G31" s="325">
        <f>SUM([3]Condor!$GP$19:$GR$19)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[3]Condor!$HF$41</f>
        <v>0</v>
      </c>
      <c r="M31" s="325">
        <f>[3]Condor!$GR$41</f>
        <v>0</v>
      </c>
      <c r="N31" s="326" t="e">
        <f>(L31-M31)/M31</f>
        <v>#DIV/0!</v>
      </c>
      <c r="O31" s="323">
        <f>SUM([3]Condor!$HD$41:$HF$41)</f>
        <v>0</v>
      </c>
      <c r="P31" s="325">
        <f>SUM([3]Condor!$GP$41:$GR$41)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[3]Condor!$HF$64</f>
        <v>0</v>
      </c>
      <c r="V31" s="469">
        <f>[3]Condor!$GR$64</f>
        <v>0</v>
      </c>
      <c r="W31" s="478" t="e">
        <f>(U31-V31)/V31</f>
        <v>#DIV/0!</v>
      </c>
      <c r="X31" s="477">
        <f>SUM([3]Condor!$HD$64:$HF$64)</f>
        <v>0</v>
      </c>
      <c r="Y31" s="469">
        <f>SUM([3]Condor!$GP$64:$GR$64)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Air'!$HF$19</f>
        <v>122</v>
      </c>
      <c r="D33" s="469">
        <f>'[3]Denver Air'!$GR$19</f>
        <v>0</v>
      </c>
      <c r="E33" s="478" t="e">
        <f>(C33-D33)/D33</f>
        <v>#DIV/0!</v>
      </c>
      <c r="F33" s="469">
        <f>SUM('[3]Denver Air'!$HD$19:$HF$19)</f>
        <v>332</v>
      </c>
      <c r="G33" s="469">
        <f>SUM('[3]Denver Air'!$GP$19:$GR$19)</f>
        <v>0</v>
      </c>
      <c r="H33" s="479" t="e">
        <f>(F33-G33)/G33</f>
        <v>#DIV/0!</v>
      </c>
      <c r="I33" s="478">
        <f>F33/$F$70</f>
        <v>5.8265035713658941E-3</v>
      </c>
      <c r="J33" s="322" t="s">
        <v>239</v>
      </c>
      <c r="K33" s="54"/>
      <c r="L33" s="477">
        <f>'[3]Denver Air'!$HF$41</f>
        <v>522</v>
      </c>
      <c r="M33" s="469">
        <f>'[3]Denver Air'!$GR$41</f>
        <v>0</v>
      </c>
      <c r="N33" s="478" t="e">
        <f>(L33-M33)/M33</f>
        <v>#DIV/0!</v>
      </c>
      <c r="O33" s="477">
        <f>SUM('[3]Denver Air'!$HD$41:$HF$41)</f>
        <v>1210</v>
      </c>
      <c r="P33" s="469">
        <f>SUM('[3]Denver Air'!$GP$41:$GR$41)</f>
        <v>0</v>
      </c>
      <c r="Q33" s="479" t="e">
        <f>(O33-P33)/P33</f>
        <v>#DIV/0!</v>
      </c>
      <c r="R33" s="478">
        <f>O33/$O$70</f>
        <v>3.1796619362406831E-4</v>
      </c>
      <c r="S33" s="322" t="s">
        <v>239</v>
      </c>
      <c r="T33" s="54"/>
      <c r="U33" s="477">
        <f>'[3]Denver Air'!$HF$64</f>
        <v>0</v>
      </c>
      <c r="V33" s="469">
        <f>'[3]Denver Air'!$GR$64</f>
        <v>0</v>
      </c>
      <c r="W33" s="478" t="e">
        <f>(U33-V33)/V33</f>
        <v>#DIV/0!</v>
      </c>
      <c r="X33" s="477">
        <f>SUM('[3]Denver Air'!$HD$64:$HF$64)</f>
        <v>0</v>
      </c>
      <c r="Y33" s="469">
        <f>SUM('[3]Denver Air'!$GP$64:$GR$64)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16428</v>
      </c>
      <c r="D35" s="325">
        <f>SUM(D36:D42)</f>
        <v>19809</v>
      </c>
      <c r="E35" s="326">
        <f t="shared" ref="E35:E42" si="11">(C35-D35)/D35</f>
        <v>-0.1706799939421475</v>
      </c>
      <c r="F35" s="328">
        <f>SUM(F36:F42)</f>
        <v>44844</v>
      </c>
      <c r="G35" s="328">
        <f>SUM(G36:G42)</f>
        <v>61589</v>
      </c>
      <c r="H35" s="324">
        <f>(F35-G35)/G35</f>
        <v>-0.27188296611407881</v>
      </c>
      <c r="I35" s="326">
        <f t="shared" ref="I35:I42" si="12">F35/$F$70</f>
        <v>0.78699917516365103</v>
      </c>
      <c r="J35" s="322" t="s">
        <v>18</v>
      </c>
      <c r="K35" s="335"/>
      <c r="L35" s="323">
        <f>SUM(L36:L42)</f>
        <v>1085111</v>
      </c>
      <c r="M35" s="325">
        <f>SUM(M36:M42)</f>
        <v>1157875</v>
      </c>
      <c r="N35" s="326">
        <f t="shared" ref="N35:N42" si="13">(L35-M35)/M35</f>
        <v>-6.2842707546151358E-2</v>
      </c>
      <c r="O35" s="323">
        <f>SUM(O36:O42)</f>
        <v>2572521</v>
      </c>
      <c r="P35" s="325">
        <f>SUM(P36:P42)</f>
        <v>5145771</v>
      </c>
      <c r="Q35" s="324">
        <f t="shared" ref="Q35:Q42" si="14">(O35-P35)/P35</f>
        <v>-0.50007083486614545</v>
      </c>
      <c r="R35" s="326">
        <f t="shared" ref="R35:R42" si="15">O35/$O$70</f>
        <v>0.67601215734543951</v>
      </c>
      <c r="S35" s="322" t="s">
        <v>18</v>
      </c>
      <c r="T35" s="330"/>
      <c r="U35" s="477">
        <f>SUM(U36:U42)</f>
        <v>3250251</v>
      </c>
      <c r="V35" s="469">
        <f>SUM(V36:V42)</f>
        <v>4490860</v>
      </c>
      <c r="W35" s="478">
        <f t="shared" ref="W35:W42" si="16">(U35-V35)/V35</f>
        <v>-0.27625198736990242</v>
      </c>
      <c r="X35" s="477">
        <f>SUM(X36:X42)</f>
        <v>7954692</v>
      </c>
      <c r="Y35" s="469">
        <f>SUM(Y36:Y42)</f>
        <v>19437310</v>
      </c>
      <c r="Z35" s="479">
        <f t="shared" ref="Z35:Z38" si="17">(X35-Y35)/Y35</f>
        <v>-0.59075139512617747</v>
      </c>
      <c r="AA35" s="478">
        <f t="shared" ref="AA35:AA42" si="18">X35/$X$70</f>
        <v>0.75498680738786283</v>
      </c>
    </row>
    <row r="36" spans="1:27" ht="14.1" customHeight="1" x14ac:dyDescent="0.2">
      <c r="A36" s="52"/>
      <c r="B36" s="331" t="s">
        <v>18</v>
      </c>
      <c r="C36" s="327">
        <f>[3]Delta!$HF$19</f>
        <v>7516</v>
      </c>
      <c r="D36" s="9">
        <f>[3]Delta!$GR$19</f>
        <v>9897</v>
      </c>
      <c r="E36" s="84">
        <f t="shared" si="11"/>
        <v>-0.24057795291502476</v>
      </c>
      <c r="F36" s="9">
        <f>SUM([3]Delta!$HD$19:$HF$19)</f>
        <v>20017</v>
      </c>
      <c r="G36" s="9">
        <f>SUM([3]Delta!$GP$19:$GR$19)</f>
        <v>32054</v>
      </c>
      <c r="H36" s="38">
        <f t="shared" ref="H36:H42" si="19">(F36-G36)/G36</f>
        <v>-0.37552255568727771</v>
      </c>
      <c r="I36" s="84">
        <f t="shared" si="12"/>
        <v>0.3512925361085274</v>
      </c>
      <c r="J36" s="52"/>
      <c r="K36" s="331" t="s">
        <v>18</v>
      </c>
      <c r="L36" s="327">
        <f>[3]Delta!$HF$41</f>
        <v>765531</v>
      </c>
      <c r="M36" s="9">
        <f>[3]Delta!$GR$41</f>
        <v>879986</v>
      </c>
      <c r="N36" s="84">
        <f t="shared" si="13"/>
        <v>-0.1300645692090556</v>
      </c>
      <c r="O36" s="327">
        <f>SUM([3]Delta!$HD$41:$HF$41)</f>
        <v>1781431</v>
      </c>
      <c r="P36" s="9">
        <f>SUM([3]Delta!$GP$41:$GR$41)</f>
        <v>3893254</v>
      </c>
      <c r="Q36" s="38">
        <f t="shared" si="14"/>
        <v>-0.54243134406334648</v>
      </c>
      <c r="R36" s="84">
        <f t="shared" si="15"/>
        <v>0.46812796220984926</v>
      </c>
      <c r="S36" s="52"/>
      <c r="T36" s="54" t="s">
        <v>18</v>
      </c>
      <c r="U36" s="451">
        <f>[3]Delta!$HF$64</f>
        <v>3250251</v>
      </c>
      <c r="V36" s="2">
        <f>[3]Delta!$GR$64</f>
        <v>4490860</v>
      </c>
      <c r="W36" s="83">
        <f t="shared" si="16"/>
        <v>-0.27625198736990242</v>
      </c>
      <c r="X36" s="451">
        <f>SUM([3]Delta!$HD$64:$HF$64)</f>
        <v>7954692</v>
      </c>
      <c r="Y36" s="2">
        <f>SUM([3]Delta!$GP$64:$GR$64)</f>
        <v>19437310</v>
      </c>
      <c r="Z36" s="3">
        <f t="shared" si="17"/>
        <v>-0.59075139512617747</v>
      </c>
      <c r="AA36" s="83">
        <f t="shared" si="18"/>
        <v>0.75498680738786283</v>
      </c>
    </row>
    <row r="37" spans="1:27" ht="14.1" customHeight="1" x14ac:dyDescent="0.2">
      <c r="A37" s="52"/>
      <c r="B37" s="333" t="s">
        <v>117</v>
      </c>
      <c r="C37" s="327">
        <f>[3]Compass!$HF$19</f>
        <v>0</v>
      </c>
      <c r="D37" s="9">
        <f>[3]Compass!$GR$19</f>
        <v>0</v>
      </c>
      <c r="E37" s="84" t="e">
        <f t="shared" si="11"/>
        <v>#DIV/0!</v>
      </c>
      <c r="F37" s="9">
        <f>SUM([3]Compass!$HD$19:$HF$19)</f>
        <v>0</v>
      </c>
      <c r="G37" s="9">
        <f>SUM([3]Compass!$GP$19:$GR$19)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[3]Compass!$HF$41</f>
        <v>0</v>
      </c>
      <c r="M37" s="9">
        <f>[3]Compass!$GR$41</f>
        <v>0</v>
      </c>
      <c r="N37" s="84" t="e">
        <f t="shared" si="13"/>
        <v>#DIV/0!</v>
      </c>
      <c r="O37" s="327">
        <f>SUM([3]Compass!$HD$41:$HF$41)</f>
        <v>0</v>
      </c>
      <c r="P37" s="9">
        <f>SUM([3]Compass!$GP$41:$GR$41)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[3]Compass!$HF$64</f>
        <v>0</v>
      </c>
      <c r="V37" s="2">
        <f>[3]Compass!$GR$64</f>
        <v>0</v>
      </c>
      <c r="W37" s="83" t="e">
        <f t="shared" si="16"/>
        <v>#DIV/0!</v>
      </c>
      <c r="X37" s="451">
        <f>SUM([3]Compass!$HD$64:$HF$64)</f>
        <v>0</v>
      </c>
      <c r="Y37" s="2">
        <f>SUM([3]Compass!$GP$64:$GR$64)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[3]Pinnacle!$HF$19</f>
        <v>3146</v>
      </c>
      <c r="D38" s="9">
        <f>[3]Pinnacle!$GR$19</f>
        <v>2685</v>
      </c>
      <c r="E38" s="84">
        <f t="shared" si="11"/>
        <v>0.17169459962756053</v>
      </c>
      <c r="F38" s="9">
        <f>SUM([3]Pinnacle!$HD$19:$HF$19)</f>
        <v>9059</v>
      </c>
      <c r="G38" s="9">
        <f>SUM([3]Pinnacle!$GP$19:$GR$19)</f>
        <v>7392</v>
      </c>
      <c r="H38" s="38">
        <f t="shared" si="19"/>
        <v>0.22551406926406928</v>
      </c>
      <c r="I38" s="84">
        <f t="shared" si="12"/>
        <v>0.15898281883434828</v>
      </c>
      <c r="J38" s="52"/>
      <c r="K38" s="332" t="s">
        <v>158</v>
      </c>
      <c r="L38" s="327">
        <f>[3]Pinnacle!$HF$41</f>
        <v>105946</v>
      </c>
      <c r="M38" s="9">
        <f>[3]Pinnacle!$GR$41</f>
        <v>78558</v>
      </c>
      <c r="N38" s="84">
        <f t="shared" si="13"/>
        <v>0.34863413019679729</v>
      </c>
      <c r="O38" s="327">
        <f>SUM([3]Pinnacle!$HD$41:$HF$41)</f>
        <v>289045</v>
      </c>
      <c r="P38" s="9">
        <f>SUM([3]Pinnacle!$GP$41:$GR$41)</f>
        <v>337696</v>
      </c>
      <c r="Q38" s="38">
        <f t="shared" si="14"/>
        <v>-0.14406744527622478</v>
      </c>
      <c r="R38" s="84">
        <f t="shared" si="15"/>
        <v>7.5955816889313077E-2</v>
      </c>
      <c r="S38" s="52"/>
      <c r="T38" s="54" t="s">
        <v>158</v>
      </c>
      <c r="U38" s="451">
        <f>[3]Pinnacle!$HF$64</f>
        <v>0</v>
      </c>
      <c r="V38" s="2">
        <f>[3]Pinnacle!$GR$64</f>
        <v>0</v>
      </c>
      <c r="W38" s="83" t="e">
        <f t="shared" si="16"/>
        <v>#DIV/0!</v>
      </c>
      <c r="X38" s="451">
        <f>SUM([3]Pinnacle!$HD$64:$HF$64)</f>
        <v>0</v>
      </c>
      <c r="Y38" s="2">
        <f>SUM([3]Pinnacle!$GP$64:$GR$64)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Jet'!$HF$19</f>
        <v>0</v>
      </c>
      <c r="D39" s="9">
        <f>'[3]Go Jet'!$GR$19</f>
        <v>0</v>
      </c>
      <c r="E39" s="84" t="e">
        <f t="shared" si="11"/>
        <v>#DIV/0!</v>
      </c>
      <c r="F39" s="9">
        <f>SUM('[3]Go Jet'!$HD$19:$HF$19)</f>
        <v>0</v>
      </c>
      <c r="G39" s="9">
        <f>SUM('[3]Go Jet'!$GP$19:$GR$19)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Jet'!$HF$41</f>
        <v>0</v>
      </c>
      <c r="M39" s="9">
        <f>'[3]Go Jet'!$GR$41</f>
        <v>0</v>
      </c>
      <c r="N39" s="84" t="e">
        <f t="shared" si="13"/>
        <v>#DIV/0!</v>
      </c>
      <c r="O39" s="327">
        <f>SUM('[3]Go Jet'!$HD$41:$HF$41)</f>
        <v>0</v>
      </c>
      <c r="P39" s="9">
        <f>SUM('[3]Go Jet'!$GP$41:$GR$41)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Jet'!$HF$64</f>
        <v>0</v>
      </c>
      <c r="V39" s="2">
        <f>'[3]Go Jet'!$GR$64</f>
        <v>0</v>
      </c>
      <c r="W39" s="83" t="e">
        <f t="shared" si="16"/>
        <v>#DIV/0!</v>
      </c>
      <c r="X39" s="451">
        <f>SUM('[3]Go Jet'!$HD$64:$HF$64)</f>
        <v>0</v>
      </c>
      <c r="Y39" s="2">
        <f>SUM('[3]Go Jet'!$GP$64:$GR$64)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West'!$HF$19</f>
        <v>5766</v>
      </c>
      <c r="D40" s="9">
        <f>'[3]Sky West'!$GR$19</f>
        <v>7227</v>
      </c>
      <c r="E40" s="84">
        <f t="shared" si="11"/>
        <v>-0.20215857202158571</v>
      </c>
      <c r="F40" s="9">
        <f>SUM('[3]Sky West'!$HD$19:$HF$19)</f>
        <v>15768</v>
      </c>
      <c r="G40" s="9">
        <f>SUM('[3]Sky West'!$GP$19:$GR$19)</f>
        <v>22099</v>
      </c>
      <c r="H40" s="38">
        <f t="shared" si="19"/>
        <v>-0.28648355129191366</v>
      </c>
      <c r="I40" s="84">
        <f t="shared" si="12"/>
        <v>0.27672382022077535</v>
      </c>
      <c r="J40" s="52"/>
      <c r="K40" s="332" t="s">
        <v>97</v>
      </c>
      <c r="L40" s="327">
        <f>'[3]Sky West'!$HF$41</f>
        <v>213634</v>
      </c>
      <c r="M40" s="9">
        <f>'[3]Sky West'!$GR$41</f>
        <v>199331</v>
      </c>
      <c r="N40" s="84">
        <f t="shared" si="13"/>
        <v>7.1755020543718739E-2</v>
      </c>
      <c r="O40" s="327">
        <f>SUM('[3]Sky West'!$HD$41:$HF$41)</f>
        <v>502045</v>
      </c>
      <c r="P40" s="9">
        <f>SUM('[3]Sky West'!$GP$41:$GR$41)</f>
        <v>912177</v>
      </c>
      <c r="Q40" s="38">
        <f t="shared" si="14"/>
        <v>-0.44961887879216422</v>
      </c>
      <c r="R40" s="84">
        <f t="shared" si="15"/>
        <v>0.13192837824627718</v>
      </c>
      <c r="S40" s="52"/>
      <c r="T40" s="54" t="s">
        <v>97</v>
      </c>
      <c r="U40" s="451">
        <f>'[3]Sky West'!$HF$64</f>
        <v>0</v>
      </c>
      <c r="V40" s="2">
        <f>'[3]Sky West'!$GR$64</f>
        <v>0</v>
      </c>
      <c r="W40" s="83" t="e">
        <f t="shared" si="16"/>
        <v>#DIV/0!</v>
      </c>
      <c r="X40" s="451">
        <f>SUM('[3]Sky West'!$HD$64:$HF$64)</f>
        <v>0</v>
      </c>
      <c r="Y40" s="2">
        <f>SUM('[3]Sky West'!$GP$64:$GR$64)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America_Delta'!$HF$19</f>
        <v>0</v>
      </c>
      <c r="D41" s="9">
        <f>'[3]Shuttle America_Delta'!$GR$19</f>
        <v>0</v>
      </c>
      <c r="E41" s="84" t="e">
        <f t="shared" si="11"/>
        <v>#DIV/0!</v>
      </c>
      <c r="F41" s="9">
        <f>SUM('[3]Shuttle America_Delta'!$HD$19:$HF$19)</f>
        <v>0</v>
      </c>
      <c r="G41" s="9">
        <f>SUM('[3]Shuttle America_Delta'!$GP$19:$GR$19)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America_Delta'!$HF$41</f>
        <v>0</v>
      </c>
      <c r="M41" s="9">
        <f>'[3]Shuttle America_Delta'!$GR$41</f>
        <v>0</v>
      </c>
      <c r="N41" s="84" t="e">
        <f t="shared" si="13"/>
        <v>#DIV/0!</v>
      </c>
      <c r="O41" s="327">
        <f>SUM('[3]Shuttle America_Delta'!$HD$41:$HF$41)</f>
        <v>0</v>
      </c>
      <c r="P41" s="9">
        <f>SUM('[3]Shuttle America_Delta'!$GP$41:$GR$41)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America_Delta'!$HF$64</f>
        <v>0</v>
      </c>
      <c r="V41" s="2">
        <f>'[3]Shuttle America_Delta'!$GR$64</f>
        <v>0</v>
      </c>
      <c r="W41" s="83" t="e">
        <f t="shared" si="16"/>
        <v>#DIV/0!</v>
      </c>
      <c r="X41" s="451">
        <f>SUM('[3]Shuttle America_Delta'!$HD$64:$HF$64)</f>
        <v>0</v>
      </c>
      <c r="Y41" s="2">
        <f>SUM('[3]Shuttle America_Delta'!$GP$64:$GR$64)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Southeast'!$HF$19</f>
        <v>0</v>
      </c>
      <c r="D42" s="9">
        <f>'[3]Atlantic Southeast'!$GR$19</f>
        <v>0</v>
      </c>
      <c r="E42" s="84" t="e">
        <f t="shared" si="11"/>
        <v>#DIV/0!</v>
      </c>
      <c r="F42" s="9">
        <f>SUM('[3]Atlantic Southeast'!$HD$19:$HF$19)</f>
        <v>0</v>
      </c>
      <c r="G42" s="9">
        <f>SUM('[3]Atlantic Southeast'!$GP$19:$GR$19)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Southeast'!$HF$41</f>
        <v>0</v>
      </c>
      <c r="M42" s="9">
        <f>'[3]Atlantic Southeast'!$GR$41</f>
        <v>0</v>
      </c>
      <c r="N42" s="84" t="e">
        <f t="shared" si="13"/>
        <v>#DIV/0!</v>
      </c>
      <c r="O42" s="327">
        <f>SUM('[3]Atlantic Southeast'!$HD$41:$HF$41)</f>
        <v>0</v>
      </c>
      <c r="P42" s="9">
        <f>SUM('[3]Atlantic Southeast'!$GP$41:$GR$41)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Southeast'!$HF$64</f>
        <v>0</v>
      </c>
      <c r="V42" s="2">
        <f>'[3]Atlantic Southeast'!$GR$64</f>
        <v>0</v>
      </c>
      <c r="W42" s="83" t="e">
        <f t="shared" si="16"/>
        <v>#DIV/0!</v>
      </c>
      <c r="X42" s="451">
        <f>SUM('[3]Atlantic Southeast'!$HD$64:$HF$64)</f>
        <v>0</v>
      </c>
      <c r="Y42" s="2">
        <f>SUM('[3]Atlantic Southeast'!$GP$64:$GR$64)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[3]Frontier!$HF$19</f>
        <v>148</v>
      </c>
      <c r="D44" s="325">
        <f>[3]Frontier!$GR$19</f>
        <v>188</v>
      </c>
      <c r="E44" s="326">
        <f>(C44-D44)/D44</f>
        <v>-0.21276595744680851</v>
      </c>
      <c r="F44" s="325">
        <f>SUM([3]Frontier!$HD$19:$HF$19)</f>
        <v>246</v>
      </c>
      <c r="G44" s="325">
        <f>SUM([3]Frontier!$GP$19:$GR$19)</f>
        <v>611</v>
      </c>
      <c r="H44" s="324">
        <f>(F44-G44)/G44</f>
        <v>-0.59738134206219318</v>
      </c>
      <c r="I44" s="326">
        <f>F44/$F$70</f>
        <v>4.3172285498674998E-3</v>
      </c>
      <c r="J44" s="322" t="s">
        <v>47</v>
      </c>
      <c r="K44" s="336"/>
      <c r="L44" s="323">
        <f>[3]Frontier!$HF$41</f>
        <v>23416</v>
      </c>
      <c r="M44" s="325">
        <f>[3]Frontier!$GR$41</f>
        <v>21260</v>
      </c>
      <c r="N44" s="326">
        <f>(L44-M44)/M44</f>
        <v>0.10141110065851364</v>
      </c>
      <c r="O44" s="323">
        <f>SUM([3]Frontier!$HD$41:$HF$41)</f>
        <v>36916</v>
      </c>
      <c r="P44" s="325">
        <f>SUM([3]Frontier!$GP$41:$GR$41)</f>
        <v>89747</v>
      </c>
      <c r="Q44" s="324">
        <f>(O44-P44)/P44</f>
        <v>-0.5886659164094622</v>
      </c>
      <c r="R44" s="326">
        <f>O44/$O$70</f>
        <v>9.700859507294303E-3</v>
      </c>
      <c r="S44" s="322" t="s">
        <v>47</v>
      </c>
      <c r="T44" s="54"/>
      <c r="U44" s="477">
        <f>[3]Frontier!$HF$64</f>
        <v>0</v>
      </c>
      <c r="V44" s="469">
        <f>[3]Frontier!$GR$64</f>
        <v>0</v>
      </c>
      <c r="W44" s="478" t="e">
        <f>(U44-V44)/V44</f>
        <v>#DIV/0!</v>
      </c>
      <c r="X44" s="477">
        <f>SUM([3]Frontier!$HD$64:$HF$64)</f>
        <v>0</v>
      </c>
      <c r="Y44" s="469">
        <f>SUM([3]Frontier!$GP$64:$GR$64)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[3]Icelandair!$HF$19</f>
        <v>0</v>
      </c>
      <c r="D46" s="325">
        <f>[3]Icelandair!$GR$19</f>
        <v>10</v>
      </c>
      <c r="E46" s="326">
        <f>(C46-D46)/D46</f>
        <v>-1</v>
      </c>
      <c r="F46" s="325">
        <f>SUM([3]Icelandair!$HD$19:$HF$19)</f>
        <v>0</v>
      </c>
      <c r="G46" s="325">
        <f>SUM([3]Icelandair!$GP$19:$GR$19)</f>
        <v>18</v>
      </c>
      <c r="H46" s="324">
        <f>(F46-G46)/G46</f>
        <v>-1</v>
      </c>
      <c r="I46" s="326">
        <f>F46/$F$70</f>
        <v>0</v>
      </c>
      <c r="J46" s="322" t="s">
        <v>48</v>
      </c>
      <c r="K46" s="336"/>
      <c r="L46" s="323">
        <f>[3]Icelandair!$HF$41</f>
        <v>0</v>
      </c>
      <c r="M46" s="325">
        <f>[3]Icelandair!$GR$41</f>
        <v>966</v>
      </c>
      <c r="N46" s="326">
        <f>(L46-M46)/M46</f>
        <v>-1</v>
      </c>
      <c r="O46" s="323">
        <f>SUM([3]Icelandair!$HD$41:$HF$41)</f>
        <v>0</v>
      </c>
      <c r="P46" s="325">
        <f>SUM([3]Icelandair!$GP$41:$GR$41)</f>
        <v>2058</v>
      </c>
      <c r="Q46" s="324">
        <f>(O46-P46)/P46</f>
        <v>-1</v>
      </c>
      <c r="R46" s="326">
        <f>O46/$O$70</f>
        <v>0</v>
      </c>
      <c r="S46" s="322" t="s">
        <v>48</v>
      </c>
      <c r="T46" s="54"/>
      <c r="U46" s="477">
        <f>[3]Icelandair!$HF$64</f>
        <v>0</v>
      </c>
      <c r="V46" s="469">
        <f>[3]Icelandair!$GR$64</f>
        <v>2182</v>
      </c>
      <c r="W46" s="478">
        <f>(U46-V46)/V46</f>
        <v>-1</v>
      </c>
      <c r="X46" s="477">
        <f>SUM([3]Icelandair!$HD$64:$HF$64)</f>
        <v>0</v>
      </c>
      <c r="Y46" s="469">
        <f>SUM([3]Icelandair!$GP$64:$GR$64)</f>
        <v>2574</v>
      </c>
      <c r="Z46" s="479">
        <f>(X46-Y46)/Y46</f>
        <v>-1</v>
      </c>
      <c r="AA46" s="478">
        <f>X46/$X$70</f>
        <v>0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Blue'!$HF$19</f>
        <v>0</v>
      </c>
      <c r="D48" s="325">
        <f>'[3]Jet Blue'!$GR$19</f>
        <v>148</v>
      </c>
      <c r="E48" s="326">
        <f>(C48-D48)/D48</f>
        <v>-1</v>
      </c>
      <c r="F48" s="325">
        <f>SUM('[3]Jet Blue'!$HD$19:$HF$19)</f>
        <v>30</v>
      </c>
      <c r="G48" s="325">
        <f>SUM('[3]Jet Blue'!$GP$19:$GR$19)</f>
        <v>468</v>
      </c>
      <c r="H48" s="324">
        <f>(F48-G48)/G48</f>
        <v>-0.9358974358974359</v>
      </c>
      <c r="I48" s="326">
        <f>F48/$F$70</f>
        <v>5.264912865692073E-4</v>
      </c>
      <c r="J48" s="322" t="s">
        <v>199</v>
      </c>
      <c r="K48" s="336"/>
      <c r="L48" s="323">
        <f>'[3]Jet Blue'!$HF$41</f>
        <v>0</v>
      </c>
      <c r="M48" s="325">
        <f>'[3]Jet Blue'!$GR$41</f>
        <v>8082</v>
      </c>
      <c r="N48" s="326">
        <f>(L48-M48)/M48</f>
        <v>-1</v>
      </c>
      <c r="O48" s="323">
        <f>SUM('[3]Jet Blue'!$HD$41:$HF$41)</f>
        <v>1147</v>
      </c>
      <c r="P48" s="325">
        <f>SUM('[3]Jet Blue'!$GP$41:$GR$41)</f>
        <v>28624</v>
      </c>
      <c r="Q48" s="324">
        <f>(O48-P48)/P48</f>
        <v>-0.95992873113471211</v>
      </c>
      <c r="R48" s="326">
        <f>O48/$O$70</f>
        <v>3.0141092899736059E-4</v>
      </c>
      <c r="S48" s="322" t="s">
        <v>199</v>
      </c>
      <c r="T48" s="54"/>
      <c r="U48" s="477">
        <f>'[3]Jet Blue'!$HF$64</f>
        <v>0</v>
      </c>
      <c r="V48" s="469">
        <f>'[3]Jet Blue'!$GR$64</f>
        <v>0</v>
      </c>
      <c r="W48" s="478" t="e">
        <f>(U48-V48)/V48</f>
        <v>#DIV/0!</v>
      </c>
      <c r="X48" s="477">
        <f>SUM('[3]Jet Blue'!$HD$64:$HF$64)</f>
        <v>0</v>
      </c>
      <c r="Y48" s="469">
        <f>SUM('[3]Jet Blue'!$GP$64:$GR$64)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[3]KLM!$HF$19</f>
        <v>0</v>
      </c>
      <c r="D50" s="325">
        <f>[3]KLM!$GR$19</f>
        <v>16</v>
      </c>
      <c r="E50" s="326">
        <f>(C50-D50)/D50</f>
        <v>-1</v>
      </c>
      <c r="F50" s="325">
        <f>SUM([3]KLM!$HD$19:$HF$19)</f>
        <v>0</v>
      </c>
      <c r="G50" s="325">
        <f>SUM([3]KLM!$GP$19:$GR$19)</f>
        <v>80</v>
      </c>
      <c r="H50" s="324">
        <f>(F50-G50)/G50</f>
        <v>-1</v>
      </c>
      <c r="I50" s="326">
        <f>F50/$F$70</f>
        <v>0</v>
      </c>
      <c r="J50" s="322" t="s">
        <v>194</v>
      </c>
      <c r="K50" s="336"/>
      <c r="L50" s="323">
        <f>[3]KLM!$HF$41</f>
        <v>0</v>
      </c>
      <c r="M50" s="325">
        <f>[3]KLM!$GR$41</f>
        <v>2633</v>
      </c>
      <c r="N50" s="326">
        <f>(L50-M50)/M50</f>
        <v>-1</v>
      </c>
      <c r="O50" s="323">
        <f>SUM([3]KLM!$HD$41:$HF$41)</f>
        <v>0</v>
      </c>
      <c r="P50" s="325">
        <f>SUM([3]KLM!$GP$41:$GR$41)</f>
        <v>15968</v>
      </c>
      <c r="Q50" s="324">
        <f>(O50-P50)/P50</f>
        <v>-1</v>
      </c>
      <c r="R50" s="326">
        <f>O50/$O$70</f>
        <v>0</v>
      </c>
      <c r="S50" s="322" t="s">
        <v>194</v>
      </c>
      <c r="T50" s="54"/>
      <c r="U50" s="477">
        <f>[3]KLM!$HF$64</f>
        <v>0</v>
      </c>
      <c r="V50" s="469">
        <f>[3]KLM!$GR$64</f>
        <v>177071</v>
      </c>
      <c r="W50" s="478">
        <f>(U50-V50)/V50</f>
        <v>-1</v>
      </c>
      <c r="X50" s="477">
        <f>SUM([3]KLM!$HD$64:$HF$64)</f>
        <v>0</v>
      </c>
      <c r="Y50" s="469">
        <f>SUM([3]KLM!$GP$64:$GR$64)</f>
        <v>818409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[3]Southwest!$HF$19</f>
        <v>748</v>
      </c>
      <c r="D52" s="325">
        <f>[3]Southwest!$GR$19</f>
        <v>1052</v>
      </c>
      <c r="E52" s="326">
        <f>(C52-D52)/D52</f>
        <v>-0.28897338403041822</v>
      </c>
      <c r="F52" s="325">
        <f>SUM([3]Southwest!$HD$19:$HF$19)</f>
        <v>1729</v>
      </c>
      <c r="G52" s="325">
        <f>SUM([3]Southwest!$GP$19:$GR$19)</f>
        <v>3316</v>
      </c>
      <c r="H52" s="324">
        <f>(F52-G52)/G52</f>
        <v>-0.47858866103739445</v>
      </c>
      <c r="I52" s="326">
        <f>F52/$F$70</f>
        <v>3.0343447815938646E-2</v>
      </c>
      <c r="J52" s="334" t="s">
        <v>129</v>
      </c>
      <c r="K52" s="54"/>
      <c r="L52" s="323">
        <f>[3]Southwest!$HF$41</f>
        <v>94944</v>
      </c>
      <c r="M52" s="325">
        <f>[3]Southwest!$GR$41</f>
        <v>71399</v>
      </c>
      <c r="N52" s="326">
        <f>(L52-M52)/M52</f>
        <v>0.32976652334066303</v>
      </c>
      <c r="O52" s="323">
        <f>SUM([3]Southwest!$HD$41:$HF$41)</f>
        <v>191385</v>
      </c>
      <c r="P52" s="325">
        <f>SUM([3]Southwest!$GP$41:$GR$41)</f>
        <v>309875</v>
      </c>
      <c r="Q52" s="324">
        <f>(O52-P52)/P52</f>
        <v>-0.38237999193223071</v>
      </c>
      <c r="R52" s="326">
        <f>O52/$O$70</f>
        <v>5.029252889813414E-2</v>
      </c>
      <c r="S52" s="322" t="s">
        <v>129</v>
      </c>
      <c r="T52" s="54"/>
      <c r="U52" s="477">
        <f>[3]Southwest!$HF$64</f>
        <v>252690</v>
      </c>
      <c r="V52" s="469">
        <f>[3]Southwest!$GR$64</f>
        <v>294742</v>
      </c>
      <c r="W52" s="478">
        <f>(U52-V52)/V52</f>
        <v>-0.14267393177762247</v>
      </c>
      <c r="X52" s="477">
        <f>SUM([3]Southwest!$HD$64:$HF$64)</f>
        <v>764886</v>
      </c>
      <c r="Y52" s="469">
        <f>SUM([3]Southwest!$GP$64:$GR$64)</f>
        <v>903379</v>
      </c>
      <c r="Z52" s="479">
        <f>(X52-Y52)/Y52</f>
        <v>-0.15330553400067967</v>
      </c>
      <c r="AA52" s="478">
        <f>X52/$X$70</f>
        <v>7.2596002353789796E-2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[3]Spirit!$HF$19</f>
        <v>390</v>
      </c>
      <c r="D54" s="325">
        <f>[3]Spirit!$GR$19</f>
        <v>682</v>
      </c>
      <c r="E54" s="326">
        <f>(C54-D54)/D54</f>
        <v>-0.42815249266862171</v>
      </c>
      <c r="F54" s="325">
        <f>SUM([3]Spirit!$HD$19:$HF$19)</f>
        <v>794</v>
      </c>
      <c r="G54" s="325">
        <f>SUM([3]Spirit!$GP$19:$GR$19)</f>
        <v>1865</v>
      </c>
      <c r="H54" s="324">
        <f>(F54-G54)/G54</f>
        <v>-0.57426273458445043</v>
      </c>
      <c r="I54" s="326">
        <f>F54/$F$70</f>
        <v>1.3934469384531686E-2</v>
      </c>
      <c r="J54" s="322" t="s">
        <v>155</v>
      </c>
      <c r="K54" s="54"/>
      <c r="L54" s="323">
        <f>[3]Spirit!$HF$41</f>
        <v>64851</v>
      </c>
      <c r="M54" s="325">
        <f>[3]Spirit!$GR$41</f>
        <v>69154</v>
      </c>
      <c r="N54" s="326">
        <f>(L54-M54)/M54</f>
        <v>-6.2223443329380804E-2</v>
      </c>
      <c r="O54" s="323">
        <f>SUM([3]Spirit!$HD$41:$HF$41)</f>
        <v>118829</v>
      </c>
      <c r="P54" s="325">
        <f>SUM([3]Spirit!$GP$41:$GR$41)</f>
        <v>252408</v>
      </c>
      <c r="Q54" s="324">
        <f>(O54-P54)/P54</f>
        <v>-0.5292185667649203</v>
      </c>
      <c r="R54" s="326">
        <f>O54/$O$70</f>
        <v>3.1226119687730921E-2</v>
      </c>
      <c r="S54" s="322" t="s">
        <v>155</v>
      </c>
      <c r="T54" s="54"/>
      <c r="U54" s="477">
        <f>[3]Spirit!$HF$64</f>
        <v>0</v>
      </c>
      <c r="V54" s="469">
        <f>[3]Spirit!$GR$64</f>
        <v>0</v>
      </c>
      <c r="W54" s="478" t="e">
        <f>(U54-V54)/V54</f>
        <v>#DIV/0!</v>
      </c>
      <c r="X54" s="477">
        <f>SUM([3]Spirit!$HD$64:$HF$64)</f>
        <v>0</v>
      </c>
      <c r="Y54" s="469">
        <f>SUM([3]Spirit!$GP$64:$GR$64)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Country'!$HF$19</f>
        <v>1831</v>
      </c>
      <c r="D56" s="325">
        <f>'[3]Sun Country'!$GR$19</f>
        <v>1802</v>
      </c>
      <c r="E56" s="326">
        <f>(C56-D56)/D56</f>
        <v>1.6093229744728078E-2</v>
      </c>
      <c r="F56" s="325">
        <f>SUM('[3]Sun Country'!$HD$19:$HF$19)</f>
        <v>4522</v>
      </c>
      <c r="G56" s="325">
        <f>SUM('[3]Sun Country'!$GP$19:$GR$19)</f>
        <v>5558</v>
      </c>
      <c r="H56" s="324">
        <f>(F56-G56)/G56</f>
        <v>-0.18639798488664988</v>
      </c>
      <c r="I56" s="326">
        <f>F56/$F$70</f>
        <v>7.9359786595531848E-2</v>
      </c>
      <c r="J56" s="322" t="s">
        <v>49</v>
      </c>
      <c r="K56" s="336"/>
      <c r="L56" s="323">
        <f>'[3]Sun Country'!$HF$41</f>
        <v>239598</v>
      </c>
      <c r="M56" s="325">
        <f>'[3]Sun Country'!$GR$41</f>
        <v>209869</v>
      </c>
      <c r="N56" s="326">
        <f>(L56-M56)/M56</f>
        <v>0.14165503242498892</v>
      </c>
      <c r="O56" s="323">
        <f>SUM('[3]Sun Country'!$HD$41:$HF$41)</f>
        <v>526001</v>
      </c>
      <c r="P56" s="325">
        <f>SUM('[3]Sun Country'!$GP$41:$GR$41)</f>
        <v>720612</v>
      </c>
      <c r="Q56" s="324">
        <f>(O56-P56)/P56</f>
        <v>-0.27006350157921322</v>
      </c>
      <c r="R56" s="326">
        <f>O56/$O$70</f>
        <v>0.13822358331607731</v>
      </c>
      <c r="S56" s="322" t="s">
        <v>49</v>
      </c>
      <c r="T56" s="54"/>
      <c r="U56" s="477">
        <f>'[3]Sun Country'!$HF$64</f>
        <v>349778</v>
      </c>
      <c r="V56" s="469">
        <f>'[3]Sun Country'!$GR$64</f>
        <v>312860</v>
      </c>
      <c r="W56" s="478">
        <f>(U56-V56)/V56</f>
        <v>0.11800166208527776</v>
      </c>
      <c r="X56" s="477">
        <f>SUM('[3]Sun Country'!$HD$64:$HF$64)</f>
        <v>1114208</v>
      </c>
      <c r="Y56" s="469">
        <f>SUM('[3]Sun Country'!$GP$64:$GR$64)</f>
        <v>1423515</v>
      </c>
      <c r="Z56" s="479">
        <f>(X56-Y56)/Y56</f>
        <v>-0.21728397663530064</v>
      </c>
      <c r="AA56" s="478">
        <f>X56/$X$70</f>
        <v>0.10575046031776163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589</v>
      </c>
      <c r="D58" s="325">
        <f>SUM(D59:D65)</f>
        <v>1312</v>
      </c>
      <c r="E58" s="326">
        <f t="shared" ref="E58:E65" si="21">(C58-D58)/D58</f>
        <v>-0.55106707317073167</v>
      </c>
      <c r="F58" s="325">
        <f>SUM(F59:F65)</f>
        <v>1681</v>
      </c>
      <c r="G58" s="325">
        <f>SUM(G59:G65)</f>
        <v>4118</v>
      </c>
      <c r="H58" s="324">
        <f t="shared" ref="H58:H65" si="22">(F58-G58)/G58</f>
        <v>-0.59179213210296255</v>
      </c>
      <c r="I58" s="326">
        <f t="shared" ref="I58:I65" si="23">F58/$F$70</f>
        <v>2.9501061757427914E-2</v>
      </c>
      <c r="J58" s="322" t="s">
        <v>19</v>
      </c>
      <c r="K58" s="330"/>
      <c r="L58" s="323">
        <f>SUM(L59:L65)</f>
        <v>56867</v>
      </c>
      <c r="M58" s="325">
        <f>SUM(M59:M65)</f>
        <v>68435</v>
      </c>
      <c r="N58" s="326">
        <f t="shared" ref="N58:N65" si="24">(L58-M58)/M58</f>
        <v>-0.1690363118287426</v>
      </c>
      <c r="O58" s="323">
        <f>SUM(O59:O65)</f>
        <v>133788</v>
      </c>
      <c r="P58" s="325">
        <f>SUM(P59:P65)</f>
        <v>303347</v>
      </c>
      <c r="Q58" s="324">
        <f t="shared" ref="Q58:Q65" si="25">(O58-P58)/P58</f>
        <v>-0.55896053034973148</v>
      </c>
      <c r="R58" s="326">
        <f t="shared" ref="R58:R65" si="26">O58/$O$70</f>
        <v>3.5157075299650287E-2</v>
      </c>
      <c r="S58" s="322" t="s">
        <v>19</v>
      </c>
      <c r="T58" s="330"/>
      <c r="U58" s="477">
        <f>SUM(U59:U65)</f>
        <v>73435</v>
      </c>
      <c r="V58" s="469">
        <f>SUM(V59:V65)</f>
        <v>136827</v>
      </c>
      <c r="W58" s="478">
        <f t="shared" ref="W58:W65" si="27">(U58-V58)/V58</f>
        <v>-0.46330037200260182</v>
      </c>
      <c r="X58" s="477">
        <f>SUM(X59:X65)</f>
        <v>207723</v>
      </c>
      <c r="Y58" s="469">
        <f>SUM(Y59:Y65)</f>
        <v>363030</v>
      </c>
      <c r="Z58" s="479">
        <f t="shared" ref="Z58:Z65" si="28">(X58-Y58)/Y58</f>
        <v>-0.42780761920502436</v>
      </c>
      <c r="AA58" s="478">
        <f t="shared" ref="AA58:AA65" si="29">X58/$X$70</f>
        <v>1.971517245306657E-2</v>
      </c>
    </row>
    <row r="59" spans="1:27" s="7" customFormat="1" ht="14.1" customHeight="1" x14ac:dyDescent="0.2">
      <c r="A59" s="337"/>
      <c r="B59" s="396" t="s">
        <v>19</v>
      </c>
      <c r="C59" s="327">
        <f>[3]United!$HF$19</f>
        <v>328</v>
      </c>
      <c r="D59" s="9">
        <f>[3]United!$GR$19+[3]Continental!$GR$19</f>
        <v>414</v>
      </c>
      <c r="E59" s="84">
        <f t="shared" si="21"/>
        <v>-0.20772946859903382</v>
      </c>
      <c r="F59" s="9">
        <f>SUM([3]United!$HD$19:$HF$19)</f>
        <v>834</v>
      </c>
      <c r="G59" s="9">
        <f>SUM([3]United!$GP$19:$GR$19)+SUM([3]Continental!$GP$19:$GR$19)</f>
        <v>1490</v>
      </c>
      <c r="H59" s="38">
        <f t="shared" si="22"/>
        <v>-0.44026845637583895</v>
      </c>
      <c r="I59" s="84">
        <f t="shared" si="23"/>
        <v>1.4636457766623963E-2</v>
      </c>
      <c r="J59" s="337"/>
      <c r="K59" s="396" t="s">
        <v>19</v>
      </c>
      <c r="L59" s="327">
        <f>[3]United!$HF$41</f>
        <v>41879</v>
      </c>
      <c r="M59" s="9">
        <f>[3]United!$GR$41+[3]Continental!$GR$41</f>
        <v>34436</v>
      </c>
      <c r="N59" s="84">
        <f t="shared" si="24"/>
        <v>0.21614008595655709</v>
      </c>
      <c r="O59" s="327">
        <f>SUM([3]United!$HD$41:$HF$41)</f>
        <v>90876</v>
      </c>
      <c r="P59" s="9">
        <f>SUM([3]United!$GP$41:$GR$41)+SUM([3]Continental!$GP$41:$GR$41)</f>
        <v>162558</v>
      </c>
      <c r="Q59" s="38">
        <f t="shared" si="25"/>
        <v>-0.440962610268335</v>
      </c>
      <c r="R59" s="84">
        <f t="shared" si="26"/>
        <v>2.3880575051058537E-2</v>
      </c>
      <c r="S59" s="52"/>
      <c r="T59" s="397" t="s">
        <v>19</v>
      </c>
      <c r="U59" s="451">
        <f>[3]United!$HF$64</f>
        <v>73435</v>
      </c>
      <c r="V59" s="2">
        <f>[3]United!$GR$64+[3]Continental!$GR$64</f>
        <v>136827</v>
      </c>
      <c r="W59" s="83">
        <f t="shared" si="27"/>
        <v>-0.46330037200260182</v>
      </c>
      <c r="X59" s="451">
        <f>SUM([3]United!$HD$64:$HF$64)</f>
        <v>207723</v>
      </c>
      <c r="Y59" s="2">
        <f>SUM([3]United!$GP$64:$GR$64)+SUM([3]Continental!$GP$64:$GR$64)</f>
        <v>363030</v>
      </c>
      <c r="Z59" s="3">
        <f t="shared" si="28"/>
        <v>-0.42780761920502436</v>
      </c>
      <c r="AA59" s="83">
        <f t="shared" si="29"/>
        <v>1.971517245306657E-2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Express'!$HF$19</f>
        <v>0</v>
      </c>
      <c r="D60" s="9">
        <f>'[3]Continental Express'!$GR$19</f>
        <v>92</v>
      </c>
      <c r="E60" s="84">
        <f t="shared" si="21"/>
        <v>-1</v>
      </c>
      <c r="F60" s="9">
        <f>SUM('[3]Continental Express'!$HD$19:$HF$19)</f>
        <v>0</v>
      </c>
      <c r="G60" s="9">
        <f>SUM('[3]Continental Express'!$GP$19:$GR$19)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Express'!$HF$41</f>
        <v>0</v>
      </c>
      <c r="M60" s="9">
        <f>'[3]Continental Express'!$GR$41</f>
        <v>3347</v>
      </c>
      <c r="N60" s="84">
        <f t="shared" si="24"/>
        <v>-1</v>
      </c>
      <c r="O60" s="327">
        <f>SUM('[3]Continental Express'!$HD$41:$HF$41)</f>
        <v>0</v>
      </c>
      <c r="P60" s="9">
        <f>SUM('[3]Continental Express'!$GP$41:$GR$41)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Express'!$HF$64</f>
        <v>0</v>
      </c>
      <c r="V60" s="2">
        <f>'[3]Continental Express'!$GR$64</f>
        <v>0</v>
      </c>
      <c r="W60" s="83" t="e">
        <f t="shared" si="27"/>
        <v>#DIV/0!</v>
      </c>
      <c r="X60" s="451">
        <f>SUM('[3]Continental Express'!$HD$64:$HF$64)</f>
        <v>0</v>
      </c>
      <c r="Y60" s="2">
        <f>SUM('[3]Continental Express'!$GP$64:$GR$64)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Jet_UA'!$HF$19</f>
        <v>0</v>
      </c>
      <c r="D61" s="9">
        <f>'[3]Go Jet_UA'!$GR$19</f>
        <v>0</v>
      </c>
      <c r="E61" s="84" t="e">
        <f t="shared" si="21"/>
        <v>#DIV/0!</v>
      </c>
      <c r="F61" s="9">
        <f>SUM('[3]Go Jet_UA'!$HD$19:$HF$19)</f>
        <v>0</v>
      </c>
      <c r="G61" s="9">
        <f>SUM('[3]Go Jet_UA'!$GP$19:$GR$19)</f>
        <v>2</v>
      </c>
      <c r="H61" s="38">
        <f t="shared" si="22"/>
        <v>-1</v>
      </c>
      <c r="I61" s="84">
        <f t="shared" si="23"/>
        <v>0</v>
      </c>
      <c r="J61" s="337"/>
      <c r="K61" s="331" t="s">
        <v>154</v>
      </c>
      <c r="L61" s="327">
        <f>'[3]Go Jet_UA'!$HF$41</f>
        <v>0</v>
      </c>
      <c r="M61" s="9">
        <f>'[3]Go Jet_UA'!$GR$41</f>
        <v>0</v>
      </c>
      <c r="N61" s="84" t="e">
        <f t="shared" si="24"/>
        <v>#DIV/0!</v>
      </c>
      <c r="O61" s="327">
        <f>SUM('[3]Go Jet_UA'!$HD$41:$HF$41)</f>
        <v>0</v>
      </c>
      <c r="P61" s="9">
        <f>SUM('[3]Go Jet_UA'!$GP$41:$GR$41)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Jet_UA'!$HF$64</f>
        <v>0</v>
      </c>
      <c r="V61" s="2">
        <f>'[3]Go Jet_UA'!$GR$64</f>
        <v>0</v>
      </c>
      <c r="W61" s="83" t="e">
        <f t="shared" si="27"/>
        <v>#DIV/0!</v>
      </c>
      <c r="X61" s="451">
        <f>SUM('[3]Go Jet_UA'!$HD$64:$HF$64)</f>
        <v>0</v>
      </c>
      <c r="Y61" s="2">
        <f>SUM('[3]Go Jet_UA'!$GP$64:$GR$64)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[3]MESA_UA!$HF$19</f>
        <v>45</v>
      </c>
      <c r="D62" s="9">
        <f>[3]MESA_UA!$GR$19</f>
        <v>270</v>
      </c>
      <c r="E62" s="84">
        <f t="shared" si="21"/>
        <v>-0.83333333333333337</v>
      </c>
      <c r="F62" s="9">
        <f>SUM([3]MESA_UA!$HD$19:$HF$19)</f>
        <v>261</v>
      </c>
      <c r="G62" s="9">
        <f>SUM([3]MESA_UA!$GP$19:$GR$19)</f>
        <v>738</v>
      </c>
      <c r="H62" s="38">
        <f>(F62-G62)/G62</f>
        <v>-0.64634146341463417</v>
      </c>
      <c r="I62" s="84">
        <f t="shared" si="23"/>
        <v>4.580474193152103E-3</v>
      </c>
      <c r="J62" s="337"/>
      <c r="K62" s="331" t="s">
        <v>51</v>
      </c>
      <c r="L62" s="327">
        <f>[3]MESA_UA!$HF$41</f>
        <v>2517</v>
      </c>
      <c r="M62" s="9">
        <f>[3]MESA_UA!$GR$41</f>
        <v>10869</v>
      </c>
      <c r="N62" s="84">
        <f t="shared" si="24"/>
        <v>-0.76842395804581842</v>
      </c>
      <c r="O62" s="327">
        <f>SUM([3]MESA_UA!$HD$41:$HF$41)</f>
        <v>13139</v>
      </c>
      <c r="P62" s="9">
        <f>SUM([3]MESA_UA!$GP$41:$GR$41)</f>
        <v>40014</v>
      </c>
      <c r="Q62" s="38">
        <f t="shared" si="25"/>
        <v>-0.67163992602589095</v>
      </c>
      <c r="R62" s="84">
        <f t="shared" si="26"/>
        <v>3.4526924115922592E-3</v>
      </c>
      <c r="S62" s="52"/>
      <c r="T62" s="54" t="s">
        <v>51</v>
      </c>
      <c r="U62" s="451">
        <f>[3]MESA_UA!$HF$64</f>
        <v>0</v>
      </c>
      <c r="V62" s="2">
        <f>[3]MESA_UA!$GR$64</f>
        <v>0</v>
      </c>
      <c r="W62" s="83" t="e">
        <f t="shared" si="27"/>
        <v>#DIV/0!</v>
      </c>
      <c r="X62" s="451">
        <f>SUM([3]MESA_UA!$HD$64:$HF$64)</f>
        <v>0</v>
      </c>
      <c r="Y62" s="2">
        <f>SUM([3]MESA_UA!$GP$64:$GR$64)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[3]Republic_UA!$HF$19</f>
        <v>164</v>
      </c>
      <c r="D63" s="9">
        <f>[3]Republic_UA!$GR$19</f>
        <v>418</v>
      </c>
      <c r="E63" s="84">
        <f t="shared" si="21"/>
        <v>-0.60765550239234445</v>
      </c>
      <c r="F63" s="9">
        <f>SUM([3]Republic_UA!$HD$19:$HF$19)</f>
        <v>425</v>
      </c>
      <c r="G63" s="9">
        <f>SUM([3]Republic_UA!$GP$19:$GR$19)</f>
        <v>1248</v>
      </c>
      <c r="H63" s="38">
        <f t="shared" ref="H63" si="30">(F63-G63)/G63</f>
        <v>-0.65945512820512819</v>
      </c>
      <c r="I63" s="84">
        <f t="shared" si="23"/>
        <v>7.4586265597304368E-3</v>
      </c>
      <c r="J63" s="337"/>
      <c r="K63" s="398" t="s">
        <v>52</v>
      </c>
      <c r="L63" s="327">
        <f>[3]Republic_UA!$HF$41</f>
        <v>9427</v>
      </c>
      <c r="M63" s="9">
        <f>[3]Republic_UA!$GR$41</f>
        <v>15513</v>
      </c>
      <c r="N63" s="84">
        <f t="shared" si="24"/>
        <v>-0.39231612196222521</v>
      </c>
      <c r="O63" s="327">
        <f>SUM([3]Republic_UA!$HD$41:$HF$41)</f>
        <v>21084</v>
      </c>
      <c r="P63" s="9">
        <f>SUM([3]Republic_UA!$GP$41:$GR$41)</f>
        <v>64187</v>
      </c>
      <c r="Q63" s="38">
        <f t="shared" si="25"/>
        <v>-0.67152227086481686</v>
      </c>
      <c r="R63" s="84">
        <f t="shared" si="26"/>
        <v>5.5404952284048396E-3</v>
      </c>
      <c r="S63" s="52"/>
      <c r="T63" s="397" t="s">
        <v>52</v>
      </c>
      <c r="U63" s="451">
        <f>[3]Republic_UA!$HF$64</f>
        <v>0</v>
      </c>
      <c r="V63" s="2">
        <f>[3]Republic_UA!$GR$64</f>
        <v>0</v>
      </c>
      <c r="W63" s="83" t="e">
        <f t="shared" si="27"/>
        <v>#DIV/0!</v>
      </c>
      <c r="X63" s="451">
        <f>SUM([3]Republic_UA!$HD$64:$HF$64)</f>
        <v>0</v>
      </c>
      <c r="Y63" s="2">
        <f>SUM([3]Republic_UA!$GP$64:$GR$64)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West_UA'!$HF$19</f>
        <v>52</v>
      </c>
      <c r="D64" s="9">
        <f>'[3]Sky West_UA'!$GR$19+'[3]Sky West_CO'!$GR$19</f>
        <v>118</v>
      </c>
      <c r="E64" s="84">
        <f t="shared" si="21"/>
        <v>-0.55932203389830504</v>
      </c>
      <c r="F64" s="9">
        <f>SUM('[3]Sky West_UA'!$HD$19:$HF$19)</f>
        <v>161</v>
      </c>
      <c r="G64" s="9">
        <f>SUM('[3]Sky West_UA'!$GP$19:$GR$19)+SUM('[3]Sky West_CO'!$GP$19:$GR$19)</f>
        <v>404</v>
      </c>
      <c r="H64" s="38">
        <f t="shared" si="22"/>
        <v>-0.60148514851485146</v>
      </c>
      <c r="I64" s="84">
        <f t="shared" si="23"/>
        <v>2.8255032379214122E-3</v>
      </c>
      <c r="J64" s="337"/>
      <c r="K64" s="331" t="s">
        <v>97</v>
      </c>
      <c r="L64" s="327">
        <f>'[3]Sky West_UA'!$HF$41</f>
        <v>3044</v>
      </c>
      <c r="M64" s="9">
        <f>'[3]Sky West_UA'!$GR$41+'[3]Sky West_CO'!$GR$41</f>
        <v>4270</v>
      </c>
      <c r="N64" s="84">
        <f t="shared" si="24"/>
        <v>-0.28711943793911004</v>
      </c>
      <c r="O64" s="327">
        <f>SUM('[3]Sky West_UA'!$HD$41:$HF$41)</f>
        <v>8689</v>
      </c>
      <c r="P64" s="9">
        <f>SUM('[3]Sky West_UA'!$GP$41:$GR$41)+SUM('[3]Sky West_CO'!$GP$41:$GR$41)</f>
        <v>25522</v>
      </c>
      <c r="Q64" s="38">
        <f t="shared" si="25"/>
        <v>-0.65954862471593134</v>
      </c>
      <c r="R64" s="84">
        <f t="shared" si="26"/>
        <v>2.2833126085946526E-3</v>
      </c>
      <c r="S64" s="52"/>
      <c r="T64" s="54" t="s">
        <v>97</v>
      </c>
      <c r="U64" s="451">
        <f>'[3]Sky West_UA'!$HF$64</f>
        <v>0</v>
      </c>
      <c r="V64" s="2">
        <f>'[3]Sky West_UA'!$GR$64+'[3]Sky West_CO'!$GR$64</f>
        <v>0</v>
      </c>
      <c r="W64" s="83" t="e">
        <f t="shared" si="27"/>
        <v>#DIV/0!</v>
      </c>
      <c r="X64" s="451">
        <f>SUM('[3]Sky West_UA'!$HD$64:$HF$64)</f>
        <v>0</v>
      </c>
      <c r="Y64" s="2">
        <f>SUM('[3]Sky West_UA'!$GP$64:$GR$64)+SUM('[3]Sky West_CO'!$GP$64:$GR$64)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America'!$HF$19</f>
        <v>0</v>
      </c>
      <c r="D65" s="9">
        <f>'[3]Shuttle America'!$GR$19</f>
        <v>0</v>
      </c>
      <c r="E65" s="84" t="e">
        <f t="shared" si="21"/>
        <v>#DIV/0!</v>
      </c>
      <c r="F65" s="9">
        <f>SUM('[3]Shuttle America'!$HD$19:$HF$19)</f>
        <v>0</v>
      </c>
      <c r="G65" s="9">
        <f>SUM('[3]Shuttle America'!$GP$19:$GR$19)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America'!$HF$41</f>
        <v>0</v>
      </c>
      <c r="M65" s="9">
        <f>'[3]Shuttle America'!$GR$41</f>
        <v>0</v>
      </c>
      <c r="N65" s="84" t="e">
        <f t="shared" si="24"/>
        <v>#DIV/0!</v>
      </c>
      <c r="O65" s="327">
        <f>SUM('[3]Shuttle America'!$HD$41:$HF$41)</f>
        <v>0</v>
      </c>
      <c r="P65" s="9">
        <f>SUM('[3]Shuttle America'!$GP$41:$GR$41)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America'!$HF$64</f>
        <v>0</v>
      </c>
      <c r="V65" s="2">
        <f>'[3]Shuttle America'!$GR$64</f>
        <v>0</v>
      </c>
      <c r="W65" s="83" t="e">
        <f t="shared" si="27"/>
        <v>#DIV/0!</v>
      </c>
      <c r="X65" s="451">
        <f>SUM('[3]Shuttle America'!$HD$64:$HF$64)</f>
        <v>0</v>
      </c>
      <c r="Y65" s="2">
        <f>SUM('[3]Shuttle America'!$GP$64:$GR$64)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9"/>
      <c r="T66" s="530"/>
      <c r="U66" s="518"/>
      <c r="V66" s="340"/>
      <c r="W66" s="519"/>
      <c r="X66" s="518"/>
      <c r="Y66" s="340"/>
      <c r="Z66" s="520"/>
      <c r="AA66" s="513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1"/>
      <c r="T67" s="200"/>
      <c r="U67" s="532"/>
      <c r="V67" s="533"/>
      <c r="W67" s="531"/>
    </row>
    <row r="68" spans="1:27" ht="14.1" customHeight="1" x14ac:dyDescent="0.2">
      <c r="B68" s="346" t="s">
        <v>133</v>
      </c>
      <c r="C68" s="411">
        <f>+C70-C69</f>
        <v>11728</v>
      </c>
      <c r="D68" s="411">
        <f>+D70-D69</f>
        <v>15547</v>
      </c>
      <c r="E68" s="412">
        <f>(C68-D68)/D68</f>
        <v>-0.24564224609249372</v>
      </c>
      <c r="F68" s="411">
        <f>+F70-F69</f>
        <v>30422</v>
      </c>
      <c r="G68" s="411">
        <f>+G70-G69</f>
        <v>49465</v>
      </c>
      <c r="H68" s="416">
        <f>(F68-G68)/G68</f>
        <v>-0.38497927827757</v>
      </c>
      <c r="I68" s="457">
        <f>F68/$F$70</f>
        <v>0.53389726400028081</v>
      </c>
      <c r="K68" s="346" t="s">
        <v>133</v>
      </c>
      <c r="L68" s="411">
        <f>+L70-L69</f>
        <v>1306894</v>
      </c>
      <c r="M68" s="411">
        <f>+M70-M69</f>
        <v>1380701</v>
      </c>
      <c r="N68" s="412">
        <f>(L68-M68)/M68</f>
        <v>-5.3456179143782763E-2</v>
      </c>
      <c r="O68" s="411">
        <f>+O70-O69</f>
        <v>2919594</v>
      </c>
      <c r="P68" s="411">
        <f>+P70-P69</f>
        <v>5807620</v>
      </c>
      <c r="Q68" s="446">
        <f>(O68-P68)/P68</f>
        <v>-0.49728219132794499</v>
      </c>
      <c r="R68" s="452">
        <f>+O68/O70</f>
        <v>0.76721668686584144</v>
      </c>
      <c r="S68" s="3"/>
      <c r="T68" s="534" t="s">
        <v>133</v>
      </c>
      <c r="U68" s="411">
        <f>+U70-U69</f>
        <v>4123509</v>
      </c>
      <c r="V68" s="411">
        <f>+V70-V69</f>
        <v>5609847</v>
      </c>
      <c r="W68" s="412">
        <f>(U68-V68)/V68</f>
        <v>-0.26495161097976466</v>
      </c>
      <c r="X68" s="411">
        <f>+X70-X69</f>
        <v>10531392</v>
      </c>
      <c r="Y68" s="411">
        <f>+Y70-Y69</f>
        <v>23533250</v>
      </c>
      <c r="Z68" s="535">
        <f>(X68-Y68)/Y68</f>
        <v>-0.55248884025793288</v>
      </c>
      <c r="AA68" s="452">
        <f>+X68/X70</f>
        <v>0.99954366849528298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9564</v>
      </c>
      <c r="D69" s="413">
        <f>D65+D42+D40+D38+D37+D41+D22+D64+D61+D39+D60+D62+D27+D26+D23+D17+D8+D63+D24+D25+D9+D18</f>
        <v>11508</v>
      </c>
      <c r="E69" s="347">
        <f>(C69-D69)/D69</f>
        <v>-0.16892596454640249</v>
      </c>
      <c r="F69" s="413">
        <f>F65+F42+F40+F38+F37+F41+F22+F64+F61+F39+F60+F62+F27+F26+F23+F17+F8+F63+F24+F25+F9+F18</f>
        <v>26559</v>
      </c>
      <c r="G69" s="413">
        <f>G65+G42+G40+G38+G37+G41+G22+G64+G61+G39+G60+G62+G27+G26+G23+G17+G8+G63+G24+G25+G9+G18</f>
        <v>34482</v>
      </c>
      <c r="H69" s="417">
        <f>(F69-G69)/G69</f>
        <v>-0.22977205498520967</v>
      </c>
      <c r="I69" s="458">
        <f>F69/$F$70</f>
        <v>0.46610273599971919</v>
      </c>
      <c r="K69" s="300" t="s">
        <v>134</v>
      </c>
      <c r="L69" s="413">
        <f>L65+L42+L40+L38+L37+L41+L22+L64+L61+L39+L60+L62+L27+L26+L23+L17+L8+L63+L24+L25+L9+L18</f>
        <v>359126</v>
      </c>
      <c r="M69" s="413">
        <f>M65+M42+M40+M38+M37+M41+M22+M64+M61+M39+M60+M62+M27+M26+M23+M17+M8+M63+M24+M25+M9+M18</f>
        <v>335079</v>
      </c>
      <c r="N69" s="347">
        <f>(L69-M69)/M69</f>
        <v>7.1765165826566266E-2</v>
      </c>
      <c r="O69" s="413">
        <f>O65+O42+O40+O38+O37+O41+O22+O64+O61+O39+O60+O62+O27+O26+O23+O17+O8+O63+O24+O25+O9+O18</f>
        <v>885842</v>
      </c>
      <c r="P69" s="413">
        <f>P65+P42+P40+P38+P37+P41+P22+P64+P61+P39+P60+P62+P27+P26+P23+P17+P8+P63+P24+P25+P9+P18</f>
        <v>1505614</v>
      </c>
      <c r="Q69" s="444">
        <f>(O69-P69)/P69</f>
        <v>-0.41164069940901188</v>
      </c>
      <c r="R69" s="453">
        <f>+O69/O70</f>
        <v>0.23278331313415862</v>
      </c>
      <c r="S69" s="3"/>
      <c r="T69" s="200" t="s">
        <v>134</v>
      </c>
      <c r="U69" s="413">
        <f>U65+U42+U40+U38+U37+U41+U22+U64+U61+U39+U60+U62+U27+U26+U23+U17+U8+U63+U24+U25+U9+U18</f>
        <v>3042</v>
      </c>
      <c r="V69" s="413">
        <f>V65+V42+V40+V38+V37+V41+V22+V64+V61+V39+V60+V62+V27+V26+V23+V17+V8+V63+V24+V25+V9+V18</f>
        <v>2816</v>
      </c>
      <c r="W69" s="347">
        <f>(U69-V69)/V69</f>
        <v>8.0255681818181823E-2</v>
      </c>
      <c r="X69" s="413">
        <f>X65+X42+X40+X38+X37+X41+X22+X64+X61+X39+X60+X62+X27+X26+X23+X17+X8+X63+X24+X25+X9+X18</f>
        <v>4808</v>
      </c>
      <c r="Y69" s="413">
        <f>Y65+Y42+Y40+Y38+Y37+Y41+Y22+Y64+Y61+Y39+Y60+Y62+Y27+Y26+Y23+Y17+Y8+Y63+Y24+Y25+Y9+Y18</f>
        <v>15694</v>
      </c>
      <c r="Z69" s="536">
        <f>(X69-Y69)/Y69</f>
        <v>-0.69364088186568118</v>
      </c>
      <c r="AA69" s="453">
        <f>+X69/X70</f>
        <v>4.5633150471707069E-4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21292</v>
      </c>
      <c r="D70" s="414">
        <f>D58+D56+D52+D46+D44+D35+D20+D15+D6+D54+D31+D29+D11+D50+D13+D48+D4+D33</f>
        <v>27055</v>
      </c>
      <c r="E70" s="415">
        <f>(C70-D70)/D70</f>
        <v>-0.21301053409720938</v>
      </c>
      <c r="F70" s="414">
        <f>F58+F56+F52+F46+F44+F35+F20+F15+F6+F54+F31+F29+F11+F50+F13+F48+F4+F33</f>
        <v>56981</v>
      </c>
      <c r="G70" s="414">
        <f>G58+G56+G52+G46+G44+G35+G20+G15+G6+G54+G31+G29+G11+G50+G13+G48+G4+G33</f>
        <v>83947</v>
      </c>
      <c r="H70" s="418">
        <f>(F70-G70)/G70</f>
        <v>-0.32122648814132726</v>
      </c>
      <c r="I70" s="459">
        <f>+H70/H70</f>
        <v>1</v>
      </c>
      <c r="K70" s="300" t="s">
        <v>135</v>
      </c>
      <c r="L70" s="414">
        <f>L58+L56+L52+L46+L44+L35+L20+L15+L6+L54+L31+L29+L11+L50+L13+L48+L4+L33</f>
        <v>1666020</v>
      </c>
      <c r="M70" s="414">
        <f>M58+M56+M52+M46+M44+M35+M20+M15+M6+M54+M31+M29+M11+M50+M13+M48+M4+M33</f>
        <v>1715780</v>
      </c>
      <c r="N70" s="415">
        <f>(L70-M70)/M70</f>
        <v>-2.9001387124223385E-2</v>
      </c>
      <c r="O70" s="414">
        <f>O58+O56+O52+O46+O44+O35+O20+O15+O6+O54+O31+O29+O11+O50+O13+O48+O4+O33</f>
        <v>3805436</v>
      </c>
      <c r="P70" s="414">
        <f>P58+P56+P52+P46+P44+P35+P20+P15+P6+P54+P31+P29+P11+P50+P13+P48+P4+P33</f>
        <v>7313234</v>
      </c>
      <c r="Q70" s="447">
        <f>(O70-P70)/P70</f>
        <v>-0.479650726340768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4126551</v>
      </c>
      <c r="V70" s="414">
        <f>V58+V56+V52+V46+V44+V35+V20+V15+V6+V54+V31+V29+V11+V50+V13+V48+V4+V33</f>
        <v>5612663</v>
      </c>
      <c r="W70" s="415">
        <f>(U70-V70)/V70</f>
        <v>-0.26477841267148944</v>
      </c>
      <c r="X70" s="414">
        <f>X58+X56+X52+X46+X44+X35+X20+X15+X6+X54+X31+X29+X11+X50+X13+X48+X4+X33</f>
        <v>10536200</v>
      </c>
      <c r="Y70" s="414">
        <f>Y58+Y56+Y52+Y46+Y44+Y35+Y20+Y15+Y6+Y54+Y31+Y29+Y11+Y50+Y13+Y48+Y4+Y33</f>
        <v>23548944</v>
      </c>
      <c r="Z70" s="537">
        <f>(X70-Y70)/Y70</f>
        <v>-0.5525829098748547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C72"/>
      <c r="D72"/>
      <c r="E72"/>
      <c r="F72"/>
      <c r="G72"/>
      <c r="H72"/>
      <c r="I72"/>
      <c r="J72"/>
      <c r="K72"/>
      <c r="L72"/>
      <c r="M72"/>
      <c r="N72"/>
      <c r="U72" s="128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</row>
    <row r="74" spans="1:27" x14ac:dyDescent="0.2">
      <c r="E74"/>
      <c r="F74" s="2"/>
      <c r="H74"/>
      <c r="I74"/>
      <c r="J74"/>
      <c r="K74"/>
      <c r="N74"/>
      <c r="O74" s="2"/>
      <c r="P74" s="2"/>
      <c r="U74" s="128"/>
    </row>
    <row r="75" spans="1:27" x14ac:dyDescent="0.2">
      <c r="D75" s="3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March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2022-01-12T20:31:21Z</dcterms:modified>
</cp:coreProperties>
</file>