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29BFB6FD-8679-425B-B5B7-B6BAC1C5876D}" xr6:coauthVersionLast="47" xr6:coauthVersionMax="47" xr10:uidLastSave="{00000000-0000-0000-0000-000000000000}"/>
  <bookViews>
    <workbookView xWindow="27705" yWindow="390" windowWidth="20445" windowHeight="13845" tabRatio="863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Y65" i="9" l="1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D29" i="17"/>
  <c r="D27" i="17"/>
  <c r="P26" i="17"/>
  <c r="M26" i="17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O29" i="17"/>
  <c r="L29" i="17"/>
  <c r="C29" i="17"/>
  <c r="C27" i="17"/>
  <c r="O26" i="17"/>
  <c r="L26" i="17"/>
  <c r="C26" i="17"/>
  <c r="O22" i="17"/>
  <c r="L22" i="17"/>
  <c r="C22" i="17"/>
  <c r="O21" i="17"/>
  <c r="L21" i="17"/>
  <c r="C21" i="17"/>
  <c r="O20" i="17"/>
  <c r="L20" i="17"/>
  <c r="C20" i="17"/>
  <c r="O19" i="17"/>
  <c r="L19" i="17"/>
  <c r="C19" i="17"/>
  <c r="O16" i="17"/>
  <c r="L16" i="17"/>
  <c r="C16" i="17"/>
  <c r="O15" i="17"/>
  <c r="L15" i="17"/>
  <c r="C15" i="17"/>
  <c r="O14" i="17"/>
  <c r="L14" i="17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1" i="7"/>
  <c r="J31" i="7"/>
  <c r="E3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E30" i="7" l="1"/>
  <c r="O30" i="7" l="1"/>
  <c r="O29" i="7"/>
  <c r="M29" i="7"/>
  <c r="L29" i="7"/>
  <c r="J30" i="7"/>
  <c r="E29" i="7"/>
  <c r="C29" i="7"/>
  <c r="B29" i="7"/>
  <c r="D29" i="7" l="1"/>
  <c r="N29" i="7"/>
  <c r="D35" i="3"/>
  <c r="D22" i="3"/>
  <c r="D7" i="3"/>
  <c r="D44" i="3" l="1"/>
  <c r="D43" i="3"/>
  <c r="D12" i="3"/>
  <c r="D18" i="3"/>
  <c r="D23" i="3" s="1"/>
  <c r="D40" i="3"/>
  <c r="D30" i="3"/>
  <c r="D45" i="3" l="1"/>
  <c r="M28" i="7" l="1"/>
  <c r="L28" i="7"/>
  <c r="J29" i="7"/>
  <c r="E28" i="7"/>
  <c r="C28" i="7"/>
  <c r="B28" i="7"/>
  <c r="D28" i="7" l="1"/>
  <c r="N28" i="7"/>
  <c r="N10" i="17"/>
  <c r="N16" i="17" l="1"/>
  <c r="N15" i="17"/>
  <c r="E15" i="17"/>
  <c r="E10" i="17"/>
  <c r="E11" i="17"/>
  <c r="H11" i="17"/>
  <c r="Q11" i="17"/>
  <c r="E14" i="17"/>
  <c r="H14" i="17"/>
  <c r="E16" i="17"/>
  <c r="N14" i="17"/>
  <c r="H16" i="17"/>
  <c r="N11" i="17"/>
  <c r="Q14" i="17"/>
  <c r="Q16" i="17"/>
  <c r="Q15" i="17"/>
  <c r="H15" i="17"/>
  <c r="H13" i="17"/>
  <c r="Q10" i="17"/>
  <c r="H10" i="17"/>
  <c r="E13" i="17" l="1"/>
  <c r="O5" i="17"/>
  <c r="M5" i="17"/>
  <c r="L5" i="17"/>
  <c r="D5" i="17"/>
  <c r="L18" i="17"/>
  <c r="D18" i="17" l="1"/>
  <c r="M18" i="17"/>
  <c r="P5" i="17"/>
  <c r="Q5" i="17" s="1"/>
  <c r="F18" i="17"/>
  <c r="N5" i="17"/>
  <c r="G5" i="17"/>
  <c r="C18" i="17"/>
  <c r="E7" i="17"/>
  <c r="G18" i="17"/>
  <c r="H7" i="17"/>
  <c r="O18" i="17"/>
  <c r="F5" i="17"/>
  <c r="H6" i="17"/>
  <c r="C5" i="17"/>
  <c r="E5" i="17" s="1"/>
  <c r="E6" i="17"/>
  <c r="P18" i="17"/>
  <c r="H22" i="17"/>
  <c r="Q19" i="17"/>
  <c r="Q20" i="17"/>
  <c r="Q13" i="17"/>
  <c r="N22" i="17"/>
  <c r="Q22" i="17"/>
  <c r="E22" i="17"/>
  <c r="N13" i="17"/>
  <c r="Q7" i="17"/>
  <c r="Q6" i="17"/>
  <c r="N7" i="17"/>
  <c r="E19" i="17"/>
  <c r="N19" i="17"/>
  <c r="N21" i="17"/>
  <c r="Q21" i="17"/>
  <c r="N6" i="17"/>
  <c r="E21" i="17"/>
  <c r="H19" i="17"/>
  <c r="N20" i="17"/>
  <c r="H21" i="17"/>
  <c r="E20" i="17"/>
  <c r="H20" i="17"/>
  <c r="B10" i="8"/>
  <c r="L10" i="8"/>
  <c r="K10" i="8"/>
  <c r="I10" i="8"/>
  <c r="E10" i="8"/>
  <c r="E18" i="8" l="1"/>
  <c r="E23" i="8"/>
  <c r="H5" i="17"/>
  <c r="K6" i="8"/>
  <c r="K12" i="8" s="1"/>
  <c r="L23" i="8"/>
  <c r="L6" i="8"/>
  <c r="L12" i="8" s="1"/>
  <c r="K23" i="8"/>
  <c r="I18" i="8"/>
  <c r="L32" i="8"/>
  <c r="E6" i="8"/>
  <c r="E12" i="8" s="1"/>
  <c r="K31" i="8"/>
  <c r="L18" i="8"/>
  <c r="K32" i="8"/>
  <c r="L31" i="8"/>
  <c r="L28" i="8"/>
  <c r="I23" i="8"/>
  <c r="I28" i="8"/>
  <c r="I6" i="8"/>
  <c r="I12" i="8" s="1"/>
  <c r="K28" i="8"/>
  <c r="K18" i="8"/>
  <c r="E31" i="8"/>
  <c r="I32" i="8"/>
  <c r="I31" i="8"/>
  <c r="E32" i="8"/>
  <c r="E28" i="8"/>
  <c r="E33" i="8" l="1"/>
  <c r="I33" i="8"/>
  <c r="L33" i="8"/>
  <c r="K33" i="8"/>
  <c r="P25" i="17" l="1"/>
  <c r="M25" i="17"/>
  <c r="P9" i="17"/>
  <c r="M9" i="17"/>
  <c r="G9" i="17"/>
  <c r="D9" i="17"/>
  <c r="F25" i="17"/>
  <c r="O25" i="17"/>
  <c r="L25" i="17"/>
  <c r="O9" i="17"/>
  <c r="L9" i="17"/>
  <c r="C23" i="8"/>
  <c r="F18" i="8"/>
  <c r="G18" i="8"/>
  <c r="P9" i="8"/>
  <c r="P8" i="8"/>
  <c r="M27" i="7"/>
  <c r="L27" i="7"/>
  <c r="O28" i="7"/>
  <c r="J28" i="7"/>
  <c r="C27" i="7"/>
  <c r="B27" i="7"/>
  <c r="M33" i="17" l="1"/>
  <c r="C25" i="17"/>
  <c r="N9" i="17"/>
  <c r="N25" i="17"/>
  <c r="N27" i="7"/>
  <c r="P33" i="17"/>
  <c r="D25" i="17"/>
  <c r="G25" i="17"/>
  <c r="H25" i="17" s="1"/>
  <c r="E12" i="17"/>
  <c r="C9" i="17"/>
  <c r="E9" i="17" s="1"/>
  <c r="Q25" i="17"/>
  <c r="H12" i="17"/>
  <c r="F9" i="17"/>
  <c r="H9" i="17" s="1"/>
  <c r="H18" i="8"/>
  <c r="Q9" i="17"/>
  <c r="L33" i="17"/>
  <c r="O33" i="17"/>
  <c r="C18" i="8"/>
  <c r="B18" i="8"/>
  <c r="P16" i="8"/>
  <c r="D5" i="5" s="1"/>
  <c r="P17" i="8"/>
  <c r="D27" i="7"/>
  <c r="B6" i="8"/>
  <c r="P4" i="8"/>
  <c r="B23" i="8"/>
  <c r="P21" i="8"/>
  <c r="P22" i="8"/>
  <c r="C28" i="8"/>
  <c r="P5" i="8"/>
  <c r="B28" i="8"/>
  <c r="P26" i="8"/>
  <c r="P27" i="8"/>
  <c r="E27" i="7"/>
  <c r="J27" i="7"/>
  <c r="O27" i="7"/>
  <c r="O26" i="7"/>
  <c r="M26" i="7"/>
  <c r="L26" i="7"/>
  <c r="E26" i="7"/>
  <c r="C26" i="7"/>
  <c r="B26" i="7"/>
  <c r="G33" i="17" l="1"/>
  <c r="E25" i="17"/>
  <c r="D33" i="17"/>
  <c r="C33" i="8"/>
  <c r="F33" i="17"/>
  <c r="I9" i="17" s="1"/>
  <c r="R5" i="17"/>
  <c r="R18" i="17"/>
  <c r="R9" i="17"/>
  <c r="R29" i="17"/>
  <c r="C33" i="17"/>
  <c r="R25" i="17"/>
  <c r="B33" i="8"/>
  <c r="B12" i="8"/>
  <c r="N26" i="7"/>
  <c r="D26" i="7"/>
  <c r="I5" i="17" l="1"/>
  <c r="M18" i="8"/>
  <c r="M10" i="8"/>
  <c r="M6" i="8" l="1"/>
  <c r="M12" i="8" s="1"/>
  <c r="M32" i="8"/>
  <c r="M23" i="8"/>
  <c r="M28" i="8"/>
  <c r="M31" i="8"/>
  <c r="M33" i="8" l="1"/>
  <c r="J26" i="7"/>
  <c r="O25" i="7"/>
  <c r="M25" i="7"/>
  <c r="L25" i="7"/>
  <c r="C25" i="7"/>
  <c r="B25" i="7"/>
  <c r="D25" i="7" l="1"/>
  <c r="E33" i="9"/>
  <c r="N25" i="7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M24" i="7"/>
  <c r="L24" i="7"/>
  <c r="J25" i="7"/>
  <c r="E25" i="7"/>
  <c r="E24" i="7"/>
  <c r="C24" i="7"/>
  <c r="B24" i="7"/>
  <c r="X70" i="9" l="1"/>
  <c r="AA70" i="9" s="1"/>
  <c r="V70" i="9"/>
  <c r="V68" i="9" s="1"/>
  <c r="N24" i="7"/>
  <c r="D24" i="7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M23" i="7"/>
  <c r="L23" i="7"/>
  <c r="J24" i="7"/>
  <c r="C23" i="7"/>
  <c r="B23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D23" i="7"/>
  <c r="N23" i="7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E40" i="3" l="1"/>
  <c r="E35" i="3"/>
  <c r="E18" i="3"/>
  <c r="E12" i="3"/>
  <c r="E7" i="3"/>
  <c r="E30" i="3"/>
  <c r="E44" i="3" l="1"/>
  <c r="E22" i="3"/>
  <c r="E23" i="3" s="1"/>
  <c r="E43" i="3"/>
  <c r="E45" i="3" l="1"/>
  <c r="F10" i="8"/>
  <c r="F6" i="8" l="1"/>
  <c r="F12" i="8" s="1"/>
  <c r="F31" i="8"/>
  <c r="F32" i="8"/>
  <c r="F23" i="8"/>
  <c r="F28" i="8"/>
  <c r="F33" i="8" l="1"/>
  <c r="D69" i="9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B32" i="8" l="1"/>
  <c r="B31" i="8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H29" i="17" l="1"/>
  <c r="Q29" i="17"/>
  <c r="Q12" i="17"/>
  <c r="Q18" i="17"/>
  <c r="H26" i="17"/>
  <c r="Q26" i="17"/>
  <c r="E27" i="17"/>
  <c r="E29" i="17"/>
  <c r="E18" i="17"/>
  <c r="N18" i="17"/>
  <c r="H18" i="17"/>
  <c r="E26" i="17"/>
  <c r="H27" i="17"/>
  <c r="R16" i="17"/>
  <c r="N12" i="17"/>
  <c r="N26" i="17"/>
  <c r="N29" i="17"/>
  <c r="R14" i="17" l="1"/>
  <c r="R15" i="17"/>
  <c r="I14" i="17"/>
  <c r="I15" i="17"/>
  <c r="R11" i="17"/>
  <c r="R10" i="17"/>
  <c r="I13" i="17"/>
  <c r="I16" i="17"/>
  <c r="I25" i="17"/>
  <c r="I18" i="17"/>
  <c r="I11" i="17"/>
  <c r="I10" i="17"/>
  <c r="I6" i="17"/>
  <c r="R13" i="17"/>
  <c r="R22" i="17"/>
  <c r="I22" i="17"/>
  <c r="R6" i="17"/>
  <c r="R7" i="17"/>
  <c r="I7" i="17"/>
  <c r="R21" i="17"/>
  <c r="R19" i="17"/>
  <c r="R20" i="17"/>
  <c r="I20" i="17"/>
  <c r="I19" i="17"/>
  <c r="I21" i="17"/>
  <c r="Q33" i="17"/>
  <c r="H33" i="17"/>
  <c r="R12" i="17"/>
  <c r="R26" i="17"/>
  <c r="I29" i="17"/>
  <c r="I27" i="17"/>
  <c r="I26" i="17"/>
  <c r="I12" i="17"/>
  <c r="N33" i="17"/>
  <c r="E33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F22" i="3"/>
  <c r="I17" i="4"/>
  <c r="I37" i="4"/>
  <c r="J40" i="4"/>
  <c r="F44" i="3"/>
  <c r="C44" i="3"/>
  <c r="E7" i="15"/>
  <c r="J20" i="4"/>
  <c r="E12" i="15"/>
  <c r="E20" i="15"/>
  <c r="E32" i="15"/>
  <c r="C22" i="3"/>
  <c r="C7" i="3"/>
  <c r="C40" i="3"/>
  <c r="F7" i="3"/>
  <c r="F18" i="3"/>
  <c r="F30" i="3"/>
  <c r="J27" i="4"/>
  <c r="J41" i="4"/>
  <c r="E41" i="15"/>
  <c r="F12" i="3"/>
  <c r="F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F40" i="3"/>
  <c r="F43" i="3"/>
  <c r="C43" i="3"/>
  <c r="E21" i="15" l="1"/>
  <c r="F23" i="3"/>
  <c r="C23" i="3"/>
  <c r="C45" i="3"/>
  <c r="J21" i="4"/>
  <c r="I42" i="4"/>
  <c r="F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H32" i="8" l="1"/>
  <c r="H6" i="8"/>
  <c r="H31" i="8"/>
  <c r="H10" i="8"/>
  <c r="H12" i="8" l="1"/>
  <c r="H23" i="8"/>
  <c r="H28" i="8"/>
  <c r="H33" i="8" l="1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J18" i="8" l="1"/>
  <c r="D30" i="2"/>
  <c r="B30" i="3"/>
  <c r="C27" i="4"/>
  <c r="K27" i="4"/>
  <c r="G23" i="8"/>
  <c r="D35" i="2"/>
  <c r="B35" i="3"/>
  <c r="G35" i="3"/>
  <c r="I35" i="3"/>
  <c r="E32" i="4"/>
  <c r="B32" i="15"/>
  <c r="H32" i="15"/>
  <c r="D17" i="4"/>
  <c r="F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2" i="7"/>
  <c r="P32" i="7" s="1"/>
  <c r="I32" i="7"/>
  <c r="K32" i="7" s="1"/>
  <c r="D32" i="7"/>
  <c r="F32" i="7" s="1"/>
  <c r="J45" i="15"/>
  <c r="J44" i="15"/>
  <c r="P20" i="16"/>
  <c r="P8" i="16"/>
  <c r="K42" i="2"/>
  <c r="K37" i="2"/>
  <c r="K36" i="2"/>
  <c r="K32" i="2"/>
  <c r="K8" i="2"/>
  <c r="M34" i="4"/>
  <c r="M33" i="4"/>
  <c r="M14" i="4"/>
  <c r="C10" i="8"/>
  <c r="G10" i="8"/>
  <c r="N10" i="8"/>
  <c r="D10" i="8"/>
  <c r="J10" i="8"/>
  <c r="D33" i="8"/>
  <c r="J32" i="8" l="1"/>
  <c r="O37" i="16"/>
  <c r="I18" i="3"/>
  <c r="I23" i="3" s="1"/>
  <c r="C17" i="4"/>
  <c r="K37" i="4"/>
  <c r="J37" i="16"/>
  <c r="N32" i="8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J28" i="8"/>
  <c r="B22" i="3"/>
  <c r="K20" i="4"/>
  <c r="K17" i="4"/>
  <c r="B46" i="4"/>
  <c r="B47" i="4" s="1"/>
  <c r="B44" i="3"/>
  <c r="D44" i="2"/>
  <c r="N18" i="16"/>
  <c r="D6" i="16"/>
  <c r="C7" i="7"/>
  <c r="H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J22" i="3"/>
  <c r="J23" i="3" s="1"/>
  <c r="B17" i="15"/>
  <c r="F12" i="7"/>
  <c r="B12" i="7"/>
  <c r="D20" i="1"/>
  <c r="O32" i="8"/>
  <c r="F41" i="15"/>
  <c r="B41" i="15"/>
  <c r="D41" i="4"/>
  <c r="G28" i="8"/>
  <c r="K40" i="4"/>
  <c r="H18" i="16"/>
  <c r="E43" i="2"/>
  <c r="B43" i="2"/>
  <c r="G32" i="15"/>
  <c r="C32" i="15"/>
  <c r="H44" i="3"/>
  <c r="B23" i="16"/>
  <c r="G11" i="16"/>
  <c r="E6" i="16"/>
  <c r="B6" i="16"/>
  <c r="J11" i="16"/>
  <c r="H6" i="16"/>
  <c r="H12" i="15"/>
  <c r="H12" i="4"/>
  <c r="H12" i="3"/>
  <c r="C21" i="2"/>
  <c r="C23" i="2" s="1"/>
  <c r="H20" i="4"/>
  <c r="H17" i="15"/>
  <c r="D32" i="4"/>
  <c r="J35" i="3"/>
  <c r="O23" i="8"/>
  <c r="N23" i="8"/>
  <c r="F27" i="15"/>
  <c r="K28" i="3"/>
  <c r="J28" i="2" s="1"/>
  <c r="K28" i="2" s="1"/>
  <c r="B5" i="5" s="1"/>
  <c r="C30" i="16"/>
  <c r="G30" i="16"/>
  <c r="H7" i="3"/>
  <c r="E7" i="7"/>
  <c r="C12" i="7"/>
  <c r="J6" i="8"/>
  <c r="J12" i="8" s="1"/>
  <c r="K32" i="4"/>
  <c r="D27" i="4"/>
  <c r="O18" i="8"/>
  <c r="N18" i="8"/>
  <c r="H23" i="16"/>
  <c r="G6" i="16"/>
  <c r="C6" i="16"/>
  <c r="G7" i="3"/>
  <c r="J7" i="3"/>
  <c r="C6" i="8"/>
  <c r="B40" i="4"/>
  <c r="J23" i="16"/>
  <c r="K7" i="4"/>
  <c r="C7" i="4"/>
  <c r="K10" i="3"/>
  <c r="J9" i="2" s="1"/>
  <c r="B17" i="2"/>
  <c r="D21" i="1"/>
  <c r="G41" i="15"/>
  <c r="J36" i="15"/>
  <c r="L36" i="4" s="1"/>
  <c r="M36" i="4" s="1"/>
  <c r="C16" i="5" s="1"/>
  <c r="B37" i="4"/>
  <c r="O31" i="8"/>
  <c r="N28" i="8"/>
  <c r="D40" i="4"/>
  <c r="I40" i="3"/>
  <c r="B40" i="3"/>
  <c r="D40" i="2"/>
  <c r="G44" i="3"/>
  <c r="C32" i="8"/>
  <c r="O10" i="8"/>
  <c r="P10" i="8" s="1"/>
  <c r="H7" i="15"/>
  <c r="D12" i="4"/>
  <c r="H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N31" i="8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31" i="8"/>
  <c r="G43" i="3"/>
  <c r="B41" i="4"/>
  <c r="C32" i="4"/>
  <c r="B18" i="16"/>
  <c r="E18" i="16"/>
  <c r="P21" i="16"/>
  <c r="I7" i="3"/>
  <c r="C6" i="2"/>
  <c r="G7" i="15"/>
  <c r="E7" i="4"/>
  <c r="K16" i="3"/>
  <c r="J15" i="2" s="1"/>
  <c r="K15" i="2" s="1"/>
  <c r="H40" i="15"/>
  <c r="N6" i="8"/>
  <c r="N12" i="8" s="1"/>
  <c r="C19" i="1"/>
  <c r="D16" i="5"/>
  <c r="C44" i="2"/>
  <c r="G23" i="16"/>
  <c r="K5" i="3"/>
  <c r="J4" i="2" s="1"/>
  <c r="K4" i="2" s="1"/>
  <c r="B5" i="1" s="1"/>
  <c r="C7" i="15"/>
  <c r="L5" i="4"/>
  <c r="M5" i="4" s="1"/>
  <c r="L16" i="4"/>
  <c r="M16" i="4" s="1"/>
  <c r="F20" i="15"/>
  <c r="F21" i="15" s="1"/>
  <c r="J30" i="3"/>
  <c r="J43" i="3"/>
  <c r="K34" i="3"/>
  <c r="J34" i="2" s="1"/>
  <c r="K34" i="2" s="1"/>
  <c r="B11" i="5" s="1"/>
  <c r="K29" i="3"/>
  <c r="J29" i="2" s="1"/>
  <c r="G12" i="3"/>
  <c r="H35" i="3"/>
  <c r="J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G37" i="15"/>
  <c r="L18" i="4"/>
  <c r="M18" i="4" s="1"/>
  <c r="P10" i="16"/>
  <c r="B11" i="16"/>
  <c r="K51" i="2"/>
  <c r="K21" i="3"/>
  <c r="J20" i="2" s="1"/>
  <c r="K20" i="2" s="1"/>
  <c r="H22" i="3"/>
  <c r="H41" i="4"/>
  <c r="D15" i="5"/>
  <c r="C37" i="15"/>
  <c r="H30" i="3"/>
  <c r="J46" i="15"/>
  <c r="L44" i="4" s="1"/>
  <c r="M44" i="4" s="1"/>
  <c r="N37" i="16"/>
  <c r="E11" i="16"/>
  <c r="J47" i="15"/>
  <c r="L45" i="4" s="1"/>
  <c r="M45" i="4" s="1"/>
  <c r="G22" i="3"/>
  <c r="G23" i="3" s="1"/>
  <c r="B21" i="2"/>
  <c r="E37" i="4"/>
  <c r="J30" i="15"/>
  <c r="L30" i="4" s="1"/>
  <c r="M30" i="4" s="1"/>
  <c r="C10" i="5" s="1"/>
  <c r="H27" i="15"/>
  <c r="D11" i="5"/>
  <c r="G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K5" i="2" s="1"/>
  <c r="C5" i="1" s="1"/>
  <c r="B7" i="3"/>
  <c r="F7" i="15"/>
  <c r="H7" i="4"/>
  <c r="D7" i="7"/>
  <c r="J12" i="3"/>
  <c r="D17" i="2"/>
  <c r="D23" i="2" s="1"/>
  <c r="C17" i="15"/>
  <c r="D12" i="7"/>
  <c r="E12" i="7"/>
  <c r="O6" i="8"/>
  <c r="H41" i="15"/>
  <c r="C31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D6" i="8"/>
  <c r="D12" i="8" s="1"/>
  <c r="O28" i="8"/>
  <c r="B6" i="2"/>
  <c r="K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19" i="1"/>
  <c r="G6" i="8"/>
  <c r="J31" i="8"/>
  <c r="J23" i="8"/>
  <c r="G32" i="8"/>
  <c r="B43" i="3"/>
  <c r="C11" i="16"/>
  <c r="P9" i="16"/>
  <c r="B31" i="7" s="1"/>
  <c r="B12" i="15"/>
  <c r="L10" i="4"/>
  <c r="M10" i="4" s="1"/>
  <c r="F40" i="15"/>
  <c r="J35" i="15"/>
  <c r="L35" i="4" s="1"/>
  <c r="F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1" i="7" l="1"/>
  <c r="P23" i="8"/>
  <c r="P32" i="8"/>
  <c r="P28" i="8"/>
  <c r="C12" i="8"/>
  <c r="P6" i="8"/>
  <c r="P31" i="8"/>
  <c r="P18" i="8"/>
  <c r="F26" i="7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O12" i="8"/>
  <c r="H23" i="3"/>
  <c r="G42" i="15"/>
  <c r="H21" i="15"/>
  <c r="B42" i="4"/>
  <c r="D7" i="1"/>
  <c r="J17" i="2"/>
  <c r="K17" i="2" s="1"/>
  <c r="K12" i="3"/>
  <c r="K44" i="3"/>
  <c r="E45" i="2"/>
  <c r="O33" i="8"/>
  <c r="E21" i="4"/>
  <c r="D17" i="5"/>
  <c r="G45" i="3"/>
  <c r="F42" i="15"/>
  <c r="D18" i="1"/>
  <c r="C10" i="1"/>
  <c r="L27" i="4"/>
  <c r="M27" i="4" s="1"/>
  <c r="C21" i="15"/>
  <c r="D42" i="4"/>
  <c r="N33" i="8"/>
  <c r="J11" i="2"/>
  <c r="K11" i="2" s="1"/>
  <c r="K9" i="2"/>
  <c r="K35" i="3"/>
  <c r="K40" i="3"/>
  <c r="J44" i="2"/>
  <c r="K44" i="2" s="1"/>
  <c r="J32" i="15"/>
  <c r="M25" i="4"/>
  <c r="C5" i="5" s="1"/>
  <c r="K30" i="3"/>
  <c r="P6" i="16"/>
  <c r="K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K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J33" i="8"/>
  <c r="J37" i="15"/>
  <c r="K18" i="3"/>
  <c r="L17" i="4"/>
  <c r="M17" i="4" s="1"/>
  <c r="D10" i="5"/>
  <c r="G12" i="8"/>
  <c r="E42" i="4"/>
  <c r="C42" i="15"/>
  <c r="J40" i="15"/>
  <c r="J41" i="15"/>
  <c r="G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D31" i="7" l="1"/>
  <c r="F31" i="7" s="1"/>
  <c r="B17" i="5"/>
  <c r="B20" i="5"/>
  <c r="F29" i="7"/>
  <c r="F28" i="7"/>
  <c r="P33" i="8"/>
  <c r="P12" i="8"/>
  <c r="F27" i="7"/>
  <c r="F25" i="7"/>
  <c r="F23" i="7"/>
  <c r="B8" i="1"/>
  <c r="F18" i="1"/>
  <c r="J21" i="15"/>
  <c r="D6" i="1"/>
  <c r="C8" i="1"/>
  <c r="C33" i="1" s="1"/>
  <c r="B10" i="1"/>
  <c r="F19" i="1"/>
  <c r="J45" i="2"/>
  <c r="K45" i="2" s="1"/>
  <c r="K45" i="3"/>
  <c r="F7" i="1"/>
  <c r="J23" i="2"/>
  <c r="K23" i="2" s="1"/>
  <c r="B27" i="1"/>
  <c r="B21" i="5"/>
  <c r="B28" i="1"/>
  <c r="L42" i="4"/>
  <c r="M42" i="4" s="1"/>
  <c r="J42" i="15"/>
  <c r="K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F10" i="5" s="1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M31" i="7" s="1"/>
  <c r="B32" i="1"/>
  <c r="B11" i="1"/>
  <c r="D28" i="1"/>
  <c r="B22" i="1"/>
  <c r="B29" i="1"/>
  <c r="C12" i="5"/>
  <c r="C21" i="5"/>
  <c r="E21" i="5" s="1"/>
  <c r="F21" i="5" s="1"/>
  <c r="H21" i="5" s="1"/>
  <c r="E11" i="5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7" i="1"/>
  <c r="H31" i="7" l="1"/>
  <c r="L31" i="7"/>
  <c r="H29" i="7"/>
  <c r="F11" i="5"/>
  <c r="P29" i="7"/>
  <c r="G29" i="7"/>
  <c r="H27" i="7"/>
  <c r="H28" i="7"/>
  <c r="P28" i="7"/>
  <c r="G28" i="7"/>
  <c r="P27" i="7"/>
  <c r="G27" i="7"/>
  <c r="G26" i="7"/>
  <c r="H25" i="7"/>
  <c r="H26" i="7"/>
  <c r="P25" i="7"/>
  <c r="G25" i="7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F27" i="1"/>
  <c r="D29" i="1"/>
  <c r="F29" i="1" s="1"/>
  <c r="H5" i="5"/>
  <c r="F7" i="5"/>
  <c r="H7" i="5" s="1"/>
  <c r="F17" i="5"/>
  <c r="H17" i="5" s="1"/>
  <c r="H15" i="5"/>
  <c r="F20" i="5"/>
  <c r="E22" i="5"/>
  <c r="H10" i="5"/>
  <c r="H11" i="5" l="1"/>
  <c r="N31" i="7"/>
  <c r="P31" i="7" s="1"/>
  <c r="G31" i="7"/>
  <c r="F12" i="5"/>
  <c r="H12" i="5" s="1"/>
  <c r="I29" i="7"/>
  <c r="K29" i="7" s="1"/>
  <c r="I28" i="7"/>
  <c r="K28" i="7" s="1"/>
  <c r="I25" i="7"/>
  <c r="K25" i="7" s="1"/>
  <c r="I27" i="7"/>
  <c r="K27" i="7" s="1"/>
  <c r="I26" i="7"/>
  <c r="K26" i="7" s="1"/>
  <c r="P26" i="7"/>
  <c r="I24" i="7"/>
  <c r="K24" i="7" s="1"/>
  <c r="I23" i="7"/>
  <c r="K23" i="7" s="1"/>
  <c r="F22" i="5"/>
  <c r="H22" i="5" s="1"/>
  <c r="H20" i="5"/>
  <c r="I31" i="7" l="1"/>
  <c r="K31" i="7" s="1"/>
  <c r="D21" i="7"/>
  <c r="F21" i="7" l="1"/>
  <c r="G21" i="7"/>
  <c r="N21" i="7" l="1"/>
  <c r="H21" i="7"/>
  <c r="P21" i="7" l="1"/>
  <c r="I21" i="7"/>
  <c r="K21" i="7" s="1"/>
  <c r="B22" i="7" l="1"/>
  <c r="C22" i="7" l="1"/>
  <c r="D22" i="7" l="1"/>
  <c r="F22" i="7" l="1"/>
  <c r="M22" i="7"/>
  <c r="L22" i="7"/>
  <c r="N22" i="7" l="1"/>
  <c r="G22" i="7"/>
  <c r="H22" i="7"/>
  <c r="I22" i="7" l="1"/>
  <c r="P22" i="7"/>
  <c r="K22" i="7" l="1"/>
  <c r="B30" i="7" l="1"/>
  <c r="B33" i="7" l="1"/>
  <c r="C30" i="7" l="1"/>
  <c r="C33" i="7" l="1"/>
  <c r="D30" i="7"/>
  <c r="L30" i="7"/>
  <c r="F30" i="7" l="1"/>
  <c r="D33" i="7"/>
  <c r="F33" i="7" s="1"/>
  <c r="G30" i="7"/>
  <c r="L33" i="7"/>
  <c r="M30" i="7" l="1"/>
  <c r="G33" i="7"/>
  <c r="H30" i="7" l="1"/>
  <c r="M33" i="7"/>
  <c r="N30" i="7"/>
  <c r="P30" i="7" l="1"/>
  <c r="N33" i="7"/>
  <c r="P33" i="7" s="1"/>
  <c r="H33" i="7"/>
  <c r="I30" i="7"/>
  <c r="K30" i="7" l="1"/>
  <c r="I33" i="7"/>
  <c r="K33" i="7" s="1"/>
  <c r="I16" i="5" l="1"/>
  <c r="I10" i="5" l="1"/>
  <c r="I6" i="5"/>
  <c r="K6" i="5" l="1"/>
  <c r="K10" i="5"/>
  <c r="I5" i="5"/>
  <c r="I15" i="5"/>
  <c r="I17" i="5" l="1"/>
  <c r="K17" i="5" s="1"/>
  <c r="K15" i="5"/>
  <c r="I7" i="5"/>
  <c r="K7" i="5" s="1"/>
  <c r="K5" i="5"/>
  <c r="I20" i="5"/>
  <c r="I11" i="5"/>
  <c r="K20" i="5" l="1"/>
  <c r="K11" i="5"/>
  <c r="I21" i="5"/>
  <c r="K21" i="5" s="1"/>
  <c r="I12" i="5"/>
  <c r="K12" i="5" s="1"/>
  <c r="I22" i="5" l="1"/>
  <c r="K22" i="5" s="1"/>
  <c r="D33" i="1" l="1"/>
  <c r="G5" i="1" l="1"/>
  <c r="I5" i="1" l="1"/>
  <c r="G16" i="1"/>
  <c r="D32" i="1"/>
  <c r="G27" i="1"/>
  <c r="D34" i="1" l="1"/>
  <c r="E33" i="1" s="1"/>
  <c r="I27" i="1"/>
  <c r="I16" i="1"/>
  <c r="G20" i="1"/>
  <c r="I20" i="1" s="1"/>
  <c r="G6" i="1"/>
  <c r="E32" i="1" l="1"/>
  <c r="I6" i="1"/>
  <c r="G21" i="1"/>
  <c r="I21" i="1" s="1"/>
  <c r="G17" i="1"/>
  <c r="G28" i="1"/>
  <c r="I28" i="1" l="1"/>
  <c r="G29" i="1"/>
  <c r="I29" i="1" s="1"/>
  <c r="I17" i="1"/>
  <c r="G7" i="1"/>
  <c r="G18" i="1"/>
  <c r="I18" i="1" s="1"/>
  <c r="G19" i="1"/>
  <c r="I19" i="1" s="1"/>
  <c r="I7" i="1" l="1"/>
  <c r="G8" i="1"/>
  <c r="G22" i="1"/>
  <c r="I22" i="1" s="1"/>
  <c r="I8" i="1" l="1"/>
  <c r="G10" i="1"/>
  <c r="I10" i="1" s="1"/>
  <c r="G11" i="1" l="1"/>
  <c r="I11" i="1" s="1"/>
</calcChain>
</file>

<file path=xl/sharedStrings.xml><?xml version="1.0" encoding="utf-8"?>
<sst xmlns="http://schemas.openxmlformats.org/spreadsheetml/2006/main" count="682" uniqueCount="243">
  <si>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</si>
  <si>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</si>
  <si>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</si>
  <si>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</si>
  <si>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</si>
  <si>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</si>
  <si>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</si>
  <si>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</si>
  <si>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</si>
  <si>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</si>
  <si>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</si>
  <si>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</si>
  <si>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</si>
  <si>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</si>
  <si>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</si>
  <si>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</si>
  <si>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</si>
  <si>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</si>
  <si>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</si>
  <si>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</si>
  <si>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</si>
  <si>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</si>
  <si>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</si>
  <si>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</si>
  <si>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</si>
  <si>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</si>
  <si>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</si>
  <si>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</si>
  <si>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</si>
  <si>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</si>
  <si>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</si>
  <si>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</si>
  <si>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</si>
  <si>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</si>
  <si>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</si>
  <si>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</si>
  <si>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</si>
  <si>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</si>
  <si>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</si>
  <si>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</si>
  <si>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</si>
  <si>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</si>
  <si>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</si>
  <si>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</si>
  <si>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</si>
  <si>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</si>
  <si>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</si>
  <si>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</si>
  <si>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</si>
  <si>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</si>
  <si>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</si>
  <si>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</si>
  <si>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</si>
  <si>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</si>
  <si>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</si>
  <si>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</si>
  <si>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</si>
  <si>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</si>
  <si>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</si>
  <si>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</si>
  <si>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</si>
  <si>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</si>
  <si>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</si>
  <si>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</si>
  <si>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</si>
  <si>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</si>
  <si>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</si>
  <si>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</si>
  <si>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</si>
  <si>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</si>
  <si>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</si>
  <si>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</si>
  <si>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</si>
  <si>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</si>
  <si>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</si>
  <si>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</si>
  <si>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</si>
  <si>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</si>
  <si>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</si>
  <si>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</si>
  <si>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</si>
  <si>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</si>
  <si>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</si>
  <si>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</si>
  <si>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</si>
  <si>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</si>
  <si>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</si>
  <si>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</si>
  <si>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</si>
  <si>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</si>
  <si>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</si>
  <si>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</si>
  <si>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</si>
  <si>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</si>
  <si>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</si>
  <si>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</si>
  <si>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</si>
  <si>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</si>
  <si>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</si>
  <si>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</si>
  <si>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</si>
  <si>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</si>
  <si>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</si>
  <si>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</si>
  <si>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</si>
  <si>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</si>
  <si>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</si>
  <si>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</si>
  <si>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</si>
  <si>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</si>
  <si>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</si>
  <si>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</si>
  <si>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</si>
  <si>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</si>
  <si>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</si>
  <si>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</si>
  <si>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</si>
  <si>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</si>
  <si>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</si>
  <si>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</si>
  <si>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</si>
  <si>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</si>
  <si>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</si>
  <si>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</si>
  <si>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</si>
  <si>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</si>
  <si>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</si>
  <si>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</si>
  <si>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</si>
  <si>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</si>
  <si>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</si>
  <si>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</si>
  <si>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</si>
  <si>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</si>
  <si>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</si>
  <si>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</si>
  <si>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</si>
  <si>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</si>
  <si>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</si>
  <si>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</si>
  <si>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</si>
  <si>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</si>
  <si>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</si>
  <si>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</si>
  <si>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</si>
  <si>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</si>
  <si>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</si>
  <si>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</si>
  <si>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</si>
  <si>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</si>
  <si>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</si>
  <si>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</si>
  <si>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</si>
  <si>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</si>
  <si>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</si>
  <si>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</si>
  <si>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</si>
  <si>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</si>
  <si>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</si>
  <si>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</si>
  <si>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</si>
  <si>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</si>
  <si>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</si>
  <si>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</si>
  <si>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</si>
  <si>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</si>
  <si>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</si>
  <si>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</si>
  <si>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</si>
  <si>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</si>
  <si>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</si>
  <si>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</si>
  <si>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</si>
  <si>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</si>
  <si>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</si>
  <si>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</si>
  <si>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</si>
  <si>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</si>
  <si>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</si>
  <si>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</si>
  <si>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</si>
  <si>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</si>
  <si>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</si>
  <si>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</si>
  <si>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</si>
  <si>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</si>
  <si>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</si>
  <si>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</si>
  <si>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</si>
  <si>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</si>
  <si>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</si>
  <si>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</si>
  <si>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</si>
  <si>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</si>
  <si>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</si>
  <si>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</si>
  <si>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</si>
  <si>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</si>
  <si>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</si>
  <si>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</si>
  <si>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</si>
  <si>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</si>
  <si>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</si>
  <si>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</si>
  <si>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</si>
  <si>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</si>
  <si>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</si>
  <si>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</si>
  <si>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</si>
  <si>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</si>
  <si>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</si>
  <si>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</si>
  <si>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</si>
  <si>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</si>
  <si>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</si>
  <si>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</si>
  <si>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</si>
  <si>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</si>
  <si>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</si>
  <si>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</si>
  <si>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</si>
  <si>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</si>
  <si>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Belly Cargo/Mail in Pounds</t>
  </si>
  <si>
    <t>Belly Cargo/Mail In Pounds</t>
  </si>
  <si>
    <t>Denver Air</t>
  </si>
  <si>
    <t>Sun Country - Amazon</t>
  </si>
  <si>
    <t>Air Wisconsin-United</t>
  </si>
  <si>
    <t>MSP Cargo</t>
  </si>
  <si>
    <t>Encore -DHL</t>
  </si>
  <si>
    <t>Kalitta - DHL</t>
  </si>
  <si>
    <t>Southern Air - DHL</t>
  </si>
  <si>
    <t>Swift Air - DHL</t>
  </si>
  <si>
    <t>DHL</t>
  </si>
  <si>
    <t>Atlas Air</t>
  </si>
  <si>
    <t>Kalitta</t>
  </si>
  <si>
    <t>Southern Air</t>
  </si>
  <si>
    <t>Swift</t>
  </si>
  <si>
    <t>ATI</t>
  </si>
  <si>
    <t xml:space="preserve">Amazon </t>
  </si>
  <si>
    <t>Mountain Air</t>
  </si>
  <si>
    <t>ABX Air</t>
  </si>
  <si>
    <t>Boutique</t>
  </si>
  <si>
    <t>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</si>
</sst>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0" fontId="16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7" fillId="3" borderId="17" xfId="0" applyNumberFormat="1" applyFont="1" applyFill="1" applyBorder="1" applyAlignment="1">
      <alignment horizontal="center"/>
    </xf>
    <xf numFmtId="41" fontId="17" fillId="3" borderId="34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9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63" xfId="0" applyNumberFormat="1" applyFont="1" applyBorder="1"/>
    <xf numFmtId="10" fontId="29" fillId="0" borderId="63" xfId="0" applyNumberFormat="1" applyFont="1" applyBorder="1"/>
    <xf numFmtId="10" fontId="29" fillId="0" borderId="46" xfId="3" applyNumberFormat="1" applyFont="1" applyBorder="1"/>
    <xf numFmtId="10" fontId="29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1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0" xfId="0" applyNumberFormat="1" applyFont="1" applyBorder="1"/>
    <xf numFmtId="3" fontId="4" fillId="15" borderId="0" xfId="0" applyNumberFormat="1" applyFont="1" applyFill="1" applyBorder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3" fontId="4" fillId="15" borderId="9" xfId="0" applyNumberFormat="1" applyFont="1" applyFill="1" applyBorder="1"/>
    <xf numFmtId="3" fontId="4" fillId="15" borderId="0" xfId="0" applyNumberFormat="1" applyFont="1" applyFill="1"/>
    <xf numFmtId="10" fontId="4" fillId="15" borderId="0" xfId="0" applyNumberFormat="1" applyFont="1" applyFill="1" applyBorder="1"/>
    <xf numFmtId="3" fontId="1" fillId="0" borderId="0" xfId="0" applyNumberFormat="1" applyFont="1" applyFill="1"/>
    <xf numFmtId="3" fontId="4" fillId="0" borderId="9" xfId="0" applyNumberFormat="1" applyFont="1" applyFill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0" fontId="32" fillId="6" borderId="35" xfId="0" applyFont="1" applyFill="1" applyBorder="1" applyAlignment="1">
      <alignment horizontal="center"/>
    </xf>
    <xf numFmtId="0" fontId="32" fillId="6" borderId="45" xfId="0" applyFont="1" applyFill="1" applyBorder="1" applyAlignment="1">
      <alignment horizontal="center"/>
    </xf>
    <xf numFmtId="0" fontId="32" fillId="6" borderId="46" xfId="0" applyFont="1" applyFill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3" fontId="4" fillId="0" borderId="48" xfId="0" applyNumberFormat="1" applyFont="1" applyFill="1" applyBorder="1" applyAlignment="1">
      <alignment horizontal="center"/>
    </xf>
    <xf numFmtId="3" fontId="4" fillId="0" borderId="50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30" fillId="11" borderId="35" xfId="0" applyNumberFormat="1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3" fontId="30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Novem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ly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ugust%20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September%20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Octo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2316801</v>
          </cell>
          <cell r="G5">
            <v>28311897</v>
          </cell>
        </row>
        <row r="6">
          <cell r="D6">
            <v>558749</v>
          </cell>
          <cell r="G6">
            <v>6905713</v>
          </cell>
        </row>
        <row r="7">
          <cell r="D7">
            <v>147</v>
          </cell>
          <cell r="G7">
            <v>5590</v>
          </cell>
        </row>
        <row r="10">
          <cell r="D10">
            <v>90903</v>
          </cell>
          <cell r="G10">
            <v>1110753</v>
          </cell>
        </row>
        <row r="16">
          <cell r="D16">
            <v>18210</v>
          </cell>
          <cell r="G16">
            <v>211521</v>
          </cell>
        </row>
        <row r="17">
          <cell r="D17">
            <v>10660</v>
          </cell>
          <cell r="G17">
            <v>130380</v>
          </cell>
        </row>
        <row r="18">
          <cell r="D18">
            <v>1</v>
          </cell>
          <cell r="G18">
            <v>62</v>
          </cell>
        </row>
        <row r="19">
          <cell r="D19">
            <v>1182</v>
          </cell>
          <cell r="G19">
            <v>13024</v>
          </cell>
        </row>
        <row r="20">
          <cell r="D20">
            <v>1479</v>
          </cell>
          <cell r="G20">
            <v>17285</v>
          </cell>
        </row>
        <row r="21">
          <cell r="D21">
            <v>22</v>
          </cell>
          <cell r="G21">
            <v>851</v>
          </cell>
        </row>
        <row r="27">
          <cell r="D27">
            <v>16871.557350168288</v>
          </cell>
          <cell r="G27">
            <v>185392.43948120743</v>
          </cell>
        </row>
        <row r="28">
          <cell r="D28">
            <v>2121.3943618513799</v>
          </cell>
          <cell r="G28">
            <v>22892.731163974211</v>
          </cell>
        </row>
        <row r="32">
          <cell r="B32">
            <v>897145</v>
          </cell>
          <cell r="D32">
            <v>11074965</v>
          </cell>
        </row>
        <row r="33">
          <cell r="B33">
            <v>543639</v>
          </cell>
          <cell r="D33">
            <v>6514889</v>
          </cell>
        </row>
      </sheetData>
      <sheetData sheetId="1"/>
      <sheetData sheetId="2"/>
      <sheetData sheetId="3"/>
      <sheetData sheetId="4"/>
      <sheetData sheetId="5">
        <row r="31">
          <cell r="D31">
            <v>210527</v>
          </cell>
          <cell r="I31">
            <v>2756073</v>
          </cell>
          <cell r="N31">
            <v>2966600</v>
          </cell>
        </row>
      </sheetData>
      <sheetData sheetId="6"/>
      <sheetData sheetId="7">
        <row r="5">
          <cell r="F5">
            <v>9374.1644466431499</v>
          </cell>
          <cell r="I5">
            <v>102166.89548940412</v>
          </cell>
        </row>
        <row r="6">
          <cell r="F6">
            <v>934.43520881249003</v>
          </cell>
          <cell r="I6">
            <v>9589.6920363952413</v>
          </cell>
        </row>
        <row r="10">
          <cell r="F10">
            <v>7497.3929035251394</v>
          </cell>
          <cell r="I10">
            <v>83225.543991803279</v>
          </cell>
        </row>
        <row r="11">
          <cell r="F11">
            <v>1186.95915303889</v>
          </cell>
          <cell r="I11">
            <v>13303.039127578968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16871.557350168288</v>
          </cell>
        </row>
        <row r="21">
          <cell r="F21">
            <v>2121.3943618513799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9417007</v>
          </cell>
        </row>
        <row r="6">
          <cell r="G6">
            <v>2840041</v>
          </cell>
        </row>
        <row r="7">
          <cell r="G7">
            <v>2270</v>
          </cell>
        </row>
        <row r="10">
          <cell r="G10">
            <v>515151</v>
          </cell>
        </row>
        <row r="16">
          <cell r="G16">
            <v>99508</v>
          </cell>
        </row>
        <row r="17">
          <cell r="G17">
            <v>80201</v>
          </cell>
        </row>
        <row r="18">
          <cell r="G18">
            <v>24</v>
          </cell>
        </row>
        <row r="19">
          <cell r="G19">
            <v>12204</v>
          </cell>
        </row>
        <row r="20">
          <cell r="G20">
            <v>9168</v>
          </cell>
        </row>
        <row r="21">
          <cell r="G21">
            <v>952</v>
          </cell>
        </row>
        <row r="27">
          <cell r="G27">
            <v>152462.61272513424</v>
          </cell>
        </row>
        <row r="28">
          <cell r="G28">
            <v>14676.153950042968</v>
          </cell>
        </row>
        <row r="32">
          <cell r="D32">
            <v>3955211</v>
          </cell>
        </row>
        <row r="33">
          <cell r="D33">
            <v>2138672</v>
          </cell>
        </row>
      </sheetData>
      <sheetData sheetId="1"/>
      <sheetData sheetId="2"/>
      <sheetData sheetId="3"/>
      <sheetData sheetId="4"/>
      <sheetData sheetId="5">
        <row r="30">
          <cell r="B30">
            <v>2417</v>
          </cell>
          <cell r="C30">
            <v>2292</v>
          </cell>
          <cell r="L30">
            <v>560609</v>
          </cell>
          <cell r="M30">
            <v>587602</v>
          </cell>
        </row>
      </sheetData>
      <sheetData sheetId="6"/>
      <sheetData sheetId="7">
        <row r="5">
          <cell r="I5">
            <v>84479.940536859547</v>
          </cell>
        </row>
        <row r="6">
          <cell r="I6">
            <v>5780.2246396771798</v>
          </cell>
        </row>
        <row r="10">
          <cell r="I10">
            <v>67982.672188274693</v>
          </cell>
        </row>
        <row r="11">
          <cell r="I11">
            <v>8895.929310365791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Z4">
            <v>66</v>
          </cell>
        </row>
        <row r="5">
          <cell r="GZ5">
            <v>66</v>
          </cell>
        </row>
        <row r="8">
          <cell r="GZ8"/>
        </row>
        <row r="9">
          <cell r="GZ9"/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L19">
            <v>196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GZ19">
            <v>132</v>
          </cell>
        </row>
        <row r="22">
          <cell r="GZ22">
            <v>97</v>
          </cell>
        </row>
        <row r="23">
          <cell r="GZ23">
            <v>120</v>
          </cell>
        </row>
        <row r="27">
          <cell r="GZ27"/>
        </row>
        <row r="28">
          <cell r="GZ28"/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L41">
            <v>772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GZ41">
            <v>217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3"/>
      <sheetData sheetId="4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I64">
            <v>143926</v>
          </cell>
          <cell r="GJ64">
            <v>225019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5"/>
      <sheetData sheetId="6">
        <row r="8">
          <cell r="GZ8"/>
        </row>
        <row r="9">
          <cell r="GZ9"/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  <cell r="GV15"/>
          <cell r="GW15"/>
          <cell r="GX15"/>
          <cell r="GY15"/>
          <cell r="GZ15"/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  <cell r="GV16"/>
          <cell r="GW16"/>
          <cell r="GX16"/>
          <cell r="GY16"/>
          <cell r="GZ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L19">
            <v>60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  <cell r="GV32"/>
          <cell r="GW32"/>
          <cell r="GX32"/>
          <cell r="GY32"/>
          <cell r="GZ32"/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  <cell r="GV33"/>
          <cell r="GW33"/>
          <cell r="GX33"/>
          <cell r="GY33"/>
          <cell r="GZ33"/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  <cell r="GV37"/>
          <cell r="GW37"/>
          <cell r="GX37"/>
          <cell r="GY37"/>
          <cell r="GZ37"/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L41">
            <v>5874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I64">
            <v>8696</v>
          </cell>
          <cell r="GJ64">
            <v>313</v>
          </cell>
          <cell r="GK64">
            <v>7286</v>
          </cell>
          <cell r="GL64">
            <v>0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7">
        <row r="4">
          <cell r="GZ4">
            <v>59</v>
          </cell>
        </row>
        <row r="5">
          <cell r="GZ5">
            <v>60</v>
          </cell>
        </row>
        <row r="8">
          <cell r="GZ8"/>
        </row>
        <row r="9">
          <cell r="GZ9"/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L19">
            <v>177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GZ19">
            <v>119</v>
          </cell>
        </row>
        <row r="22">
          <cell r="GZ22">
            <v>2814</v>
          </cell>
        </row>
        <row r="23">
          <cell r="GZ23">
            <v>3046</v>
          </cell>
        </row>
        <row r="27">
          <cell r="GZ27">
            <v>184</v>
          </cell>
        </row>
        <row r="28">
          <cell r="GZ28">
            <v>238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L41">
            <v>18836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GZ41">
            <v>5860</v>
          </cell>
        </row>
        <row r="47">
          <cell r="GZ47">
            <v>16750</v>
          </cell>
        </row>
        <row r="48">
          <cell r="GZ48"/>
        </row>
        <row r="52">
          <cell r="GZ52">
            <v>2721</v>
          </cell>
        </row>
        <row r="53">
          <cell r="GZ53">
            <v>1864</v>
          </cell>
        </row>
        <row r="57">
          <cell r="GZ57"/>
        </row>
        <row r="58">
          <cell r="GZ58"/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I64">
            <v>48902</v>
          </cell>
          <cell r="GJ64">
            <v>38234</v>
          </cell>
          <cell r="GK64">
            <v>24344</v>
          </cell>
          <cell r="GL64">
            <v>24147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GZ64">
            <v>21335</v>
          </cell>
        </row>
      </sheetData>
      <sheetData sheetId="8"/>
      <sheetData sheetId="9">
        <row r="4">
          <cell r="GZ4">
            <v>204</v>
          </cell>
        </row>
        <row r="5">
          <cell r="GZ5">
            <v>206</v>
          </cell>
        </row>
        <row r="8">
          <cell r="GZ8"/>
        </row>
        <row r="9">
          <cell r="GZ9"/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L19">
            <v>1087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GZ19">
            <v>410</v>
          </cell>
        </row>
        <row r="22">
          <cell r="GZ22">
            <v>21731</v>
          </cell>
        </row>
        <row r="23">
          <cell r="GZ23">
            <v>22588</v>
          </cell>
        </row>
        <row r="27">
          <cell r="GZ27">
            <v>830</v>
          </cell>
        </row>
        <row r="28">
          <cell r="GZ28">
            <v>851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L41">
            <v>134668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GZ41">
            <v>44319</v>
          </cell>
        </row>
        <row r="47">
          <cell r="GZ47">
            <v>12867</v>
          </cell>
        </row>
        <row r="48">
          <cell r="GZ48">
            <v>30310</v>
          </cell>
        </row>
        <row r="52">
          <cell r="GZ52">
            <v>4273</v>
          </cell>
        </row>
        <row r="53">
          <cell r="GZ53">
            <v>62173</v>
          </cell>
        </row>
        <row r="57">
          <cell r="GZ57"/>
        </row>
        <row r="58">
          <cell r="GZ58"/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I64">
            <v>98213</v>
          </cell>
          <cell r="GJ64">
            <v>102181</v>
          </cell>
          <cell r="GK64">
            <v>98114</v>
          </cell>
          <cell r="GL64">
            <v>90300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GZ64">
            <v>109623</v>
          </cell>
        </row>
      </sheetData>
      <sheetData sheetId="10"/>
      <sheetData sheetId="11">
        <row r="4">
          <cell r="GZ4">
            <v>520</v>
          </cell>
        </row>
        <row r="5">
          <cell r="GZ5">
            <v>509</v>
          </cell>
        </row>
        <row r="8">
          <cell r="GZ8">
            <v>98</v>
          </cell>
        </row>
        <row r="9">
          <cell r="GZ9">
            <v>94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  <cell r="GV15">
            <v>1</v>
          </cell>
          <cell r="GW15">
            <v>5</v>
          </cell>
          <cell r="GX15">
            <v>4</v>
          </cell>
          <cell r="GY15">
            <v>11</v>
          </cell>
          <cell r="GZ15">
            <v>24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  <cell r="GV16">
            <v>0</v>
          </cell>
          <cell r="GW16"/>
          <cell r="GX16">
            <v>4</v>
          </cell>
          <cell r="GY16">
            <v>10</v>
          </cell>
          <cell r="GZ16">
            <v>26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L19">
            <v>1668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GZ19">
            <v>1271</v>
          </cell>
        </row>
        <row r="22">
          <cell r="GZ22">
            <v>57914</v>
          </cell>
        </row>
        <row r="23">
          <cell r="GZ23">
            <v>57021</v>
          </cell>
        </row>
        <row r="27">
          <cell r="GZ27">
            <v>1144</v>
          </cell>
        </row>
        <row r="28">
          <cell r="GZ28">
            <v>1146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  <cell r="GV32"/>
          <cell r="GW32">
            <v>444</v>
          </cell>
          <cell r="GX32">
            <v>330</v>
          </cell>
          <cell r="GY32">
            <v>1036</v>
          </cell>
          <cell r="GZ32">
            <v>1987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  <cell r="GX33">
            <v>442</v>
          </cell>
          <cell r="GY33">
            <v>1139</v>
          </cell>
          <cell r="GZ33">
            <v>2741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  <cell r="GV37"/>
          <cell r="GW37">
            <v>7</v>
          </cell>
          <cell r="GX37">
            <v>19</v>
          </cell>
          <cell r="GY37">
            <v>18</v>
          </cell>
          <cell r="GZ37">
            <v>18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  <cell r="GX38">
            <v>14</v>
          </cell>
          <cell r="GY38">
            <v>23</v>
          </cell>
          <cell r="GZ38">
            <v>70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L41">
            <v>220027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GZ41">
            <v>119663</v>
          </cell>
        </row>
        <row r="47">
          <cell r="GZ47">
            <v>9455</v>
          </cell>
        </row>
        <row r="48">
          <cell r="GZ48">
            <v>167443</v>
          </cell>
        </row>
        <row r="52">
          <cell r="GZ52"/>
        </row>
        <row r="53">
          <cell r="GZ53">
            <v>197187</v>
          </cell>
        </row>
        <row r="57">
          <cell r="GZ57"/>
        </row>
        <row r="58">
          <cell r="GZ58"/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I64">
            <v>1051243</v>
          </cell>
          <cell r="GJ64">
            <v>794686</v>
          </cell>
          <cell r="GK64">
            <v>846149</v>
          </cell>
          <cell r="GL64">
            <v>740869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GZ64">
            <v>374085</v>
          </cell>
        </row>
        <row r="70">
          <cell r="GZ70">
            <v>57021</v>
          </cell>
        </row>
        <row r="71">
          <cell r="GZ71">
            <v>0</v>
          </cell>
        </row>
        <row r="73">
          <cell r="GZ73">
            <v>2741</v>
          </cell>
        </row>
        <row r="74">
          <cell r="GZ74"/>
        </row>
      </sheetData>
      <sheetData sheetId="12">
        <row r="4">
          <cell r="GZ4">
            <v>25</v>
          </cell>
        </row>
        <row r="5">
          <cell r="GZ5">
            <v>25</v>
          </cell>
        </row>
        <row r="8">
          <cell r="GZ8"/>
        </row>
        <row r="9">
          <cell r="GZ9"/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L19">
            <v>175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GZ19">
            <v>50</v>
          </cell>
        </row>
        <row r="22">
          <cell r="GZ22">
            <v>54</v>
          </cell>
        </row>
        <row r="23">
          <cell r="GZ23">
            <v>51</v>
          </cell>
        </row>
        <row r="27">
          <cell r="GZ27"/>
        </row>
        <row r="28">
          <cell r="GZ28"/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L41">
            <v>950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GZ41">
            <v>105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13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I64">
            <v>50906</v>
          </cell>
          <cell r="GJ64">
            <v>73162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14">
        <row r="4">
          <cell r="GZ4">
            <v>3088</v>
          </cell>
        </row>
        <row r="5">
          <cell r="GZ5">
            <v>3104</v>
          </cell>
        </row>
        <row r="8">
          <cell r="GZ8"/>
        </row>
        <row r="9">
          <cell r="GZ9">
            <v>1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  <cell r="GW15">
            <v>3</v>
          </cell>
          <cell r="GX15">
            <v>1</v>
          </cell>
          <cell r="GY15">
            <v>12</v>
          </cell>
          <cell r="GZ15">
            <v>49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  <cell r="GV16">
            <v>2</v>
          </cell>
          <cell r="GW16">
            <v>3</v>
          </cell>
          <cell r="GX16">
            <v>1</v>
          </cell>
          <cell r="GY16">
            <v>4</v>
          </cell>
          <cell r="GZ16">
            <v>51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L19">
            <v>12203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GZ19">
            <v>6293</v>
          </cell>
        </row>
        <row r="22">
          <cell r="GZ22">
            <v>204049</v>
          </cell>
        </row>
        <row r="23">
          <cell r="GZ23">
            <v>211152</v>
          </cell>
        </row>
        <row r="27">
          <cell r="GZ27">
            <v>11250</v>
          </cell>
        </row>
        <row r="28">
          <cell r="GZ28">
            <v>11191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  <cell r="GW32">
            <v>121</v>
          </cell>
          <cell r="GX32"/>
          <cell r="GY32">
            <v>251</v>
          </cell>
          <cell r="GZ32">
            <v>3014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  <cell r="GV33">
            <v>50</v>
          </cell>
          <cell r="GW33">
            <v>222</v>
          </cell>
          <cell r="GX33"/>
          <cell r="GY33">
            <v>248</v>
          </cell>
          <cell r="GZ33">
            <v>4068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  <cell r="GV37">
            <v>1</v>
          </cell>
          <cell r="GW37">
            <v>6</v>
          </cell>
          <cell r="GX37"/>
          <cell r="GY37">
            <v>13</v>
          </cell>
          <cell r="GZ37">
            <v>157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  <cell r="GV38">
            <v>11</v>
          </cell>
          <cell r="GW38">
            <v>3</v>
          </cell>
          <cell r="GX38"/>
          <cell r="GY38">
            <v>13</v>
          </cell>
          <cell r="GZ38">
            <v>182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L41">
            <v>1603565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GZ41">
            <v>422283</v>
          </cell>
        </row>
        <row r="47">
          <cell r="GZ47">
            <v>492187</v>
          </cell>
        </row>
        <row r="48">
          <cell r="GZ48">
            <v>110654</v>
          </cell>
        </row>
        <row r="52">
          <cell r="GZ52">
            <v>234313</v>
          </cell>
        </row>
        <row r="53">
          <cell r="GZ53">
            <v>1052565</v>
          </cell>
        </row>
        <row r="57">
          <cell r="GZ57"/>
        </row>
        <row r="58">
          <cell r="GZ58"/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I64">
            <v>5482283</v>
          </cell>
          <cell r="GJ64">
            <v>6512462</v>
          </cell>
          <cell r="GK64">
            <v>7834864</v>
          </cell>
          <cell r="GL64">
            <v>7224778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GZ64">
            <v>1889719</v>
          </cell>
        </row>
        <row r="70">
          <cell r="GZ70">
            <v>113142</v>
          </cell>
        </row>
        <row r="71">
          <cell r="GZ71">
            <v>98010</v>
          </cell>
        </row>
        <row r="73">
          <cell r="GZ73">
            <v>2180</v>
          </cell>
        </row>
        <row r="74">
          <cell r="GZ74">
            <v>1888</v>
          </cell>
        </row>
      </sheetData>
      <sheetData sheetId="15">
        <row r="4">
          <cell r="GZ4">
            <v>53</v>
          </cell>
        </row>
        <row r="5">
          <cell r="GZ5">
            <v>53</v>
          </cell>
        </row>
        <row r="8">
          <cell r="GZ8"/>
        </row>
        <row r="9">
          <cell r="GZ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GZ19">
            <v>106</v>
          </cell>
        </row>
        <row r="22">
          <cell r="GZ22">
            <v>116</v>
          </cell>
        </row>
        <row r="23">
          <cell r="GZ23">
            <v>126</v>
          </cell>
        </row>
        <row r="27">
          <cell r="GZ27">
            <v>13</v>
          </cell>
        </row>
        <row r="28">
          <cell r="GZ28">
            <v>7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GZ41">
            <v>242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16">
        <row r="4">
          <cell r="GZ4">
            <v>38</v>
          </cell>
        </row>
        <row r="5">
          <cell r="GZ5">
            <v>38</v>
          </cell>
        </row>
        <row r="8">
          <cell r="GZ8"/>
        </row>
        <row r="9">
          <cell r="GZ9"/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L19">
            <v>235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GZ19">
            <v>76</v>
          </cell>
        </row>
        <row r="22">
          <cell r="GZ22">
            <v>4038</v>
          </cell>
        </row>
        <row r="23">
          <cell r="GZ23">
            <v>3941</v>
          </cell>
        </row>
        <row r="27">
          <cell r="GZ27">
            <v>44</v>
          </cell>
        </row>
        <row r="28">
          <cell r="GZ28">
            <v>50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L41">
            <v>33811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GZ41">
            <v>7979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17"/>
      <sheetData sheetId="18">
        <row r="8">
          <cell r="GZ8"/>
        </row>
        <row r="9">
          <cell r="GZ9"/>
        </row>
        <row r="15">
          <cell r="GP15">
            <v>4</v>
          </cell>
          <cell r="GQ15"/>
          <cell r="GR15">
            <v>5</v>
          </cell>
          <cell r="GS15"/>
          <cell r="GT15"/>
          <cell r="GV15"/>
          <cell r="GW15"/>
          <cell r="GX15"/>
          <cell r="GY15"/>
          <cell r="GZ15"/>
        </row>
        <row r="16">
          <cell r="GP16">
            <v>4</v>
          </cell>
          <cell r="GQ16"/>
          <cell r="GR16">
            <v>5</v>
          </cell>
          <cell r="GS16"/>
          <cell r="GT16"/>
          <cell r="GV16"/>
          <cell r="GW16"/>
          <cell r="GX16"/>
          <cell r="GY16"/>
          <cell r="GZ16"/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L19">
            <v>32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  <cell r="GV32"/>
          <cell r="GW32"/>
          <cell r="GX32"/>
          <cell r="GY32"/>
          <cell r="GZ32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  <cell r="GX33"/>
          <cell r="GY33"/>
          <cell r="GZ33"/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  <cell r="GV37"/>
          <cell r="GW37"/>
          <cell r="GX37"/>
          <cell r="GY37"/>
          <cell r="GZ37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L41">
            <v>3790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I64">
            <v>22043</v>
          </cell>
          <cell r="GJ64">
            <v>5533</v>
          </cell>
          <cell r="GK64">
            <v>10848</v>
          </cell>
          <cell r="GL64">
            <v>5244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19">
        <row r="4">
          <cell r="GZ4">
            <v>28</v>
          </cell>
        </row>
        <row r="5">
          <cell r="GZ5">
            <v>28</v>
          </cell>
        </row>
        <row r="8">
          <cell r="GZ8"/>
        </row>
        <row r="9">
          <cell r="GZ9"/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L19">
            <v>182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GZ19">
            <v>56</v>
          </cell>
        </row>
        <row r="22">
          <cell r="GZ22">
            <v>713</v>
          </cell>
        </row>
        <row r="23">
          <cell r="GZ23">
            <v>1062</v>
          </cell>
        </row>
        <row r="27">
          <cell r="GZ27">
            <v>36</v>
          </cell>
        </row>
        <row r="28">
          <cell r="GZ28">
            <v>46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L41">
            <v>15045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GZ41">
            <v>1775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20">
        <row r="4">
          <cell r="GZ4">
            <v>134</v>
          </cell>
        </row>
        <row r="5">
          <cell r="GZ5">
            <v>134</v>
          </cell>
        </row>
        <row r="8">
          <cell r="GZ8"/>
        </row>
        <row r="9">
          <cell r="GZ9"/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L19">
            <v>498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GZ19">
            <v>268</v>
          </cell>
        </row>
        <row r="22">
          <cell r="GZ22">
            <v>12651</v>
          </cell>
        </row>
        <row r="23">
          <cell r="GZ23">
            <v>12214</v>
          </cell>
        </row>
        <row r="27">
          <cell r="GZ27">
            <v>670</v>
          </cell>
        </row>
        <row r="28">
          <cell r="GZ28">
            <v>793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L41">
            <v>60611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GZ41">
            <v>24865</v>
          </cell>
        </row>
        <row r="47">
          <cell r="GZ47">
            <v>17128</v>
          </cell>
        </row>
        <row r="48">
          <cell r="GZ48">
            <v>2807</v>
          </cell>
        </row>
        <row r="52">
          <cell r="GZ52">
            <v>2296</v>
          </cell>
        </row>
        <row r="53">
          <cell r="GZ53">
            <v>14483</v>
          </cell>
        </row>
        <row r="57">
          <cell r="GZ57"/>
        </row>
        <row r="58">
          <cell r="GZ58"/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I64">
            <v>170286</v>
          </cell>
          <cell r="GJ64">
            <v>176107</v>
          </cell>
          <cell r="GK64">
            <v>163808</v>
          </cell>
          <cell r="GL64">
            <v>140898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GZ64">
            <v>36714</v>
          </cell>
        </row>
      </sheetData>
      <sheetData sheetId="21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  <cell r="GV15"/>
          <cell r="GW15"/>
          <cell r="GX15"/>
          <cell r="GY15"/>
          <cell r="GZ15"/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  <cell r="GV16"/>
          <cell r="GW16"/>
          <cell r="GX16"/>
          <cell r="GY16"/>
          <cell r="GZ16"/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L19">
            <v>34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  <cell r="GV32"/>
          <cell r="GW32"/>
          <cell r="GX32"/>
          <cell r="GY32"/>
          <cell r="GZ32"/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  <cell r="GV33"/>
          <cell r="GW33"/>
          <cell r="GX33"/>
          <cell r="GY33"/>
          <cell r="GZ33"/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  <cell r="GV37"/>
          <cell r="GW37"/>
          <cell r="GX37"/>
          <cell r="GY37"/>
          <cell r="GZ37"/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L41">
            <v>8770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I64">
            <v>385728</v>
          </cell>
          <cell r="GJ64">
            <v>536448</v>
          </cell>
          <cell r="GK64">
            <v>705126</v>
          </cell>
          <cell r="GL64">
            <v>303352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22"/>
      <sheetData sheetId="2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</row>
      </sheetData>
      <sheetData sheetId="24">
        <row r="4">
          <cell r="GZ4">
            <v>276</v>
          </cell>
        </row>
        <row r="5">
          <cell r="GZ5">
            <v>277</v>
          </cell>
        </row>
        <row r="8">
          <cell r="GZ8"/>
        </row>
        <row r="9">
          <cell r="GZ9"/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L19">
            <v>1021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GZ19">
            <v>553</v>
          </cell>
        </row>
        <row r="22">
          <cell r="GZ22">
            <v>18468</v>
          </cell>
        </row>
        <row r="23">
          <cell r="GZ23">
            <v>19175</v>
          </cell>
        </row>
        <row r="27">
          <cell r="GZ27">
            <v>751</v>
          </cell>
        </row>
        <row r="28">
          <cell r="GZ28">
            <v>856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L41">
            <v>119212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GZ41">
            <v>37643</v>
          </cell>
        </row>
        <row r="47">
          <cell r="GZ47">
            <v>215588</v>
          </cell>
        </row>
        <row r="48">
          <cell r="GZ48"/>
        </row>
        <row r="52">
          <cell r="GZ52">
            <v>73394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I64">
            <v>289661</v>
          </cell>
          <cell r="GJ64">
            <v>286373</v>
          </cell>
          <cell r="GK64">
            <v>352730</v>
          </cell>
          <cell r="GL64">
            <v>273921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GZ64">
            <v>288982</v>
          </cell>
        </row>
        <row r="70">
          <cell r="GZ70">
            <v>19152</v>
          </cell>
        </row>
        <row r="71">
          <cell r="GZ71">
            <v>23</v>
          </cell>
        </row>
        <row r="73">
          <cell r="GZ73"/>
        </row>
        <row r="74">
          <cell r="GZ74"/>
        </row>
      </sheetData>
      <sheetData sheetId="25">
        <row r="4">
          <cell r="GZ4">
            <v>115</v>
          </cell>
        </row>
        <row r="5">
          <cell r="GZ5">
            <v>115</v>
          </cell>
        </row>
        <row r="8">
          <cell r="GZ8"/>
        </row>
        <row r="9">
          <cell r="GZ9"/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L19">
            <v>642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GZ19">
            <v>230</v>
          </cell>
        </row>
        <row r="22">
          <cell r="GZ22">
            <v>13901</v>
          </cell>
        </row>
        <row r="23">
          <cell r="GZ23">
            <v>13454</v>
          </cell>
        </row>
        <row r="27">
          <cell r="GZ27">
            <v>92</v>
          </cell>
        </row>
        <row r="28">
          <cell r="GZ28">
            <v>95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L41">
            <v>90870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GZ41">
            <v>27355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  <row r="70">
          <cell r="GZ70"/>
        </row>
        <row r="71">
          <cell r="GZ71"/>
        </row>
        <row r="73">
          <cell r="GZ73"/>
        </row>
        <row r="74">
          <cell r="GZ74"/>
        </row>
      </sheetData>
      <sheetData sheetId="26"/>
      <sheetData sheetId="27"/>
      <sheetData sheetId="28"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29">
        <row r="4">
          <cell r="GZ4">
            <v>60</v>
          </cell>
        </row>
        <row r="5">
          <cell r="GZ5">
            <v>60</v>
          </cell>
        </row>
        <row r="8">
          <cell r="GZ8"/>
        </row>
        <row r="9">
          <cell r="GZ9"/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L19">
            <v>26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GZ19">
            <v>120</v>
          </cell>
        </row>
        <row r="22">
          <cell r="GZ22">
            <v>2869</v>
          </cell>
        </row>
        <row r="23">
          <cell r="GZ23">
            <v>3542</v>
          </cell>
        </row>
        <row r="27">
          <cell r="GZ27">
            <v>216</v>
          </cell>
        </row>
        <row r="28">
          <cell r="GZ28">
            <v>216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L41">
            <v>1637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GZ41">
            <v>6411</v>
          </cell>
        </row>
        <row r="47">
          <cell r="GZ47">
            <v>130</v>
          </cell>
        </row>
        <row r="48">
          <cell r="GZ48"/>
        </row>
        <row r="52">
          <cell r="GZ52">
            <v>244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I64">
            <v>77</v>
          </cell>
          <cell r="GJ64">
            <v>0</v>
          </cell>
          <cell r="GK64">
            <v>0</v>
          </cell>
          <cell r="GL64">
            <v>0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GZ64">
            <v>374</v>
          </cell>
        </row>
      </sheetData>
      <sheetData sheetId="30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31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52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3399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F58"/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4352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32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  <row r="70">
          <cell r="GZ70"/>
        </row>
        <row r="71">
          <cell r="GZ71"/>
        </row>
        <row r="73">
          <cell r="GZ73"/>
        </row>
        <row r="74">
          <cell r="GZ74"/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37"/>
      <sheetData sheetId="38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L19">
            <v>102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L41">
            <v>5836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39"/>
      <sheetData sheetId="40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L19">
            <v>4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/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L41">
            <v>242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/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K58"/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I64">
            <v>49</v>
          </cell>
          <cell r="GJ64">
            <v>50</v>
          </cell>
          <cell r="GK64">
            <v>173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/>
        </row>
        <row r="70">
          <cell r="GZ70"/>
        </row>
        <row r="71">
          <cell r="GZ71"/>
        </row>
        <row r="73">
          <cell r="GZ73"/>
        </row>
        <row r="74">
          <cell r="GZ74"/>
        </row>
      </sheetData>
      <sheetData sheetId="41">
        <row r="4">
          <cell r="GZ4">
            <v>1</v>
          </cell>
        </row>
        <row r="5">
          <cell r="GZ5">
            <v>1</v>
          </cell>
        </row>
        <row r="8">
          <cell r="GZ8"/>
        </row>
        <row r="9">
          <cell r="GZ9"/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L19">
            <v>6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</row>
        <row r="22">
          <cell r="GZ22">
            <v>34</v>
          </cell>
        </row>
        <row r="23">
          <cell r="GZ23"/>
        </row>
        <row r="27">
          <cell r="GZ27"/>
        </row>
        <row r="28">
          <cell r="GZ28"/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L41">
            <v>324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34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AJ57"/>
        </row>
        <row r="58">
          <cell r="AJ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42">
        <row r="4">
          <cell r="GZ4">
            <v>87</v>
          </cell>
        </row>
        <row r="5">
          <cell r="GZ5">
            <v>85</v>
          </cell>
        </row>
        <row r="8">
          <cell r="GZ8"/>
        </row>
        <row r="9">
          <cell r="GZ9"/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L19">
            <v>124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GZ19">
            <v>172</v>
          </cell>
        </row>
        <row r="22">
          <cell r="GZ22">
            <v>3505</v>
          </cell>
        </row>
        <row r="23">
          <cell r="GZ23">
            <v>3750</v>
          </cell>
        </row>
        <row r="27">
          <cell r="GZ27">
            <v>206</v>
          </cell>
        </row>
        <row r="28">
          <cell r="GZ28">
            <v>204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L41">
            <v>7766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GZ41">
            <v>7255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43"/>
      <sheetData sheetId="44">
        <row r="4">
          <cell r="GZ4">
            <v>58</v>
          </cell>
        </row>
        <row r="5">
          <cell r="GZ5">
            <v>59</v>
          </cell>
        </row>
        <row r="8">
          <cell r="GZ8"/>
        </row>
        <row r="9">
          <cell r="GZ9"/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L19">
            <v>274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GZ19">
            <v>117</v>
          </cell>
        </row>
        <row r="22">
          <cell r="GZ22">
            <v>2668</v>
          </cell>
        </row>
        <row r="23">
          <cell r="GZ23">
            <v>3143</v>
          </cell>
        </row>
        <row r="27">
          <cell r="GZ27">
            <v>152</v>
          </cell>
        </row>
        <row r="28">
          <cell r="GZ28">
            <v>190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L41">
            <v>15703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GZ41">
            <v>5811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45"/>
      <sheetData sheetId="46"/>
      <sheetData sheetId="47">
        <row r="4">
          <cell r="GZ4">
            <v>2415</v>
          </cell>
        </row>
        <row r="5">
          <cell r="GZ5">
            <v>2415</v>
          </cell>
        </row>
        <row r="8">
          <cell r="GZ8"/>
        </row>
        <row r="9">
          <cell r="GZ9">
            <v>2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  <cell r="GV15"/>
          <cell r="GW15"/>
          <cell r="GX15">
            <v>2</v>
          </cell>
          <cell r="GY15">
            <v>1</v>
          </cell>
          <cell r="GZ15"/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  <cell r="GV16"/>
          <cell r="GW16"/>
          <cell r="GX16"/>
          <cell r="GY16"/>
          <cell r="GZ16"/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L19">
            <v>2268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GZ19">
            <v>4832</v>
          </cell>
        </row>
        <row r="22">
          <cell r="GZ22">
            <v>69195</v>
          </cell>
        </row>
        <row r="23">
          <cell r="GZ23">
            <v>65181</v>
          </cell>
        </row>
        <row r="27">
          <cell r="GZ27">
            <v>2866</v>
          </cell>
        </row>
        <row r="28">
          <cell r="GZ28">
            <v>2782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  <cell r="GV32"/>
          <cell r="GW32"/>
          <cell r="GX32"/>
          <cell r="GY32"/>
          <cell r="GZ32"/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  <cell r="GV33"/>
          <cell r="GW33"/>
          <cell r="GX33"/>
          <cell r="GY33"/>
          <cell r="GZ33"/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  <cell r="GV37"/>
          <cell r="GW37"/>
          <cell r="GX37"/>
          <cell r="GY37"/>
          <cell r="GZ37"/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  <cell r="GV38"/>
          <cell r="GW38"/>
          <cell r="GX38">
            <v>1</v>
          </cell>
          <cell r="GY38">
            <v>2</v>
          </cell>
          <cell r="GZ38"/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L41">
            <v>133545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GZ41">
            <v>134376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  <row r="70">
          <cell r="GZ70">
            <v>17331</v>
          </cell>
        </row>
        <row r="71">
          <cell r="GZ71">
            <v>47850</v>
          </cell>
        </row>
        <row r="73">
          <cell r="GZ73"/>
        </row>
        <row r="74">
          <cell r="GZ74"/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49">
        <row r="4">
          <cell r="GZ4">
            <v>105</v>
          </cell>
        </row>
        <row r="5">
          <cell r="GZ5">
            <v>105</v>
          </cell>
        </row>
        <row r="8">
          <cell r="GZ8"/>
        </row>
        <row r="9">
          <cell r="GZ9"/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L19">
            <v>432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GZ19">
            <v>210</v>
          </cell>
        </row>
        <row r="22">
          <cell r="GZ22">
            <v>5065</v>
          </cell>
        </row>
        <row r="23">
          <cell r="GZ23">
            <v>4755</v>
          </cell>
        </row>
        <row r="27">
          <cell r="GZ27">
            <v>322</v>
          </cell>
        </row>
        <row r="28">
          <cell r="GZ28">
            <v>355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L41">
            <v>23151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GZ41">
            <v>9820</v>
          </cell>
        </row>
        <row r="47">
          <cell r="GZ47">
            <v>275</v>
          </cell>
        </row>
        <row r="48">
          <cell r="GZ48"/>
        </row>
        <row r="52">
          <cell r="GZ52">
            <v>518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I64">
            <v>120</v>
          </cell>
          <cell r="GJ64">
            <v>353</v>
          </cell>
          <cell r="GK64">
            <v>548</v>
          </cell>
          <cell r="GL64">
            <v>148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GZ64">
            <v>793</v>
          </cell>
        </row>
      </sheetData>
      <sheetData sheetId="50">
        <row r="4">
          <cell r="GZ4">
            <v>61</v>
          </cell>
        </row>
        <row r="5">
          <cell r="GZ5">
            <v>60</v>
          </cell>
        </row>
        <row r="8">
          <cell r="GZ8"/>
        </row>
        <row r="9">
          <cell r="GZ9"/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L19">
            <v>496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GZ19">
            <v>121</v>
          </cell>
        </row>
        <row r="22">
          <cell r="GZ22">
            <v>2485</v>
          </cell>
        </row>
        <row r="23">
          <cell r="GZ23">
            <v>2555</v>
          </cell>
        </row>
        <row r="27">
          <cell r="GZ27">
            <v>178</v>
          </cell>
        </row>
        <row r="28">
          <cell r="GZ28">
            <v>105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L41">
            <v>29915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GZ41">
            <v>5040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51">
        <row r="8">
          <cell r="GZ8"/>
        </row>
        <row r="9">
          <cell r="GZ9"/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  <cell r="GV15"/>
          <cell r="GW15"/>
          <cell r="GX15"/>
          <cell r="GY15"/>
          <cell r="GZ15"/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  <cell r="GV16"/>
          <cell r="GW16"/>
          <cell r="GX16"/>
          <cell r="GY16"/>
          <cell r="GZ16"/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L19">
            <v>172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  <cell r="GV32"/>
          <cell r="GW32"/>
          <cell r="GX32"/>
          <cell r="GY32"/>
          <cell r="GZ32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  <cell r="GX33"/>
          <cell r="GY33"/>
          <cell r="GZ33"/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  <cell r="GV37"/>
          <cell r="GW37"/>
          <cell r="GX37"/>
          <cell r="GY37"/>
          <cell r="GZ37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  <cell r="GX38"/>
          <cell r="GY38"/>
          <cell r="GZ38"/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L41">
            <v>8426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I64">
            <v>4288</v>
          </cell>
          <cell r="GJ64">
            <v>4106</v>
          </cell>
          <cell r="GK64">
            <v>3327</v>
          </cell>
          <cell r="GL64">
            <v>4783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52">
        <row r="4">
          <cell r="GZ4">
            <v>1902</v>
          </cell>
        </row>
        <row r="5">
          <cell r="GZ5">
            <v>1907</v>
          </cell>
        </row>
        <row r="8">
          <cell r="GZ8"/>
        </row>
        <row r="9">
          <cell r="GZ9"/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  <cell r="GW15">
            <v>42</v>
          </cell>
          <cell r="GX15">
            <v>28</v>
          </cell>
          <cell r="GY15">
            <v>27</v>
          </cell>
          <cell r="GZ15">
            <v>24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  <cell r="GW16">
            <v>42</v>
          </cell>
          <cell r="GX16">
            <v>29</v>
          </cell>
          <cell r="GY16">
            <v>26</v>
          </cell>
          <cell r="GZ16">
            <v>25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L19">
            <v>6696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GZ19">
            <v>3858</v>
          </cell>
        </row>
        <row r="22">
          <cell r="GZ22">
            <v>49069</v>
          </cell>
        </row>
        <row r="23">
          <cell r="GZ23">
            <v>47079</v>
          </cell>
        </row>
        <row r="27">
          <cell r="GZ27">
            <v>2992</v>
          </cell>
        </row>
        <row r="28">
          <cell r="GZ28">
            <v>2808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  <cell r="GW32">
            <v>891</v>
          </cell>
          <cell r="GX32">
            <v>938</v>
          </cell>
          <cell r="GY32">
            <v>1094</v>
          </cell>
          <cell r="GZ32">
            <v>1086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  <cell r="GW33">
            <v>735</v>
          </cell>
          <cell r="GX33">
            <v>691</v>
          </cell>
          <cell r="GY33">
            <v>863</v>
          </cell>
          <cell r="GZ33">
            <v>991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  <cell r="GW37">
            <v>13</v>
          </cell>
          <cell r="GX37">
            <v>4</v>
          </cell>
          <cell r="GY37">
            <v>5</v>
          </cell>
          <cell r="GZ37">
            <v>6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  <cell r="GW38">
            <v>7</v>
          </cell>
          <cell r="GX38">
            <v>4</v>
          </cell>
          <cell r="GY38">
            <v>4</v>
          </cell>
          <cell r="GZ38">
            <v>4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L41">
            <v>328250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GZ41">
            <v>98225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  <row r="70">
          <cell r="GZ70">
            <v>15997</v>
          </cell>
        </row>
        <row r="71">
          <cell r="GZ71">
            <v>31082</v>
          </cell>
        </row>
        <row r="73">
          <cell r="GZ73">
            <v>337</v>
          </cell>
        </row>
        <row r="74">
          <cell r="GZ74">
            <v>654</v>
          </cell>
        </row>
      </sheetData>
      <sheetData sheetId="53"/>
      <sheetData sheetId="54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55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L19">
            <v>8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L41">
            <v>555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I64">
            <v>3078</v>
          </cell>
          <cell r="GJ64">
            <v>2111</v>
          </cell>
          <cell r="GK64">
            <v>4792</v>
          </cell>
          <cell r="GL64">
            <v>391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56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57">
        <row r="4">
          <cell r="GZ4"/>
        </row>
        <row r="5">
          <cell r="GZ5"/>
        </row>
        <row r="8">
          <cell r="GZ8"/>
        </row>
        <row r="9">
          <cell r="GZ9"/>
        </row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2">
          <cell r="GZ22"/>
        </row>
        <row r="23">
          <cell r="GZ23"/>
        </row>
        <row r="27">
          <cell r="GZ27"/>
        </row>
        <row r="28">
          <cell r="GZ28"/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BH58"/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  <row r="70">
          <cell r="GZ70"/>
        </row>
        <row r="71">
          <cell r="GZ71"/>
        </row>
        <row r="73">
          <cell r="GZ73"/>
        </row>
        <row r="74">
          <cell r="GZ74"/>
        </row>
      </sheetData>
      <sheetData sheetId="58"/>
      <sheetData sheetId="59"/>
      <sheetData sheetId="60"/>
      <sheetData sheetId="61">
        <row r="4">
          <cell r="GZ4"/>
        </row>
        <row r="5">
          <cell r="GZ5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22">
          <cell r="GZ22"/>
        </row>
        <row r="23">
          <cell r="GZ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</sheetData>
      <sheetData sheetId="62">
        <row r="4">
          <cell r="GZ4"/>
        </row>
        <row r="5">
          <cell r="GZ5"/>
        </row>
        <row r="15">
          <cell r="GZ15"/>
        </row>
        <row r="16">
          <cell r="GZ16"/>
        </row>
        <row r="22">
          <cell r="GZ22"/>
        </row>
        <row r="23">
          <cell r="GZ23"/>
        </row>
        <row r="32">
          <cell r="GZ32"/>
        </row>
        <row r="33">
          <cell r="GZ33"/>
        </row>
      </sheetData>
      <sheetData sheetId="63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P15">
            <v>1</v>
          </cell>
          <cell r="GQ15"/>
          <cell r="GR15"/>
          <cell r="GS15"/>
          <cell r="GT15"/>
          <cell r="GV15"/>
          <cell r="GW15"/>
          <cell r="GX15">
            <v>1</v>
          </cell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</row>
        <row r="23">
          <cell r="GZ23"/>
        </row>
        <row r="32">
          <cell r="GP32">
            <v>60</v>
          </cell>
          <cell r="GQ32"/>
          <cell r="GR32"/>
          <cell r="GS32"/>
          <cell r="GT32"/>
          <cell r="GU32"/>
          <cell r="GV32"/>
          <cell r="GW32"/>
          <cell r="GX32">
            <v>19</v>
          </cell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</sheetData>
      <sheetData sheetId="64">
        <row r="4">
          <cell r="GZ4"/>
        </row>
        <row r="5">
          <cell r="GZ5">
            <v>1</v>
          </cell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>
            <v>1</v>
          </cell>
        </row>
        <row r="22">
          <cell r="GZ22"/>
        </row>
        <row r="23">
          <cell r="GZ23">
            <v>162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>
            <v>24</v>
          </cell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</row>
      </sheetData>
      <sheetData sheetId="65">
        <row r="4">
          <cell r="GZ4">
            <v>1</v>
          </cell>
        </row>
        <row r="5">
          <cell r="GZ5">
            <v>1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J19">
            <v>62</v>
          </cell>
          <cell r="GK19">
            <v>62</v>
          </cell>
          <cell r="GL19">
            <v>58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GY19">
            <v>6</v>
          </cell>
          <cell r="GZ19">
            <v>2</v>
          </cell>
        </row>
        <row r="47">
          <cell r="GZ47"/>
        </row>
        <row r="48">
          <cell r="GZ48"/>
        </row>
        <row r="52">
          <cell r="GZ52">
            <v>27341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K64">
            <v>2146224</v>
          </cell>
          <cell r="GL64">
            <v>2210413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GY64">
            <v>108135</v>
          </cell>
          <cell r="GZ64">
            <v>27341</v>
          </cell>
        </row>
      </sheetData>
      <sheetData sheetId="66">
        <row r="4">
          <cell r="GZ4">
            <v>27</v>
          </cell>
        </row>
        <row r="5">
          <cell r="GZ5">
            <v>26</v>
          </cell>
        </row>
        <row r="8">
          <cell r="GZ8">
            <v>7</v>
          </cell>
        </row>
        <row r="9">
          <cell r="GZ9">
            <v>7</v>
          </cell>
        </row>
        <row r="15">
          <cell r="GZ15"/>
        </row>
        <row r="16">
          <cell r="GZ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  <cell r="GY19">
            <v>116</v>
          </cell>
          <cell r="GZ19">
            <v>67</v>
          </cell>
        </row>
        <row r="47">
          <cell r="GZ47">
            <v>691398</v>
          </cell>
        </row>
        <row r="48">
          <cell r="GZ48"/>
        </row>
        <row r="52">
          <cell r="GZ52">
            <v>674205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  <cell r="GY64">
            <v>2164376</v>
          </cell>
          <cell r="GZ64">
            <v>1365603</v>
          </cell>
        </row>
      </sheetData>
      <sheetData sheetId="67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68">
        <row r="4">
          <cell r="GZ4"/>
        </row>
        <row r="5">
          <cell r="GZ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69">
        <row r="4">
          <cell r="GZ4"/>
        </row>
        <row r="5">
          <cell r="GZ5"/>
        </row>
        <row r="8">
          <cell r="GZ8"/>
        </row>
        <row r="9">
          <cell r="GZ9"/>
        </row>
        <row r="15">
          <cell r="GZ15"/>
        </row>
        <row r="16">
          <cell r="GZ16"/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J19">
            <v>6</v>
          </cell>
          <cell r="GK19">
            <v>0</v>
          </cell>
          <cell r="GL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47">
          <cell r="GZ47"/>
        </row>
        <row r="52">
          <cell r="GZ52"/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J64">
            <v>152367</v>
          </cell>
          <cell r="GK64">
            <v>0</v>
          </cell>
          <cell r="GL64">
            <v>53287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70"/>
      <sheetData sheetId="71">
        <row r="4">
          <cell r="GZ4">
            <v>41</v>
          </cell>
        </row>
        <row r="5">
          <cell r="GZ5">
            <v>41</v>
          </cell>
        </row>
        <row r="12">
          <cell r="GZ12">
            <v>82</v>
          </cell>
        </row>
        <row r="15">
          <cell r="GZ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GY19">
            <v>84</v>
          </cell>
          <cell r="GZ19">
            <v>82</v>
          </cell>
        </row>
        <row r="47">
          <cell r="GZ47">
            <v>75586</v>
          </cell>
        </row>
        <row r="48">
          <cell r="GZ48"/>
        </row>
        <row r="52">
          <cell r="GZ52">
            <v>46629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GY64">
            <v>121376</v>
          </cell>
          <cell r="GZ64">
            <v>122215</v>
          </cell>
        </row>
      </sheetData>
      <sheetData sheetId="72">
        <row r="4">
          <cell r="GZ4">
            <v>1</v>
          </cell>
        </row>
        <row r="5">
          <cell r="GZ5">
            <v>1</v>
          </cell>
        </row>
        <row r="15">
          <cell r="GZ15"/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J19">
            <v>36</v>
          </cell>
          <cell r="GK19">
            <v>46</v>
          </cell>
          <cell r="GL19">
            <v>42</v>
          </cell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</row>
        <row r="47">
          <cell r="GZ47">
            <v>30527</v>
          </cell>
        </row>
        <row r="48">
          <cell r="GZ48"/>
        </row>
        <row r="52">
          <cell r="GZ52">
            <v>17740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J64">
            <v>1136168</v>
          </cell>
          <cell r="GK64">
            <v>1136064</v>
          </cell>
          <cell r="GL64">
            <v>996720</v>
          </cell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GY64">
            <v>0</v>
          </cell>
          <cell r="GZ64">
            <v>48267</v>
          </cell>
        </row>
      </sheetData>
      <sheetData sheetId="73">
        <row r="4">
          <cell r="GZ4"/>
        </row>
        <row r="5">
          <cell r="GZ5"/>
        </row>
        <row r="15">
          <cell r="GZ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0</v>
          </cell>
          <cell r="GZ19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GY64">
            <v>0</v>
          </cell>
          <cell r="GZ64">
            <v>0</v>
          </cell>
        </row>
      </sheetData>
      <sheetData sheetId="74">
        <row r="4">
          <cell r="GZ4">
            <v>22</v>
          </cell>
        </row>
        <row r="5">
          <cell r="GZ5">
            <v>22</v>
          </cell>
        </row>
        <row r="15">
          <cell r="GZ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GY19">
            <v>38</v>
          </cell>
          <cell r="GZ19">
            <v>44</v>
          </cell>
        </row>
        <row r="47">
          <cell r="GZ47">
            <v>645196</v>
          </cell>
        </row>
        <row r="48">
          <cell r="GZ48"/>
        </row>
        <row r="52">
          <cell r="GZ52">
            <v>359268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GY64">
            <v>924001</v>
          </cell>
          <cell r="GZ64">
            <v>1004464</v>
          </cell>
        </row>
      </sheetData>
      <sheetData sheetId="75">
        <row r="4">
          <cell r="GZ4"/>
        </row>
        <row r="5">
          <cell r="GZ5"/>
        </row>
        <row r="15">
          <cell r="GZ15"/>
        </row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J19">
            <v>80</v>
          </cell>
          <cell r="GK19">
            <v>88</v>
          </cell>
          <cell r="GL19">
            <v>82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47">
          <cell r="GZ47"/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K64">
            <v>63006</v>
          </cell>
          <cell r="GL64">
            <v>125040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76"/>
      <sheetData sheetId="77">
        <row r="4">
          <cell r="GZ4">
            <v>132</v>
          </cell>
        </row>
        <row r="5">
          <cell r="GZ5">
            <v>132</v>
          </cell>
        </row>
        <row r="15">
          <cell r="GZ15"/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J19">
            <v>244</v>
          </cell>
          <cell r="GK19">
            <v>288</v>
          </cell>
          <cell r="GL19">
            <v>240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GY19">
            <v>298</v>
          </cell>
          <cell r="GZ19">
            <v>264</v>
          </cell>
        </row>
        <row r="47">
          <cell r="GZ47">
            <v>8454911</v>
          </cell>
        </row>
        <row r="48">
          <cell r="GZ48"/>
        </row>
        <row r="52">
          <cell r="GZ52">
            <v>7640148</v>
          </cell>
        </row>
        <row r="53">
          <cell r="GZ53"/>
        </row>
        <row r="57">
          <cell r="GZ57"/>
        </row>
        <row r="58">
          <cell r="GZ58"/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K64">
            <v>17930855</v>
          </cell>
          <cell r="GL64">
            <v>15792730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GY64">
            <v>17656230</v>
          </cell>
          <cell r="GZ64">
            <v>16095059</v>
          </cell>
        </row>
      </sheetData>
      <sheetData sheetId="78">
        <row r="4">
          <cell r="GZ4">
            <v>19</v>
          </cell>
        </row>
        <row r="5">
          <cell r="GZ5">
            <v>19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J19">
            <v>34</v>
          </cell>
          <cell r="GK19">
            <v>46</v>
          </cell>
          <cell r="GL19">
            <v>34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GY19">
            <v>46</v>
          </cell>
          <cell r="GZ19">
            <v>38</v>
          </cell>
        </row>
        <row r="47">
          <cell r="GZ47"/>
        </row>
        <row r="48">
          <cell r="GZ48">
            <v>45715</v>
          </cell>
        </row>
        <row r="52">
          <cell r="GZ52"/>
        </row>
        <row r="53">
          <cell r="GZ53">
            <v>82211</v>
          </cell>
        </row>
        <row r="57">
          <cell r="GZ57"/>
        </row>
        <row r="58">
          <cell r="GZ58"/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K64">
            <v>11569</v>
          </cell>
          <cell r="GL64">
            <v>146213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GY64">
            <v>156124</v>
          </cell>
          <cell r="GZ64">
            <v>127926</v>
          </cell>
        </row>
      </sheetData>
      <sheetData sheetId="79">
        <row r="4">
          <cell r="GZ4">
            <v>16</v>
          </cell>
        </row>
        <row r="5">
          <cell r="GZ5">
            <v>16</v>
          </cell>
        </row>
        <row r="15">
          <cell r="GZ15"/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J19">
            <v>30</v>
          </cell>
          <cell r="GK19">
            <v>36</v>
          </cell>
          <cell r="GL19">
            <v>28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GY19">
            <v>32</v>
          </cell>
          <cell r="GZ19">
            <v>32</v>
          </cell>
        </row>
        <row r="47">
          <cell r="GZ47">
            <v>56983</v>
          </cell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K64">
            <v>51002</v>
          </cell>
          <cell r="GL64">
            <v>38188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GY64">
            <v>61308</v>
          </cell>
          <cell r="GZ64">
            <v>56983</v>
          </cell>
        </row>
      </sheetData>
      <sheetData sheetId="80">
        <row r="4">
          <cell r="GZ4">
            <v>130</v>
          </cell>
        </row>
        <row r="5">
          <cell r="GZ5">
            <v>130</v>
          </cell>
        </row>
        <row r="15">
          <cell r="GZ15">
            <v>15</v>
          </cell>
        </row>
        <row r="16">
          <cell r="GZ16">
            <v>15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J19">
            <v>244</v>
          </cell>
          <cell r="GK19">
            <v>300</v>
          </cell>
          <cell r="GL19">
            <v>264</v>
          </cell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GX19">
            <v>287</v>
          </cell>
          <cell r="GY19">
            <v>328</v>
          </cell>
          <cell r="GZ19">
            <v>290</v>
          </cell>
        </row>
        <row r="47">
          <cell r="GZ47">
            <v>6889531</v>
          </cell>
        </row>
        <row r="48">
          <cell r="GZ48">
            <v>568616</v>
          </cell>
        </row>
        <row r="52">
          <cell r="GZ52">
            <v>5596704</v>
          </cell>
        </row>
        <row r="53">
          <cell r="GZ53">
            <v>642653</v>
          </cell>
        </row>
        <row r="57">
          <cell r="GZ57"/>
        </row>
        <row r="58">
          <cell r="GZ58"/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K64">
            <v>15402635</v>
          </cell>
          <cell r="GL64">
            <v>13696517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GY64">
            <v>15710245</v>
          </cell>
          <cell r="GZ64">
            <v>13697504</v>
          </cell>
        </row>
      </sheetData>
      <sheetData sheetId="81"/>
      <sheetData sheetId="82"/>
      <sheetData sheetId="83"/>
      <sheetData sheetId="84">
        <row r="4">
          <cell r="GZ4">
            <v>203</v>
          </cell>
        </row>
        <row r="5">
          <cell r="GZ5">
            <v>203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J19">
            <v>372</v>
          </cell>
          <cell r="GK19">
            <v>420</v>
          </cell>
          <cell r="GL19">
            <v>432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GY19">
            <v>406</v>
          </cell>
          <cell r="GZ19">
            <v>406</v>
          </cell>
        </row>
      </sheetData>
      <sheetData sheetId="85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</row>
      </sheetData>
      <sheetData sheetId="86">
        <row r="4">
          <cell r="GZ4">
            <v>1</v>
          </cell>
        </row>
        <row r="5">
          <cell r="GZ5"/>
        </row>
        <row r="8">
          <cell r="GZ8"/>
        </row>
        <row r="9">
          <cell r="GZ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J19">
            <v>0</v>
          </cell>
          <cell r="GK19">
            <v>3</v>
          </cell>
          <cell r="GL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2</v>
          </cell>
          <cell r="GZ19">
            <v>1</v>
          </cell>
        </row>
        <row r="47">
          <cell r="GZ47">
            <v>2580</v>
          </cell>
        </row>
        <row r="48">
          <cell r="GZ48"/>
        </row>
        <row r="52">
          <cell r="GZ52"/>
        </row>
        <row r="53">
          <cell r="GZ53"/>
        </row>
        <row r="57">
          <cell r="GZ57"/>
        </row>
        <row r="58">
          <cell r="GZ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K64">
            <v>3500</v>
          </cell>
          <cell r="GL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GY64">
            <v>3206</v>
          </cell>
          <cell r="GZ64">
            <v>2580</v>
          </cell>
        </row>
      </sheetData>
      <sheetData sheetId="87">
        <row r="4">
          <cell r="GZ4">
            <v>46</v>
          </cell>
        </row>
        <row r="5">
          <cell r="GZ5">
            <v>45</v>
          </cell>
        </row>
      </sheetData>
      <sheetData sheetId="88">
        <row r="4">
          <cell r="GZ4">
            <v>322</v>
          </cell>
        </row>
        <row r="5">
          <cell r="GZ5">
            <v>322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1529</v>
          </cell>
          <cell r="C26">
            <v>780</v>
          </cell>
          <cell r="L26">
            <v>259405</v>
          </cell>
          <cell r="M26">
            <v>254312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1298</v>
          </cell>
          <cell r="C27">
            <v>972</v>
          </cell>
          <cell r="L27">
            <v>468752</v>
          </cell>
          <cell r="M27">
            <v>475973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296768</v>
          </cell>
          <cell r="I27">
            <v>3548261</v>
          </cell>
          <cell r="N27">
            <v>3845029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1482</v>
          </cell>
          <cell r="C28">
            <v>1488</v>
          </cell>
          <cell r="L28">
            <v>564831</v>
          </cell>
          <cell r="M28">
            <v>567563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306857</v>
          </cell>
          <cell r="I28">
            <v>3538740</v>
          </cell>
          <cell r="N28">
            <v>3845597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1310</v>
          </cell>
          <cell r="C29">
            <v>1152</v>
          </cell>
          <cell r="L29">
            <v>516533</v>
          </cell>
          <cell r="M29">
            <v>519169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270210</v>
          </cell>
          <cell r="I29">
            <v>2978352</v>
          </cell>
          <cell r="N29">
            <v>3248562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250015</v>
          </cell>
          <cell r="I30">
            <v>3134707</v>
          </cell>
          <cell r="N30">
            <v>3384722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9" sqref="J9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7">
        <v>44136</v>
      </c>
      <c r="B2" s="10"/>
      <c r="C2" s="10"/>
      <c r="D2" s="461" t="s">
        <v>213</v>
      </c>
      <c r="E2" s="461" t="s">
        <v>199</v>
      </c>
      <c r="F2" s="5"/>
      <c r="G2" s="5"/>
      <c r="H2" s="5"/>
      <c r="I2" s="5"/>
      <c r="J2" s="5"/>
    </row>
    <row r="3" spans="1:14" ht="13.5" thickBot="1" x14ac:dyDescent="0.25">
      <c r="A3" s="262"/>
      <c r="B3" s="5" t="s">
        <v>0</v>
      </c>
      <c r="C3" s="5" t="s">
        <v>1</v>
      </c>
      <c r="D3" s="462"/>
      <c r="E3" s="463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3">
        <f>'Major Airline Stats'!K4</f>
        <v>341547</v>
      </c>
      <c r="C5" s="10">
        <f>'Major Airline Stats'!K5</f>
        <v>350759</v>
      </c>
      <c r="D5" s="2">
        <f>'Major Airline Stats'!K6</f>
        <v>692306</v>
      </c>
      <c r="E5" s="2">
        <f>'[1]Monthly Summary'!D5</f>
        <v>2316801</v>
      </c>
      <c r="F5" s="3">
        <f>(D5-E5)/E5</f>
        <v>-0.70118020494638944</v>
      </c>
      <c r="G5" s="2">
        <f>+D5+'[2]Monthly Summary'!G5</f>
        <v>10109313</v>
      </c>
      <c r="H5" s="2">
        <f>'[1]Monthly Summary'!G5</f>
        <v>28311897</v>
      </c>
      <c r="I5" s="58">
        <f>(G5-H5)/H5</f>
        <v>-0.6429305673159238</v>
      </c>
      <c r="J5" s="2"/>
    </row>
    <row r="6" spans="1:14" x14ac:dyDescent="0.2">
      <c r="A6" s="43" t="s">
        <v>5</v>
      </c>
      <c r="B6" s="193">
        <f>'Regional Major'!M5</f>
        <v>135976</v>
      </c>
      <c r="C6" s="193">
        <f>'Regional Major'!M6</f>
        <v>130996</v>
      </c>
      <c r="D6" s="2">
        <f>B6+C6</f>
        <v>266972</v>
      </c>
      <c r="E6" s="2">
        <f>'[1]Monthly Summary'!D6</f>
        <v>558749</v>
      </c>
      <c r="F6" s="3">
        <f>(D6-E6)/E6</f>
        <v>-0.52219690773495786</v>
      </c>
      <c r="G6" s="2">
        <f>+D6+'[2]Monthly Summary'!G6</f>
        <v>3107013</v>
      </c>
      <c r="H6" s="2">
        <f>'[1]Monthly Summary'!G6</f>
        <v>6905713</v>
      </c>
      <c r="I6" s="58">
        <f>(G6-H6)/H6</f>
        <v>-0.55008078094180857</v>
      </c>
      <c r="K6" s="2"/>
    </row>
    <row r="7" spans="1:14" x14ac:dyDescent="0.2">
      <c r="A7" s="43" t="s">
        <v>6</v>
      </c>
      <c r="B7" s="2">
        <f>Charter!G5</f>
        <v>0</v>
      </c>
      <c r="C7" s="193">
        <f>Charter!G6</f>
        <v>186</v>
      </c>
      <c r="D7" s="2">
        <f>B7+C7</f>
        <v>186</v>
      </c>
      <c r="E7" s="2">
        <f>'[1]Monthly Summary'!D7</f>
        <v>147</v>
      </c>
      <c r="F7" s="3">
        <f>(D7-E7)/E7</f>
        <v>0.26530612244897961</v>
      </c>
      <c r="G7" s="2">
        <f>+D7+'[2]Monthly Summary'!G7</f>
        <v>2456</v>
      </c>
      <c r="H7" s="2">
        <f>'[1]Monthly Summary'!G7</f>
        <v>5590</v>
      </c>
      <c r="I7" s="58">
        <f>(G7-H7)/H7</f>
        <v>-0.56064400715563512</v>
      </c>
      <c r="K7" s="2"/>
    </row>
    <row r="8" spans="1:14" x14ac:dyDescent="0.2">
      <c r="A8" s="45" t="s">
        <v>7</v>
      </c>
      <c r="B8" s="98">
        <f>SUM(B5:B7)</f>
        <v>477523</v>
      </c>
      <c r="C8" s="98">
        <f>SUM(C5:C7)</f>
        <v>481941</v>
      </c>
      <c r="D8" s="98">
        <f>SUM(D5:D7)</f>
        <v>959464</v>
      </c>
      <c r="E8" s="98">
        <f>SUM(E5:E7)</f>
        <v>2875697</v>
      </c>
      <c r="F8" s="64">
        <f>(D8-E8)/E8</f>
        <v>-0.66635427863227592</v>
      </c>
      <c r="G8" s="98">
        <f>SUM(G5:G7)</f>
        <v>13218782</v>
      </c>
      <c r="H8" s="98">
        <f>SUM(H5:H7)</f>
        <v>35223200</v>
      </c>
      <c r="I8" s="63">
        <f>(G8-H8)/H8</f>
        <v>-0.62471376819823299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4">
        <f>'Major Airline Stats'!K9+'Regional Major'!M10</f>
        <v>22127</v>
      </c>
      <c r="C10" s="194">
        <f>'Major Airline Stats'!K10+'Regional Major'!M11</f>
        <v>22189</v>
      </c>
      <c r="D10" s="84">
        <f>SUM(B10:C10)</f>
        <v>44316</v>
      </c>
      <c r="E10" s="84">
        <f>'[1]Monthly Summary'!D10</f>
        <v>90903</v>
      </c>
      <c r="F10" s="65">
        <f>(D10-E10)/E10</f>
        <v>-0.5124913369195736</v>
      </c>
      <c r="G10" s="84">
        <f>+D10+'[2]Monthly Summary'!G10</f>
        <v>559467</v>
      </c>
      <c r="H10" s="84">
        <f>'[1]Monthly Summary'!G10</f>
        <v>1110753</v>
      </c>
      <c r="I10" s="68">
        <f>(G10-H10)/H10</f>
        <v>-0.49631736308612268</v>
      </c>
      <c r="J10" s="141"/>
    </row>
    <row r="11" spans="1:14" ht="15.75" thickBot="1" x14ac:dyDescent="0.3">
      <c r="A11" s="44" t="s">
        <v>13</v>
      </c>
      <c r="B11" s="180">
        <f>B10+B8</f>
        <v>499650</v>
      </c>
      <c r="C11" s="180">
        <f>C10+C8</f>
        <v>504130</v>
      </c>
      <c r="D11" s="180">
        <f>D10+D8</f>
        <v>1003780</v>
      </c>
      <c r="E11" s="180">
        <f>E10+E8</f>
        <v>2966600</v>
      </c>
      <c r="F11" s="66">
        <f>(D11-E11)/E11</f>
        <v>-0.66163958740645856</v>
      </c>
      <c r="G11" s="180">
        <f>G8+G10</f>
        <v>13778249</v>
      </c>
      <c r="H11" s="180">
        <f>H8+H10</f>
        <v>36333953</v>
      </c>
      <c r="I11" s="69">
        <f>(G11-H11)/H11</f>
        <v>-0.62078860508241429</v>
      </c>
    </row>
    <row r="12" spans="1:14" ht="15" x14ac:dyDescent="0.25">
      <c r="A12" s="8"/>
      <c r="B12" s="86"/>
      <c r="C12" s="86"/>
      <c r="D12" s="86"/>
      <c r="E12" s="86"/>
      <c r="F12" s="182"/>
      <c r="G12" s="86"/>
      <c r="H12" s="86"/>
      <c r="I12" s="183"/>
      <c r="K12" s="83"/>
    </row>
    <row r="13" spans="1:14" ht="16.5" customHeight="1" x14ac:dyDescent="0.2">
      <c r="B13" s="10"/>
      <c r="C13" s="10"/>
      <c r="D13" s="461" t="s">
        <v>213</v>
      </c>
      <c r="E13" s="461" t="s">
        <v>199</v>
      </c>
      <c r="F13" s="360"/>
      <c r="G13" s="360"/>
      <c r="H13" s="360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62"/>
      <c r="E14" s="463"/>
      <c r="F14" s="360" t="s">
        <v>2</v>
      </c>
      <c r="G14" s="360" t="s">
        <v>214</v>
      </c>
      <c r="H14" s="360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1"/>
    </row>
    <row r="16" spans="1:14" x14ac:dyDescent="0.2">
      <c r="A16" s="43" t="s">
        <v>4</v>
      </c>
      <c r="B16" s="200">
        <f>'Major Airline Stats'!K15+'Major Airline Stats'!K19</f>
        <v>4777</v>
      </c>
      <c r="C16" s="200">
        <f>'Major Airline Stats'!K16+'Major Airline Stats'!K20</f>
        <v>4787</v>
      </c>
      <c r="D16" s="25">
        <f t="shared" ref="D16:D21" si="0">SUM(B16:C16)</f>
        <v>9564</v>
      </c>
      <c r="E16" s="2">
        <f>'[1]Monthly Summary'!D16</f>
        <v>18210</v>
      </c>
      <c r="F16" s="67">
        <f t="shared" ref="F16:F22" si="1">(D16-E16)/E16</f>
        <v>-0.47479406919275124</v>
      </c>
      <c r="G16" s="2">
        <f>+D16+'[2]Monthly Summary'!G16</f>
        <v>109072</v>
      </c>
      <c r="H16" s="2">
        <f>'[1]Monthly Summary'!G16</f>
        <v>211521</v>
      </c>
      <c r="I16" s="172">
        <f t="shared" ref="I16:I22" si="2">(G16-H16)/H16</f>
        <v>-0.48434434406040061</v>
      </c>
      <c r="N16" s="83"/>
    </row>
    <row r="17" spans="1:12" x14ac:dyDescent="0.2">
      <c r="A17" s="43" t="s">
        <v>5</v>
      </c>
      <c r="B17" s="25">
        <f>'Regional Major'!M15+'Regional Major'!M18</f>
        <v>4713</v>
      </c>
      <c r="C17" s="25">
        <f>'Regional Major'!M16+'Regional Major'!M19</f>
        <v>4719</v>
      </c>
      <c r="D17" s="25">
        <f>SUM(B17:C17)</f>
        <v>9432</v>
      </c>
      <c r="E17" s="2">
        <f>'[1]Monthly Summary'!D17</f>
        <v>10660</v>
      </c>
      <c r="F17" s="67">
        <f t="shared" si="1"/>
        <v>-0.11519699812382739</v>
      </c>
      <c r="G17" s="2">
        <f>+D17+'[2]Monthly Summary'!G17</f>
        <v>89633</v>
      </c>
      <c r="H17" s="2">
        <f>'[1]Monthly Summary'!G17</f>
        <v>130380</v>
      </c>
      <c r="I17" s="172">
        <f t="shared" si="2"/>
        <v>-0.31252492713606383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2</v>
      </c>
      <c r="D18" s="25">
        <f t="shared" si="0"/>
        <v>2</v>
      </c>
      <c r="E18" s="2">
        <f>'[1]Monthly Summary'!D18</f>
        <v>1</v>
      </c>
      <c r="F18" s="67">
        <f t="shared" si="1"/>
        <v>1</v>
      </c>
      <c r="G18" s="2">
        <f>+D18+'[2]Monthly Summary'!G18</f>
        <v>26</v>
      </c>
      <c r="H18" s="2">
        <f>'[1]Monthly Summary'!G18</f>
        <v>62</v>
      </c>
      <c r="I18" s="172">
        <f t="shared" si="2"/>
        <v>-0.58064516129032262</v>
      </c>
    </row>
    <row r="19" spans="1:12" x14ac:dyDescent="0.2">
      <c r="A19" s="43" t="s">
        <v>11</v>
      </c>
      <c r="B19" s="25">
        <f>Cargo!P4</f>
        <v>615</v>
      </c>
      <c r="C19" s="25">
        <f>Cargo!P5</f>
        <v>613</v>
      </c>
      <c r="D19" s="25">
        <f t="shared" si="0"/>
        <v>1228</v>
      </c>
      <c r="E19" s="2">
        <f>'[1]Monthly Summary'!D19</f>
        <v>1182</v>
      </c>
      <c r="F19" s="67">
        <f t="shared" si="1"/>
        <v>3.8917089678510999E-2</v>
      </c>
      <c r="G19" s="2">
        <f>+D19+'[2]Monthly Summary'!G19</f>
        <v>13432</v>
      </c>
      <c r="H19" s="2">
        <f>'[1]Monthly Summary'!G19</f>
        <v>13024</v>
      </c>
      <c r="I19" s="172">
        <f t="shared" si="2"/>
        <v>3.1326781326781329E-2</v>
      </c>
    </row>
    <row r="20" spans="1:12" x14ac:dyDescent="0.2">
      <c r="A20" s="43" t="s">
        <v>149</v>
      </c>
      <c r="B20" s="25">
        <f>'[3]General Avation'!$GZ$4</f>
        <v>322</v>
      </c>
      <c r="C20" s="25">
        <f>'[3]General Avation'!$GZ$5</f>
        <v>322</v>
      </c>
      <c r="D20" s="25">
        <f t="shared" si="0"/>
        <v>644</v>
      </c>
      <c r="E20" s="2">
        <f>'[1]Monthly Summary'!D20</f>
        <v>1479</v>
      </c>
      <c r="F20" s="67">
        <f t="shared" si="1"/>
        <v>-0.56457065584854627</v>
      </c>
      <c r="G20" s="2">
        <f>+D20+'[2]Monthly Summary'!G20</f>
        <v>9812</v>
      </c>
      <c r="H20" s="2">
        <f>'[1]Monthly Summary'!G20</f>
        <v>17285</v>
      </c>
      <c r="I20" s="172">
        <f t="shared" si="2"/>
        <v>-0.43234017934625396</v>
      </c>
    </row>
    <row r="21" spans="1:12" ht="12.75" customHeight="1" x14ac:dyDescent="0.2">
      <c r="A21" s="43" t="s">
        <v>12</v>
      </c>
      <c r="B21" s="11">
        <f>'[3]Military '!$GZ$4</f>
        <v>46</v>
      </c>
      <c r="C21" s="11">
        <f>'[3]Military '!$GZ$5</f>
        <v>45</v>
      </c>
      <c r="D21" s="11">
        <f t="shared" si="0"/>
        <v>91</v>
      </c>
      <c r="E21" s="84">
        <f>'[1]Monthly Summary'!D21</f>
        <v>22</v>
      </c>
      <c r="F21" s="170">
        <f t="shared" si="1"/>
        <v>3.1363636363636362</v>
      </c>
      <c r="G21" s="84">
        <f>+D21+'[2]Monthly Summary'!G21</f>
        <v>1043</v>
      </c>
      <c r="H21" s="84">
        <f>'[1]Monthly Summary'!G21</f>
        <v>851</v>
      </c>
      <c r="I21" s="173">
        <f t="shared" si="2"/>
        <v>0.22561692126909519</v>
      </c>
    </row>
    <row r="22" spans="1:12" ht="15.75" thickBot="1" x14ac:dyDescent="0.3">
      <c r="A22" s="44" t="s">
        <v>28</v>
      </c>
      <c r="B22" s="181">
        <f>SUM(B16:B21)</f>
        <v>10473</v>
      </c>
      <c r="C22" s="181">
        <f>SUM(C16:C21)</f>
        <v>10488</v>
      </c>
      <c r="D22" s="181">
        <f>SUM(D16:D21)</f>
        <v>20961</v>
      </c>
      <c r="E22" s="181">
        <f>SUM(E16:E21)</f>
        <v>31554</v>
      </c>
      <c r="F22" s="178">
        <f t="shared" si="1"/>
        <v>-0.3357102110667427</v>
      </c>
      <c r="G22" s="181">
        <f>SUM(G16:G21)</f>
        <v>223018</v>
      </c>
      <c r="H22" s="181">
        <f>SUM(H16:H21)</f>
        <v>373123</v>
      </c>
      <c r="I22" s="179">
        <f t="shared" si="2"/>
        <v>-0.40229361363410993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61" t="s">
        <v>213</v>
      </c>
      <c r="E24" s="461" t="s">
        <v>199</v>
      </c>
      <c r="F24" s="360"/>
      <c r="G24" s="360"/>
      <c r="H24" s="360"/>
      <c r="I24" s="5"/>
    </row>
    <row r="25" spans="1:12" ht="13.5" thickBot="1" x14ac:dyDescent="0.25">
      <c r="B25" s="5" t="s">
        <v>0</v>
      </c>
      <c r="C25" s="5" t="s">
        <v>1</v>
      </c>
      <c r="D25" s="462"/>
      <c r="E25" s="463"/>
      <c r="F25" s="360" t="s">
        <v>2</v>
      </c>
      <c r="G25" s="360" t="s">
        <v>214</v>
      </c>
      <c r="H25" s="360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7988.2569585680394</v>
      </c>
      <c r="C27" s="13">
        <f>(Cargo!P21+'Major Airline Stats'!K33+'Regional Major'!M30)*0.00045359237</f>
        <v>6658.6425515717801</v>
      </c>
      <c r="D27" s="13">
        <f>(SUM(B27:C27)+('Cargo Summary'!E17*0.00045359237))</f>
        <v>14646.89951013982</v>
      </c>
      <c r="E27" s="2">
        <f>'[1]Monthly Summary'!D27</f>
        <v>16871.557350168288</v>
      </c>
      <c r="F27" s="70">
        <f>(D27-E27)/E27</f>
        <v>-0.13185847600525619</v>
      </c>
      <c r="G27" s="2">
        <f>+D27+'[2]Monthly Summary'!G27</f>
        <v>167109.51223527407</v>
      </c>
      <c r="H27" s="2">
        <f>'[1]Monthly Summary'!G27</f>
        <v>185392.43948120743</v>
      </c>
      <c r="I27" s="72">
        <f>(G27-H27)/H27</f>
        <v>-9.8617437135491356E-2</v>
      </c>
    </row>
    <row r="28" spans="1:12" x14ac:dyDescent="0.2">
      <c r="A28" s="38" t="s">
        <v>16</v>
      </c>
      <c r="B28" s="13">
        <f>(Cargo!P17+'Major Airline Stats'!K29+'Regional Major'!M26)*0.00045359237</f>
        <v>419.82015009164996</v>
      </c>
      <c r="C28" s="13">
        <f>(Cargo!P22+'Major Airline Stats'!K34+'Regional Major'!M31)*0.00045359237</f>
        <v>931.28682417231994</v>
      </c>
      <c r="D28" s="13">
        <f>SUM(B28:C28)</f>
        <v>1351.10697426397</v>
      </c>
      <c r="E28" s="2">
        <f>'[1]Monthly Summary'!D28</f>
        <v>2121.3943618513799</v>
      </c>
      <c r="F28" s="70">
        <f>(D28-E28)/E28</f>
        <v>-0.3631042871798556</v>
      </c>
      <c r="G28" s="2">
        <f>+D28+'[2]Monthly Summary'!G28</f>
        <v>16027.260924306938</v>
      </c>
      <c r="H28" s="2">
        <f>'[1]Monthly Summary'!G28</f>
        <v>22892.731163974211</v>
      </c>
      <c r="I28" s="72">
        <f>(G28-H28)/H28</f>
        <v>-0.29989738622673878</v>
      </c>
    </row>
    <row r="29" spans="1:12" ht="15.75" thickBot="1" x14ac:dyDescent="0.3">
      <c r="A29" s="39" t="s">
        <v>62</v>
      </c>
      <c r="B29" s="32">
        <f>SUM(B27:B28)</f>
        <v>8408.0771086596887</v>
      </c>
      <c r="C29" s="32">
        <f>SUM(C27:C28)</f>
        <v>7589.9293757441001</v>
      </c>
      <c r="D29" s="32">
        <f>SUM(D27:D28)</f>
        <v>15998.00648440379</v>
      </c>
      <c r="E29" s="32">
        <f>SUM(E27:E28)</f>
        <v>18992.951712019669</v>
      </c>
      <c r="F29" s="71">
        <f>(D29-E29)/E29</f>
        <v>-0.15768719222934321</v>
      </c>
      <c r="G29" s="32">
        <f>SUM(G27:G28)</f>
        <v>183136.773159581</v>
      </c>
      <c r="H29" s="32">
        <f>SUM(H27:H28)</f>
        <v>208285.17064518164</v>
      </c>
      <c r="I29" s="73">
        <f>(G29-H29)/H29</f>
        <v>-0.12074022076416321</v>
      </c>
    </row>
    <row r="30" spans="1:12" ht="4.5" customHeight="1" thickBot="1" x14ac:dyDescent="0.3">
      <c r="A30" s="35"/>
      <c r="B30" s="263"/>
      <c r="C30" s="263"/>
      <c r="D30" s="263"/>
      <c r="E30" s="263"/>
      <c r="F30" s="182"/>
      <c r="G30" s="263"/>
      <c r="H30" s="263"/>
      <c r="I30" s="182"/>
    </row>
    <row r="31" spans="1:12" ht="13.5" thickBot="1" x14ac:dyDescent="0.25">
      <c r="B31" s="460" t="s">
        <v>145</v>
      </c>
      <c r="C31" s="459"/>
      <c r="D31" s="460" t="s">
        <v>152</v>
      </c>
      <c r="E31" s="459"/>
      <c r="F31" s="285"/>
      <c r="G31" s="286"/>
    </row>
    <row r="32" spans="1:12" x14ac:dyDescent="0.2">
      <c r="A32" s="267" t="s">
        <v>146</v>
      </c>
      <c r="B32" s="268">
        <f>C8-B33</f>
        <v>302434</v>
      </c>
      <c r="C32" s="269">
        <f>B32/C8</f>
        <v>0.62753324577074787</v>
      </c>
      <c r="D32" s="270">
        <f>+B32+'[2]Monthly Summary'!$D$32</f>
        <v>4257645</v>
      </c>
      <c r="E32" s="271">
        <f>+D32/D34</f>
        <v>0.64746942740559965</v>
      </c>
      <c r="G32" s="2"/>
      <c r="I32" s="284"/>
    </row>
    <row r="33" spans="1:14" ht="13.5" thickBot="1" x14ac:dyDescent="0.25">
      <c r="A33" s="272" t="s">
        <v>147</v>
      </c>
      <c r="B33" s="273">
        <f>'Major Airline Stats'!K51+'Regional Major'!M45</f>
        <v>179507</v>
      </c>
      <c r="C33" s="274">
        <f>+B33/C8</f>
        <v>0.37246675422925213</v>
      </c>
      <c r="D33" s="275">
        <f>+B33+'[2]Monthly Summary'!$D$33</f>
        <v>2318179</v>
      </c>
      <c r="E33" s="276">
        <f>+D33/D34</f>
        <v>0.35253057259440035</v>
      </c>
      <c r="I33" s="284"/>
    </row>
    <row r="34" spans="1:14" ht="13.5" thickBot="1" x14ac:dyDescent="0.25">
      <c r="B34" s="204"/>
      <c r="D34" s="277">
        <f>SUM(D32:D33)</f>
        <v>6575824</v>
      </c>
    </row>
    <row r="35" spans="1:14" ht="13.5" thickBot="1" x14ac:dyDescent="0.25">
      <c r="B35" s="458" t="s">
        <v>242</v>
      </c>
      <c r="C35" s="459"/>
      <c r="D35" s="460" t="s">
        <v>212</v>
      </c>
      <c r="E35" s="459"/>
    </row>
    <row r="36" spans="1:14" x14ac:dyDescent="0.2">
      <c r="A36" s="267" t="s">
        <v>146</v>
      </c>
      <c r="B36" s="268">
        <f>'[1]Monthly Summary'!$B$32</f>
        <v>897145</v>
      </c>
      <c r="C36" s="269">
        <f>+B36/B38</f>
        <v>0.62267834734422367</v>
      </c>
      <c r="D36" s="270">
        <f>'[1]Monthly Summary'!$D$32</f>
        <v>11074965</v>
      </c>
      <c r="E36" s="271">
        <f>+D36/D38</f>
        <v>0.62962233796824008</v>
      </c>
    </row>
    <row r="37" spans="1:14" ht="13.5" thickBot="1" x14ac:dyDescent="0.25">
      <c r="A37" s="272" t="s">
        <v>147</v>
      </c>
      <c r="B37" s="273">
        <f>'[1]Monthly Summary'!$B$33</f>
        <v>543639</v>
      </c>
      <c r="C37" s="276">
        <f>+B37/B38</f>
        <v>0.37732165265577627</v>
      </c>
      <c r="D37" s="275">
        <f>'[1]Monthly Summary'!$D$33</f>
        <v>6514889</v>
      </c>
      <c r="E37" s="276">
        <f>+D37/D38</f>
        <v>0.37037766203175992</v>
      </c>
      <c r="M37" s="1"/>
    </row>
    <row r="38" spans="1:14" x14ac:dyDescent="0.2">
      <c r="B38" s="289">
        <f>+SUM(B36:B37)</f>
        <v>1440784</v>
      </c>
      <c r="D38" s="277">
        <f>SUM(D36:D37)</f>
        <v>17589854</v>
      </c>
    </row>
    <row r="39" spans="1:14" x14ac:dyDescent="0.2">
      <c r="A39" s="281" t="s">
        <v>148</v>
      </c>
    </row>
    <row r="40" spans="1:14" x14ac:dyDescent="0.2">
      <c r="A40" s="142" t="s">
        <v>150</v>
      </c>
      <c r="I40" s="2"/>
    </row>
    <row r="41" spans="1:14" x14ac:dyDescent="0.2">
      <c r="N41" s="282"/>
    </row>
    <row r="42" spans="1:14" x14ac:dyDescent="0.2">
      <c r="G42" s="2"/>
      <c r="N42" s="282"/>
    </row>
    <row r="43" spans="1:14" x14ac:dyDescent="0.2">
      <c r="B43" s="204"/>
      <c r="J43" s="2"/>
      <c r="N43" s="282"/>
    </row>
    <row r="44" spans="1:14" x14ac:dyDescent="0.2">
      <c r="B44" s="204"/>
      <c r="N44" s="282"/>
    </row>
    <row r="45" spans="1:14" x14ac:dyDescent="0.2">
      <c r="J45" s="2"/>
      <c r="N45" s="282"/>
    </row>
    <row r="46" spans="1:14" x14ac:dyDescent="0.2">
      <c r="B46" s="2"/>
      <c r="F46" s="204"/>
    </row>
    <row r="47" spans="1:14" x14ac:dyDescent="0.2">
      <c r="N47" s="282"/>
    </row>
    <row r="51" spans="12:12" x14ac:dyDescent="0.2">
      <c r="L51" s="28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F22" sqref="F2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7">
        <v>44136</v>
      </c>
      <c r="B1" s="428" t="s">
        <v>17</v>
      </c>
      <c r="C1" s="428" t="s">
        <v>18</v>
      </c>
      <c r="D1" s="428" t="s">
        <v>19</v>
      </c>
      <c r="E1" s="428" t="s">
        <v>156</v>
      </c>
      <c r="F1" s="304" t="s">
        <v>162</v>
      </c>
      <c r="G1" s="304" t="s">
        <v>157</v>
      </c>
      <c r="H1" s="429" t="s">
        <v>201</v>
      </c>
      <c r="I1" s="351" t="s">
        <v>194</v>
      </c>
      <c r="J1" s="304" t="s">
        <v>20</v>
      </c>
      <c r="K1" s="303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0"/>
      <c r="I2" s="350"/>
      <c r="J2" s="34"/>
      <c r="K2" s="371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[3]American!$GZ$22</f>
        <v>21731</v>
      </c>
      <c r="C4" s="12">
        <f>[3]Delta!$GZ$22+[3]Delta!$GZ$32</f>
        <v>207063</v>
      </c>
      <c r="D4" s="12">
        <f>[3]United!$GZ$22</f>
        <v>12651</v>
      </c>
      <c r="E4" s="12">
        <f>[3]Spirit!$GZ$22</f>
        <v>13901</v>
      </c>
      <c r="F4" s="12">
        <f>[3]Condor!$GZ$22</f>
        <v>0</v>
      </c>
      <c r="G4" s="12">
        <f>'[3]Air France'!$GZ$22</f>
        <v>0</v>
      </c>
      <c r="H4" s="12">
        <f>'[3]Jet Blue'!$GZ$22</f>
        <v>713</v>
      </c>
      <c r="I4" s="12">
        <f>[3]KLM!$GZ$22+[3]KLM!$GZ$32</f>
        <v>0</v>
      </c>
      <c r="J4" s="12">
        <f>'Other Major Airline Stats'!K5</f>
        <v>85488</v>
      </c>
      <c r="K4" s="372">
        <f>SUM(B4:J4)</f>
        <v>341547</v>
      </c>
    </row>
    <row r="5" spans="1:20" x14ac:dyDescent="0.2">
      <c r="A5" s="38" t="s">
        <v>31</v>
      </c>
      <c r="B5" s="7">
        <f>[3]American!$GZ$23</f>
        <v>22588</v>
      </c>
      <c r="C5" s="7">
        <f>[3]Delta!$GZ$23+[3]Delta!$GZ$33</f>
        <v>215220</v>
      </c>
      <c r="D5" s="7">
        <f>[3]United!$GZ$23</f>
        <v>12214</v>
      </c>
      <c r="E5" s="7">
        <f>[3]Spirit!$GZ$23</f>
        <v>13454</v>
      </c>
      <c r="F5" s="7">
        <f>[3]Condor!$GZ$23</f>
        <v>0</v>
      </c>
      <c r="G5" s="7">
        <f>'[3]Air France'!$GZ$23</f>
        <v>0</v>
      </c>
      <c r="H5" s="7">
        <f>'[3]Jet Blue'!$GZ$23</f>
        <v>1062</v>
      </c>
      <c r="I5" s="7">
        <f>[3]KLM!$GZ$23+[3]KLM!$GZ$33</f>
        <v>0</v>
      </c>
      <c r="J5" s="7">
        <f>'Other Major Airline Stats'!K6</f>
        <v>86221</v>
      </c>
      <c r="K5" s="373">
        <f>SUM(B5:J5)</f>
        <v>350759</v>
      </c>
      <c r="M5" s="204"/>
      <c r="N5" s="204"/>
      <c r="O5" s="204"/>
      <c r="P5" s="204"/>
      <c r="Q5" s="204"/>
      <c r="R5" s="204"/>
      <c r="S5" s="204"/>
      <c r="T5" s="204"/>
    </row>
    <row r="6" spans="1:20" ht="15" x14ac:dyDescent="0.25">
      <c r="A6" s="36" t="s">
        <v>7</v>
      </c>
      <c r="B6" s="18">
        <f t="shared" ref="B6:J6" si="0">SUM(B4:B5)</f>
        <v>44319</v>
      </c>
      <c r="C6" s="18">
        <f t="shared" si="0"/>
        <v>422283</v>
      </c>
      <c r="D6" s="18">
        <f t="shared" si="0"/>
        <v>24865</v>
      </c>
      <c r="E6" s="18">
        <f t="shared" si="0"/>
        <v>27355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1775</v>
      </c>
      <c r="I6" s="18">
        <f t="shared" si="1"/>
        <v>0</v>
      </c>
      <c r="J6" s="18">
        <f t="shared" si="0"/>
        <v>171709</v>
      </c>
      <c r="K6" s="374">
        <f>SUM(B6:J6)</f>
        <v>692306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2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2">
        <f>SUM(B8:J8)</f>
        <v>0</v>
      </c>
    </row>
    <row r="9" spans="1:20" x14ac:dyDescent="0.2">
      <c r="A9" s="38" t="s">
        <v>30</v>
      </c>
      <c r="B9" s="12">
        <f>[3]American!$GZ$27</f>
        <v>830</v>
      </c>
      <c r="C9" s="12">
        <f>[3]Delta!$GZ$27+[3]Delta!$GZ$37</f>
        <v>11407</v>
      </c>
      <c r="D9" s="12">
        <f>[3]United!$GZ$27</f>
        <v>670</v>
      </c>
      <c r="E9" s="12">
        <f>[3]Spirit!$GZ$27</f>
        <v>92</v>
      </c>
      <c r="F9" s="12">
        <f>[3]Condor!$GZ$27</f>
        <v>0</v>
      </c>
      <c r="G9" s="12">
        <f>'[3]Air France'!$GZ$27</f>
        <v>0</v>
      </c>
      <c r="H9" s="12">
        <f>'[3]Jet Blue'!$GZ$27</f>
        <v>36</v>
      </c>
      <c r="I9" s="12">
        <f>[3]KLM!$GZ$27+[3]KLM!$GZ$37</f>
        <v>0</v>
      </c>
      <c r="J9" s="12">
        <f>'Other Major Airline Stats'!K10</f>
        <v>2154</v>
      </c>
      <c r="K9" s="372">
        <f>SUM(B9:J9)</f>
        <v>15189</v>
      </c>
    </row>
    <row r="10" spans="1:20" x14ac:dyDescent="0.2">
      <c r="A10" s="38" t="s">
        <v>33</v>
      </c>
      <c r="B10" s="7">
        <f>[3]American!$GZ$28</f>
        <v>851</v>
      </c>
      <c r="C10" s="7">
        <f>[3]Delta!$GZ$28+[3]Delta!$GZ$38</f>
        <v>11373</v>
      </c>
      <c r="D10" s="7">
        <f>[3]United!$GZ$28</f>
        <v>793</v>
      </c>
      <c r="E10" s="7">
        <f>[3]Spirit!$GZ$28</f>
        <v>95</v>
      </c>
      <c r="F10" s="7">
        <f>[3]Condor!$GZ$28</f>
        <v>0</v>
      </c>
      <c r="G10" s="7">
        <f>'[3]Air France'!$GZ$28</f>
        <v>0</v>
      </c>
      <c r="H10" s="7">
        <f>'[3]Jet Blue'!$GZ$28</f>
        <v>46</v>
      </c>
      <c r="I10" s="7">
        <f>[3]KLM!$GZ$28+[3]KLM!$GZ$38</f>
        <v>0</v>
      </c>
      <c r="J10" s="7">
        <f>'Other Major Airline Stats'!K11</f>
        <v>2367</v>
      </c>
      <c r="K10" s="373">
        <f>SUM(B10:J10)</f>
        <v>15525</v>
      </c>
    </row>
    <row r="11" spans="1:20" ht="15.75" thickBot="1" x14ac:dyDescent="0.3">
      <c r="A11" s="39" t="s">
        <v>34</v>
      </c>
      <c r="B11" s="187">
        <f t="shared" ref="B11:J11" si="3">SUM(B9:B10)</f>
        <v>1681</v>
      </c>
      <c r="C11" s="187">
        <f t="shared" si="3"/>
        <v>22780</v>
      </c>
      <c r="D11" s="187">
        <f t="shared" si="3"/>
        <v>1463</v>
      </c>
      <c r="E11" s="187">
        <f t="shared" si="3"/>
        <v>187</v>
      </c>
      <c r="F11" s="187">
        <f t="shared" ref="F11:I11" si="4">SUM(F9:F10)</f>
        <v>0</v>
      </c>
      <c r="G11" s="187">
        <f t="shared" si="4"/>
        <v>0</v>
      </c>
      <c r="H11" s="187">
        <f t="shared" ref="H11" si="5">SUM(H9:H10)</f>
        <v>82</v>
      </c>
      <c r="I11" s="187">
        <f t="shared" si="4"/>
        <v>0</v>
      </c>
      <c r="J11" s="187">
        <f t="shared" si="3"/>
        <v>4521</v>
      </c>
      <c r="K11" s="375">
        <f>SUM(B11:J11)</f>
        <v>30714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6"/>
    </row>
    <row r="15" spans="1:20" x14ac:dyDescent="0.2">
      <c r="A15" s="38" t="s">
        <v>22</v>
      </c>
      <c r="B15" s="12">
        <f>[3]American!$GZ$4</f>
        <v>204</v>
      </c>
      <c r="C15" s="12">
        <f>[3]Delta!$GZ$4+[3]Delta!$GZ$15</f>
        <v>3137</v>
      </c>
      <c r="D15" s="12">
        <f>[3]United!$GZ$4</f>
        <v>134</v>
      </c>
      <c r="E15" s="12">
        <f>[3]Spirit!$GZ$4</f>
        <v>115</v>
      </c>
      <c r="F15" s="12">
        <f>[3]Condor!$GZ$4</f>
        <v>0</v>
      </c>
      <c r="G15" s="12">
        <f>'[3]Air France'!$GZ$4</f>
        <v>0</v>
      </c>
      <c r="H15" s="12">
        <f>'[3]Jet Blue'!$GZ$4</f>
        <v>28</v>
      </c>
      <c r="I15" s="12">
        <f>[3]KLM!$GZ$4+[3]KLM!$GZ$15</f>
        <v>0</v>
      </c>
      <c r="J15" s="12">
        <f>'Other Major Airline Stats'!K16</f>
        <v>1061</v>
      </c>
      <c r="K15" s="372">
        <f>SUM(B15:J15)</f>
        <v>4679</v>
      </c>
    </row>
    <row r="16" spans="1:20" x14ac:dyDescent="0.2">
      <c r="A16" s="38" t="s">
        <v>23</v>
      </c>
      <c r="B16" s="7">
        <f>[3]American!$GZ$5</f>
        <v>206</v>
      </c>
      <c r="C16" s="7">
        <f>[3]Delta!$GZ$5+[3]Delta!$GZ$16</f>
        <v>3155</v>
      </c>
      <c r="D16" s="7">
        <f>[3]United!$GZ$5</f>
        <v>134</v>
      </c>
      <c r="E16" s="7">
        <f>[3]Spirit!$GZ$5</f>
        <v>115</v>
      </c>
      <c r="F16" s="7">
        <f>[3]Condor!$GZ$5</f>
        <v>0</v>
      </c>
      <c r="G16" s="7">
        <f>'[3]Air France'!$GZ$5</f>
        <v>0</v>
      </c>
      <c r="H16" s="7">
        <f>'[3]Jet Blue'!$GZ$5</f>
        <v>28</v>
      </c>
      <c r="I16" s="7">
        <f>[3]KLM!$GZ$5+[3]KLM!$GZ$16</f>
        <v>0</v>
      </c>
      <c r="J16" s="7">
        <f>'Other Major Airline Stats'!K17</f>
        <v>1054</v>
      </c>
      <c r="K16" s="373">
        <f>SUM(B16:J16)</f>
        <v>4692</v>
      </c>
    </row>
    <row r="17" spans="1:11" x14ac:dyDescent="0.2">
      <c r="A17" s="38" t="s">
        <v>24</v>
      </c>
      <c r="B17" s="189">
        <f t="shared" ref="B17:J17" si="6">SUM(B15:B16)</f>
        <v>410</v>
      </c>
      <c r="C17" s="188">
        <f t="shared" si="6"/>
        <v>6292</v>
      </c>
      <c r="D17" s="188">
        <f t="shared" si="6"/>
        <v>268</v>
      </c>
      <c r="E17" s="188">
        <f t="shared" si="6"/>
        <v>230</v>
      </c>
      <c r="F17" s="188">
        <f t="shared" ref="F17:I17" si="7">SUM(F15:F16)</f>
        <v>0</v>
      </c>
      <c r="G17" s="188">
        <f t="shared" si="7"/>
        <v>0</v>
      </c>
      <c r="H17" s="188">
        <f t="shared" ref="H17" si="8">SUM(H15:H16)</f>
        <v>56</v>
      </c>
      <c r="I17" s="188">
        <f t="shared" si="7"/>
        <v>0</v>
      </c>
      <c r="J17" s="188">
        <f t="shared" si="6"/>
        <v>2115</v>
      </c>
      <c r="K17" s="377">
        <f>SUM(B17:J17)</f>
        <v>9371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2"/>
    </row>
    <row r="19" spans="1:11" x14ac:dyDescent="0.2">
      <c r="A19" s="38" t="s">
        <v>25</v>
      </c>
      <c r="B19" s="12">
        <f>[3]American!$GZ$8</f>
        <v>0</v>
      </c>
      <c r="C19" s="12">
        <f>[3]Delta!$GZ$8</f>
        <v>0</v>
      </c>
      <c r="D19" s="12">
        <f>[3]United!$GZ$8</f>
        <v>0</v>
      </c>
      <c r="E19" s="12">
        <f>[3]Spirit!$GZ$8</f>
        <v>0</v>
      </c>
      <c r="F19" s="12">
        <f>[3]Condor!$GZ$8</f>
        <v>0</v>
      </c>
      <c r="G19" s="12">
        <f>'[3]Air France'!$GZ$8</f>
        <v>0</v>
      </c>
      <c r="H19" s="12">
        <f>'[3]Jet Blue'!$GZ$8</f>
        <v>0</v>
      </c>
      <c r="I19" s="12">
        <f>[3]KLM!$GZ$8</f>
        <v>0</v>
      </c>
      <c r="J19" s="12">
        <f>'Other Major Airline Stats'!K20</f>
        <v>98</v>
      </c>
      <c r="K19" s="372">
        <f>SUM(B19:J19)</f>
        <v>98</v>
      </c>
    </row>
    <row r="20" spans="1:11" x14ac:dyDescent="0.2">
      <c r="A20" s="38" t="s">
        <v>26</v>
      </c>
      <c r="B20" s="7">
        <f>[3]American!$GZ$9</f>
        <v>0</v>
      </c>
      <c r="C20" s="7">
        <f>[3]Delta!$GZ$9</f>
        <v>1</v>
      </c>
      <c r="D20" s="7">
        <f>[3]United!$GZ$9</f>
        <v>0</v>
      </c>
      <c r="E20" s="7">
        <f>[3]Spirit!$GZ$9</f>
        <v>0</v>
      </c>
      <c r="F20" s="7">
        <f>[3]Condor!$GZ$9</f>
        <v>0</v>
      </c>
      <c r="G20" s="7">
        <f>'[3]Air France'!$GZ$9</f>
        <v>0</v>
      </c>
      <c r="H20" s="7">
        <f>'[3]Jet Blue'!$GZ$9</f>
        <v>0</v>
      </c>
      <c r="I20" s="7">
        <f>[3]KLM!$GZ$9</f>
        <v>0</v>
      </c>
      <c r="J20" s="7">
        <f>'Other Major Airline Stats'!K21</f>
        <v>94</v>
      </c>
      <c r="K20" s="373">
        <f>SUM(B20:J20)</f>
        <v>95</v>
      </c>
    </row>
    <row r="21" spans="1:11" x14ac:dyDescent="0.2">
      <c r="A21" s="38" t="s">
        <v>27</v>
      </c>
      <c r="B21" s="189">
        <f t="shared" ref="B21:J21" si="9">SUM(B19:B20)</f>
        <v>0</v>
      </c>
      <c r="C21" s="188">
        <f t="shared" si="9"/>
        <v>1</v>
      </c>
      <c r="D21" s="188">
        <f t="shared" si="9"/>
        <v>0</v>
      </c>
      <c r="E21" s="188">
        <f t="shared" si="9"/>
        <v>0</v>
      </c>
      <c r="F21" s="188">
        <f t="shared" ref="F21:I21" si="10">SUM(F19:F20)</f>
        <v>0</v>
      </c>
      <c r="G21" s="188">
        <f t="shared" si="10"/>
        <v>0</v>
      </c>
      <c r="H21" s="188">
        <f t="shared" ref="H21" si="11">SUM(H19:H20)</f>
        <v>0</v>
      </c>
      <c r="I21" s="188">
        <f t="shared" si="10"/>
        <v>0</v>
      </c>
      <c r="J21" s="188">
        <f t="shared" si="9"/>
        <v>192</v>
      </c>
      <c r="K21" s="378">
        <f>SUM(B21:J21)</f>
        <v>193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2"/>
    </row>
    <row r="23" spans="1:11" ht="15.75" thickBot="1" x14ac:dyDescent="0.3">
      <c r="A23" s="39" t="s">
        <v>28</v>
      </c>
      <c r="B23" s="16">
        <f t="shared" ref="B23:J23" si="12">B17+B21</f>
        <v>410</v>
      </c>
      <c r="C23" s="16">
        <f t="shared" si="12"/>
        <v>6293</v>
      </c>
      <c r="D23" s="16">
        <f t="shared" si="12"/>
        <v>268</v>
      </c>
      <c r="E23" s="16">
        <f>E17+E21</f>
        <v>230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56</v>
      </c>
      <c r="I23" s="16">
        <f t="shared" si="13"/>
        <v>0</v>
      </c>
      <c r="J23" s="16">
        <f t="shared" si="12"/>
        <v>2307</v>
      </c>
      <c r="K23" s="375">
        <f>SUM(B23:J23)</f>
        <v>9564</v>
      </c>
    </row>
    <row r="25" spans="1:11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288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79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[3]American!$GZ$47</f>
        <v>12867</v>
      </c>
      <c r="C28" s="12">
        <f>[3]Delta!$GZ$47</f>
        <v>492187</v>
      </c>
      <c r="D28" s="12">
        <f>[3]United!$GZ$47</f>
        <v>17128</v>
      </c>
      <c r="E28" s="12">
        <f>[3]Spirit!$GZ$47</f>
        <v>0</v>
      </c>
      <c r="F28" s="12">
        <f>[3]Condor!$GZ$47</f>
        <v>0</v>
      </c>
      <c r="G28" s="12">
        <f>'[3]Air France'!$GZ$47</f>
        <v>0</v>
      </c>
      <c r="H28" s="12">
        <f>'[3]Jet Blue'!$GZ$47</f>
        <v>0</v>
      </c>
      <c r="I28" s="12">
        <f>[3]KLM!$GZ$47</f>
        <v>0</v>
      </c>
      <c r="J28" s="12">
        <f>'Other Major Airline Stats'!K28</f>
        <v>241793</v>
      </c>
      <c r="K28" s="372">
        <f>SUM(B28:J28)</f>
        <v>763975</v>
      </c>
    </row>
    <row r="29" spans="1:11" x14ac:dyDescent="0.2">
      <c r="A29" s="38" t="s">
        <v>38</v>
      </c>
      <c r="B29" s="7">
        <f>[3]American!$GZ$48</f>
        <v>30310</v>
      </c>
      <c r="C29" s="7">
        <f>[3]Delta!$GZ$48</f>
        <v>110654</v>
      </c>
      <c r="D29" s="7">
        <f>[3]United!$GZ$48</f>
        <v>2807</v>
      </c>
      <c r="E29" s="7">
        <f>[3]Spirit!$GZ$48</f>
        <v>0</v>
      </c>
      <c r="F29" s="7">
        <f>[3]Condor!$GZ$48</f>
        <v>0</v>
      </c>
      <c r="G29" s="7">
        <f>'[3]Air France'!$GZ$48</f>
        <v>0</v>
      </c>
      <c r="H29" s="7">
        <f>'[3]Jet Blue'!$GZ$48</f>
        <v>0</v>
      </c>
      <c r="I29" s="7">
        <f>[3]KLM!$GZ$48</f>
        <v>0</v>
      </c>
      <c r="J29" s="7">
        <f>'Other Major Airline Stats'!K29</f>
        <v>167443</v>
      </c>
      <c r="K29" s="373">
        <f>SUM(B29:J29)</f>
        <v>311214</v>
      </c>
    </row>
    <row r="30" spans="1:11" x14ac:dyDescent="0.2">
      <c r="A30" s="42" t="s">
        <v>39</v>
      </c>
      <c r="B30" s="189">
        <f t="shared" ref="B30:J30" si="15">SUM(B28:B29)</f>
        <v>43177</v>
      </c>
      <c r="C30" s="189">
        <f t="shared" si="15"/>
        <v>602841</v>
      </c>
      <c r="D30" s="189">
        <f t="shared" si="15"/>
        <v>19935</v>
      </c>
      <c r="E30" s="189">
        <f t="shared" si="15"/>
        <v>0</v>
      </c>
      <c r="F30" s="189">
        <f t="shared" ref="F30:I30" si="16">SUM(F28:F29)</f>
        <v>0</v>
      </c>
      <c r="G30" s="189">
        <f t="shared" si="16"/>
        <v>0</v>
      </c>
      <c r="H30" s="189">
        <f t="shared" ref="H30" si="17">SUM(H28:H29)</f>
        <v>0</v>
      </c>
      <c r="I30" s="189">
        <f t="shared" si="16"/>
        <v>0</v>
      </c>
      <c r="J30" s="189">
        <f t="shared" si="15"/>
        <v>409236</v>
      </c>
      <c r="K30" s="372">
        <f>SUM(B30:J30)</f>
        <v>1075189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2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2">
        <f t="shared" ref="K32:K40" si="18">SUM(B32:J32)</f>
        <v>0</v>
      </c>
    </row>
    <row r="33" spans="1:11" x14ac:dyDescent="0.2">
      <c r="A33" s="38" t="s">
        <v>37</v>
      </c>
      <c r="B33" s="12">
        <f>[3]American!$GZ$52</f>
        <v>4273</v>
      </c>
      <c r="C33" s="12">
        <f>[3]Delta!$GZ$52</f>
        <v>234313</v>
      </c>
      <c r="D33" s="12">
        <f>[3]United!$GZ$52</f>
        <v>2296</v>
      </c>
      <c r="E33" s="12">
        <f>[3]Spirit!$GZ$52</f>
        <v>0</v>
      </c>
      <c r="F33" s="12">
        <f>[3]Condor!$GZ$52</f>
        <v>0</v>
      </c>
      <c r="G33" s="12">
        <f>'[3]Air France'!$GZ$52</f>
        <v>0</v>
      </c>
      <c r="H33" s="12">
        <f>'[3]Jet Blue'!$GZ$52</f>
        <v>0</v>
      </c>
      <c r="I33" s="12">
        <f>[3]KLM!$GZ$52</f>
        <v>0</v>
      </c>
      <c r="J33" s="12">
        <f>'Other Major Airline Stats'!K33</f>
        <v>76115</v>
      </c>
      <c r="K33" s="372">
        <f t="shared" si="18"/>
        <v>316997</v>
      </c>
    </row>
    <row r="34" spans="1:11" x14ac:dyDescent="0.2">
      <c r="A34" s="38" t="s">
        <v>38</v>
      </c>
      <c r="B34" s="7">
        <f>[3]American!$GZ$53</f>
        <v>62173</v>
      </c>
      <c r="C34" s="7">
        <f>[3]Delta!$GZ$53</f>
        <v>1052565</v>
      </c>
      <c r="D34" s="7">
        <f>[3]United!$GZ$53</f>
        <v>14483</v>
      </c>
      <c r="E34" s="7">
        <f>[3]Spirit!$GZ$53</f>
        <v>0</v>
      </c>
      <c r="F34" s="7">
        <f>[3]Condor!$GZ$53</f>
        <v>0</v>
      </c>
      <c r="G34" s="7">
        <f>'[3]Air France'!$GZ$53</f>
        <v>0</v>
      </c>
      <c r="H34" s="7">
        <f>'[3]Jet Blue'!$GZ$53</f>
        <v>0</v>
      </c>
      <c r="I34" s="7">
        <f>[3]KLM!$GZ$53</f>
        <v>0</v>
      </c>
      <c r="J34" s="7">
        <f>'Other Major Airline Stats'!K34</f>
        <v>199051</v>
      </c>
      <c r="K34" s="373">
        <f t="shared" si="18"/>
        <v>1328272</v>
      </c>
    </row>
    <row r="35" spans="1:11" x14ac:dyDescent="0.2">
      <c r="A35" s="42" t="s">
        <v>41</v>
      </c>
      <c r="B35" s="189">
        <f t="shared" ref="B35:J35" si="19">SUM(B33:B34)</f>
        <v>66446</v>
      </c>
      <c r="C35" s="189">
        <f t="shared" si="19"/>
        <v>1286878</v>
      </c>
      <c r="D35" s="189">
        <f t="shared" si="19"/>
        <v>16779</v>
      </c>
      <c r="E35" s="189">
        <f t="shared" si="19"/>
        <v>0</v>
      </c>
      <c r="F35" s="189">
        <f t="shared" ref="F35:I35" si="20">SUM(F33:F34)</f>
        <v>0</v>
      </c>
      <c r="G35" s="189">
        <f t="shared" si="20"/>
        <v>0</v>
      </c>
      <c r="H35" s="189">
        <f t="shared" ref="H35" si="21">SUM(H33:H34)</f>
        <v>0</v>
      </c>
      <c r="I35" s="189">
        <f t="shared" si="20"/>
        <v>0</v>
      </c>
      <c r="J35" s="189">
        <f t="shared" si="19"/>
        <v>275166</v>
      </c>
      <c r="K35" s="372">
        <f t="shared" si="18"/>
        <v>1645269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2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2">
        <f t="shared" si="18"/>
        <v>0</v>
      </c>
    </row>
    <row r="38" spans="1:11" hidden="1" x14ac:dyDescent="0.2">
      <c r="A38" s="38" t="s">
        <v>37</v>
      </c>
      <c r="B38" s="12">
        <f>[3]American!$GZ$57</f>
        <v>0</v>
      </c>
      <c r="C38" s="12">
        <f>[3]Delta!$GZ$57</f>
        <v>0</v>
      </c>
      <c r="D38" s="12">
        <f>[3]United!$GZ$57</f>
        <v>0</v>
      </c>
      <c r="E38" s="12">
        <f>[3]Spirit!$GZ$57</f>
        <v>0</v>
      </c>
      <c r="F38" s="12">
        <f>[3]Condor!$GZ$57</f>
        <v>0</v>
      </c>
      <c r="G38" s="12">
        <f>'[3]Air France'!$GZ$57</f>
        <v>0</v>
      </c>
      <c r="H38" s="12">
        <f>'[3]Jet Blue'!$GZ$57</f>
        <v>0</v>
      </c>
      <c r="I38" s="12">
        <f>[3]KLM!$GZ$57</f>
        <v>0</v>
      </c>
      <c r="J38" s="12">
        <f>'Other Major Airline Stats'!K38</f>
        <v>0</v>
      </c>
      <c r="K38" s="372">
        <f t="shared" si="18"/>
        <v>0</v>
      </c>
    </row>
    <row r="39" spans="1:11" hidden="1" x14ac:dyDescent="0.2">
      <c r="A39" s="38" t="s">
        <v>38</v>
      </c>
      <c r="B39" s="7">
        <f>[3]American!$GZ$58</f>
        <v>0</v>
      </c>
      <c r="C39" s="7">
        <f>[3]Delta!$GZ$58</f>
        <v>0</v>
      </c>
      <c r="D39" s="7">
        <f>[3]United!$GZ$58</f>
        <v>0</v>
      </c>
      <c r="E39" s="7">
        <f>[3]Spirit!$GZ$58</f>
        <v>0</v>
      </c>
      <c r="F39" s="7">
        <f>[3]Condor!$GZ$58</f>
        <v>0</v>
      </c>
      <c r="G39" s="7">
        <f>'[3]Air France'!$GZ$58</f>
        <v>0</v>
      </c>
      <c r="H39" s="7">
        <f>'[3]Jet Blue'!$GZ$58</f>
        <v>0</v>
      </c>
      <c r="I39" s="7">
        <f>[3]KLM!$GZ$58</f>
        <v>0</v>
      </c>
      <c r="J39" s="7">
        <f>'Other Major Airline Stats'!K39</f>
        <v>0</v>
      </c>
      <c r="K39" s="373">
        <f t="shared" si="18"/>
        <v>0</v>
      </c>
    </row>
    <row r="40" spans="1:11" hidden="1" x14ac:dyDescent="0.2">
      <c r="A40" s="42" t="s">
        <v>43</v>
      </c>
      <c r="B40" s="189">
        <f t="shared" ref="B40:J40" si="22">SUM(B38:B39)</f>
        <v>0</v>
      </c>
      <c r="C40" s="189">
        <f t="shared" si="22"/>
        <v>0</v>
      </c>
      <c r="D40" s="189">
        <f t="shared" si="22"/>
        <v>0</v>
      </c>
      <c r="E40" s="189">
        <f t="shared" si="22"/>
        <v>0</v>
      </c>
      <c r="F40" s="189">
        <f t="shared" ref="F40:I40" si="23">SUM(F38:F39)</f>
        <v>0</v>
      </c>
      <c r="G40" s="189">
        <f t="shared" si="23"/>
        <v>0</v>
      </c>
      <c r="H40" s="189">
        <f t="shared" ref="H40" si="24">SUM(H38:H39)</f>
        <v>0</v>
      </c>
      <c r="I40" s="189">
        <f t="shared" si="23"/>
        <v>0</v>
      </c>
      <c r="J40" s="189">
        <f t="shared" si="22"/>
        <v>0</v>
      </c>
      <c r="K40" s="372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2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2">
        <f>SUM(B42:J42)</f>
        <v>0</v>
      </c>
    </row>
    <row r="43" spans="1:11" x14ac:dyDescent="0.2">
      <c r="A43" s="38" t="s">
        <v>45</v>
      </c>
      <c r="B43" s="12">
        <f t="shared" ref="B43:J44" si="25">B28+B33+B38</f>
        <v>17140</v>
      </c>
      <c r="C43" s="12">
        <f t="shared" si="25"/>
        <v>726500</v>
      </c>
      <c r="D43" s="12">
        <f t="shared" si="25"/>
        <v>19424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317908</v>
      </c>
      <c r="K43" s="372">
        <f>SUM(B43:J43)</f>
        <v>1080972</v>
      </c>
    </row>
    <row r="44" spans="1:11" x14ac:dyDescent="0.2">
      <c r="A44" s="38" t="s">
        <v>38</v>
      </c>
      <c r="B44" s="7">
        <f t="shared" si="25"/>
        <v>92483</v>
      </c>
      <c r="C44" s="7">
        <f t="shared" si="25"/>
        <v>1163219</v>
      </c>
      <c r="D44" s="7">
        <f t="shared" si="25"/>
        <v>17290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366494</v>
      </c>
      <c r="K44" s="372">
        <f>SUM(B44:J44)</f>
        <v>1639486</v>
      </c>
    </row>
    <row r="45" spans="1:11" ht="15.75" thickBot="1" x14ac:dyDescent="0.3">
      <c r="A45" s="39" t="s">
        <v>46</v>
      </c>
      <c r="B45" s="190">
        <f t="shared" ref="B45:J45" si="30">SUM(B43:B44)</f>
        <v>109623</v>
      </c>
      <c r="C45" s="190">
        <f t="shared" si="30"/>
        <v>1889719</v>
      </c>
      <c r="D45" s="190">
        <f t="shared" si="30"/>
        <v>36714</v>
      </c>
      <c r="E45" s="190">
        <f t="shared" si="30"/>
        <v>0</v>
      </c>
      <c r="F45" s="190">
        <f t="shared" ref="F45:I45" si="31">SUM(F43:F44)</f>
        <v>0</v>
      </c>
      <c r="G45" s="190">
        <f t="shared" si="31"/>
        <v>0</v>
      </c>
      <c r="H45" s="190">
        <f t="shared" ref="H45" si="32">SUM(H43:H44)</f>
        <v>0</v>
      </c>
      <c r="I45" s="190">
        <f t="shared" si="31"/>
        <v>0</v>
      </c>
      <c r="J45" s="190">
        <f t="shared" si="30"/>
        <v>684402</v>
      </c>
      <c r="K45" s="380">
        <f>SUM(B45:J45)</f>
        <v>2720458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4" t="s">
        <v>122</v>
      </c>
      <c r="C47" s="213">
        <f>[3]Delta!$GZ$70+[3]Delta!$GZ$73</f>
        <v>115322</v>
      </c>
      <c r="D47" s="201"/>
      <c r="E47" s="201"/>
      <c r="F47" s="201"/>
      <c r="G47" s="201"/>
      <c r="H47" s="201"/>
      <c r="I47" s="201"/>
      <c r="J47" s="201"/>
      <c r="K47" s="202">
        <f>SUM(B47:J47)</f>
        <v>115322</v>
      </c>
    </row>
    <row r="48" spans="1:11" hidden="1" x14ac:dyDescent="0.2">
      <c r="A48" s="255" t="s">
        <v>123</v>
      </c>
      <c r="C48" s="213">
        <f>[3]Delta!$GZ$71+[3]Delta!$GZ$74</f>
        <v>99898</v>
      </c>
      <c r="D48" s="201"/>
      <c r="E48" s="201"/>
      <c r="F48" s="201"/>
      <c r="G48" s="201"/>
      <c r="H48" s="201"/>
      <c r="I48" s="201"/>
      <c r="J48" s="201"/>
      <c r="K48" s="202">
        <f>SUM(B48:J48)</f>
        <v>99898</v>
      </c>
    </row>
    <row r="49" spans="1:11" hidden="1" x14ac:dyDescent="0.2">
      <c r="A49" s="256" t="s">
        <v>124</v>
      </c>
      <c r="C49" s="214">
        <f>SUM(C47:C48)</f>
        <v>215220</v>
      </c>
      <c r="K49" s="202">
        <f>SUM(B49:J49)</f>
        <v>215220</v>
      </c>
    </row>
    <row r="50" spans="1:11" x14ac:dyDescent="0.2">
      <c r="A50" s="254" t="s">
        <v>122</v>
      </c>
      <c r="B50" s="264"/>
      <c r="C50" s="216">
        <f>[3]Delta!$GZ$70+[3]Delta!$GZ$73</f>
        <v>115322</v>
      </c>
      <c r="D50" s="264"/>
      <c r="E50" s="216">
        <f>[3]Spirit!$GZ$70+[3]Spirit!$GZ$73</f>
        <v>0</v>
      </c>
      <c r="F50" s="264"/>
      <c r="G50" s="264"/>
      <c r="H50" s="264"/>
      <c r="I50" s="264"/>
      <c r="J50" s="215">
        <f>'Other Major Airline Stats'!K48</f>
        <v>78914</v>
      </c>
      <c r="K50" s="205">
        <f>SUM(B50:J50)</f>
        <v>194236</v>
      </c>
    </row>
    <row r="51" spans="1:11" x14ac:dyDescent="0.2">
      <c r="A51" s="266" t="s">
        <v>123</v>
      </c>
      <c r="B51" s="264"/>
      <c r="C51" s="216">
        <f>[3]Delta!$GZ$71+[3]Delta!$GZ$74</f>
        <v>99898</v>
      </c>
      <c r="D51" s="264"/>
      <c r="E51" s="216">
        <f>[3]Spirit!$GZ$71+[3]Spirit!$GZ$74</f>
        <v>0</v>
      </c>
      <c r="F51" s="264"/>
      <c r="G51" s="264"/>
      <c r="H51" s="264"/>
      <c r="I51" s="264"/>
      <c r="J51" s="215">
        <f>+'Other Major Airline Stats'!K49</f>
        <v>23</v>
      </c>
      <c r="K51" s="205">
        <f>SUM(B51:J51)</f>
        <v>99921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M16" sqref="M1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257">
        <v>44136</v>
      </c>
      <c r="B2" s="428" t="s">
        <v>47</v>
      </c>
      <c r="C2" s="430" t="s">
        <v>179</v>
      </c>
      <c r="D2" s="430" t="s">
        <v>241</v>
      </c>
      <c r="E2" s="430" t="s">
        <v>211</v>
      </c>
      <c r="F2" s="430" t="s">
        <v>224</v>
      </c>
      <c r="G2" s="428" t="s">
        <v>48</v>
      </c>
      <c r="H2" s="430" t="s">
        <v>130</v>
      </c>
      <c r="I2" s="430" t="s">
        <v>49</v>
      </c>
      <c r="J2" s="430" t="s">
        <v>129</v>
      </c>
      <c r="K2" s="113" t="s">
        <v>61</v>
      </c>
    </row>
    <row r="3" spans="1:14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381"/>
    </row>
    <row r="4" spans="1:14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382"/>
    </row>
    <row r="5" spans="1:14" x14ac:dyDescent="0.2">
      <c r="A5" s="38" t="s">
        <v>30</v>
      </c>
      <c r="B5" s="83">
        <f>[3]Frontier!$GZ$22</f>
        <v>4038</v>
      </c>
      <c r="C5" s="83">
        <f>'[3]Air Choice One'!$GZ$22</f>
        <v>97</v>
      </c>
      <c r="D5" s="83">
        <f>'[3]Boutique Air'!$GZ$22</f>
        <v>54</v>
      </c>
      <c r="E5" s="83">
        <f>'[3]Aer Lingus'!$GZ$32</f>
        <v>0</v>
      </c>
      <c r="F5" s="83">
        <f>'[3]Denver Air'!$GZ$22</f>
        <v>116</v>
      </c>
      <c r="G5" s="83">
        <f>[3]Icelandair!$GZ$32</f>
        <v>0</v>
      </c>
      <c r="H5" s="83">
        <f>[3]Southwest!$GZ$22</f>
        <v>18468</v>
      </c>
      <c r="I5" s="83">
        <f>'[3]Sun Country'!$GZ$22+'[3]Sun Country'!$GZ$32</f>
        <v>59901</v>
      </c>
      <c r="J5" s="83">
        <f>[3]Alaska!$GZ$22</f>
        <v>2814</v>
      </c>
      <c r="K5" s="383">
        <f>SUM(B5:J5)</f>
        <v>85488</v>
      </c>
      <c r="N5" s="83"/>
    </row>
    <row r="6" spans="1:14" x14ac:dyDescent="0.2">
      <c r="A6" s="38" t="s">
        <v>31</v>
      </c>
      <c r="B6" s="83">
        <f>[3]Frontier!$GZ$23</f>
        <v>3941</v>
      </c>
      <c r="C6" s="83">
        <f>'[3]Air Choice One'!$GZ$23</f>
        <v>120</v>
      </c>
      <c r="D6" s="83">
        <f>'[3]Boutique Air'!$GZ$23</f>
        <v>51</v>
      </c>
      <c r="E6" s="83">
        <f>'[3]Aer Lingus'!$GZ$33</f>
        <v>0</v>
      </c>
      <c r="F6" s="83">
        <f>'[3]Denver Air'!$GZ$23</f>
        <v>126</v>
      </c>
      <c r="G6" s="83">
        <f>[3]Icelandair!$GZ$33</f>
        <v>0</v>
      </c>
      <c r="H6" s="83">
        <f>[3]Southwest!$GZ$23</f>
        <v>19175</v>
      </c>
      <c r="I6" s="83">
        <f>'[3]Sun Country'!$GZ$23+'[3]Sun Country'!$GZ$33</f>
        <v>59762</v>
      </c>
      <c r="J6" s="83">
        <f>[3]Alaska!$GZ$23</f>
        <v>3046</v>
      </c>
      <c r="K6" s="383">
        <f>SUM(B6:J6)</f>
        <v>86221</v>
      </c>
    </row>
    <row r="7" spans="1:14" ht="15" x14ac:dyDescent="0.25">
      <c r="A7" s="36" t="s">
        <v>7</v>
      </c>
      <c r="B7" s="101">
        <f t="shared" ref="B7:J7" si="0">SUM(B5:B6)</f>
        <v>7979</v>
      </c>
      <c r="C7" s="101">
        <f t="shared" ref="C7:F7" si="1">SUM(C5:C6)</f>
        <v>217</v>
      </c>
      <c r="D7" s="101">
        <f t="shared" ref="D7" si="2">SUM(D5:D6)</f>
        <v>105</v>
      </c>
      <c r="E7" s="101">
        <f t="shared" si="1"/>
        <v>0</v>
      </c>
      <c r="F7" s="101">
        <f t="shared" si="1"/>
        <v>242</v>
      </c>
      <c r="G7" s="101">
        <f t="shared" si="0"/>
        <v>0</v>
      </c>
      <c r="H7" s="101">
        <f t="shared" si="0"/>
        <v>37643</v>
      </c>
      <c r="I7" s="101">
        <f>SUM(I5:I6)</f>
        <v>119663</v>
      </c>
      <c r="J7" s="101">
        <f t="shared" si="0"/>
        <v>5860</v>
      </c>
      <c r="K7" s="384">
        <f>SUM(B7:J7)</f>
        <v>171709</v>
      </c>
    </row>
    <row r="8" spans="1:14" x14ac:dyDescent="0.2">
      <c r="A8" s="38"/>
      <c r="B8" s="100"/>
      <c r="C8" s="100"/>
      <c r="D8" s="100"/>
      <c r="E8" s="100"/>
      <c r="F8" s="100"/>
      <c r="G8" s="100"/>
      <c r="H8" s="100"/>
      <c r="I8" s="100"/>
      <c r="J8" s="100"/>
      <c r="K8" s="383"/>
    </row>
    <row r="9" spans="1:14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100"/>
      <c r="K9" s="383"/>
    </row>
    <row r="10" spans="1:14" x14ac:dyDescent="0.2">
      <c r="A10" s="38" t="s">
        <v>30</v>
      </c>
      <c r="B10" s="100">
        <f>[3]Frontier!$GZ$27</f>
        <v>44</v>
      </c>
      <c r="C10" s="100">
        <f>'[3]Air Choice One'!$GZ$27</f>
        <v>0</v>
      </c>
      <c r="D10" s="100">
        <f>'[3]Boutique Air'!$GZ$27</f>
        <v>0</v>
      </c>
      <c r="E10" s="100">
        <f>'[3]Aer Lingus'!$GZ$37</f>
        <v>0</v>
      </c>
      <c r="F10" s="100">
        <f>'[3]Denver Air'!$GZ$27</f>
        <v>13</v>
      </c>
      <c r="G10" s="100">
        <f>[3]Icelandair!$GZ$37</f>
        <v>0</v>
      </c>
      <c r="H10" s="100">
        <f>[3]Southwest!$GZ$27</f>
        <v>751</v>
      </c>
      <c r="I10" s="100">
        <f>'[3]Sun Country'!$GZ$27+'[3]Sun Country'!$GZ$37</f>
        <v>1162</v>
      </c>
      <c r="J10" s="100">
        <f>[3]Alaska!$GZ$27</f>
        <v>184</v>
      </c>
      <c r="K10" s="383">
        <f>SUM(B10:J10)</f>
        <v>2154</v>
      </c>
    </row>
    <row r="11" spans="1:14" x14ac:dyDescent="0.2">
      <c r="A11" s="38" t="s">
        <v>33</v>
      </c>
      <c r="B11" s="102">
        <f>[3]Frontier!$GZ$28</f>
        <v>50</v>
      </c>
      <c r="C11" s="102">
        <f>'[3]Air Choice One'!$GZ$28</f>
        <v>0</v>
      </c>
      <c r="D11" s="102">
        <f>'[3]Boutique Air'!$GZ$28</f>
        <v>0</v>
      </c>
      <c r="E11" s="102">
        <f>'[3]Aer Lingus'!$GZ$38</f>
        <v>0</v>
      </c>
      <c r="F11" s="102">
        <f>'[3]Denver Air'!$GZ$28</f>
        <v>7</v>
      </c>
      <c r="G11" s="102">
        <f>[3]Icelandair!$GZ$38</f>
        <v>0</v>
      </c>
      <c r="H11" s="102">
        <f>[3]Southwest!$GZ$28</f>
        <v>856</v>
      </c>
      <c r="I11" s="102">
        <f>'[3]Sun Country'!$GZ$28+'[3]Sun Country'!$GZ$38</f>
        <v>1216</v>
      </c>
      <c r="J11" s="102">
        <f>[3]Alaska!$GZ$28</f>
        <v>238</v>
      </c>
      <c r="K11" s="383">
        <f>SUM(B11:J11)</f>
        <v>2367</v>
      </c>
    </row>
    <row r="12" spans="1:14" ht="15.75" thickBot="1" x14ac:dyDescent="0.3">
      <c r="A12" s="39" t="s">
        <v>34</v>
      </c>
      <c r="B12" s="99">
        <f t="shared" ref="B12:J12" si="3">SUM(B10:B11)</f>
        <v>94</v>
      </c>
      <c r="C12" s="99">
        <f t="shared" ref="C12:F12" si="4">SUM(C10:C11)</f>
        <v>0</v>
      </c>
      <c r="D12" s="99">
        <f t="shared" ref="D12" si="5">SUM(D10:D11)</f>
        <v>0</v>
      </c>
      <c r="E12" s="99">
        <f t="shared" si="4"/>
        <v>0</v>
      </c>
      <c r="F12" s="99">
        <f t="shared" si="4"/>
        <v>20</v>
      </c>
      <c r="G12" s="99">
        <f t="shared" si="3"/>
        <v>0</v>
      </c>
      <c r="H12" s="99">
        <f t="shared" si="3"/>
        <v>1607</v>
      </c>
      <c r="I12" s="99">
        <f>SUM(I10:I11)</f>
        <v>2378</v>
      </c>
      <c r="J12" s="99">
        <f t="shared" si="3"/>
        <v>422</v>
      </c>
      <c r="K12" s="385">
        <f>SUM(B12:J12)</f>
        <v>4521</v>
      </c>
      <c r="N12" s="83"/>
    </row>
    <row r="13" spans="1:14" ht="15" x14ac:dyDescent="0.25">
      <c r="A13" s="35"/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spans="1:14" ht="13.5" thickBot="1" x14ac:dyDescent="0.25"/>
    <row r="15" spans="1:14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386"/>
    </row>
    <row r="16" spans="1:14" x14ac:dyDescent="0.2">
      <c r="A16" s="38" t="s">
        <v>22</v>
      </c>
      <c r="B16" s="83">
        <f>[3]Frontier!$GZ$4</f>
        <v>38</v>
      </c>
      <c r="C16" s="76">
        <f>'[3]Air Choice One'!$GZ$4</f>
        <v>66</v>
      </c>
      <c r="D16" s="76">
        <f>'[3]Boutique Air'!$GZ$4</f>
        <v>25</v>
      </c>
      <c r="E16" s="83">
        <f>'[3]Aer Lingus'!$GZ$15</f>
        <v>0</v>
      </c>
      <c r="F16" s="76">
        <f>'[3]Denver Air'!$GZ$4</f>
        <v>53</v>
      </c>
      <c r="G16" s="83">
        <f>[3]Icelandair!$GZ$15</f>
        <v>0</v>
      </c>
      <c r="H16" s="76">
        <f>[3]Southwest!$GZ$4</f>
        <v>276</v>
      </c>
      <c r="I16" s="83">
        <f>'[3]Sun Country'!$GZ$4+'[3]Sun Country'!$GZ$15</f>
        <v>544</v>
      </c>
      <c r="J16" s="83">
        <f>[3]Alaska!$GZ$4</f>
        <v>59</v>
      </c>
      <c r="K16" s="383">
        <f>SUM(B16:J16)</f>
        <v>1061</v>
      </c>
    </row>
    <row r="17" spans="1:258" x14ac:dyDescent="0.2">
      <c r="A17" s="38" t="s">
        <v>23</v>
      </c>
      <c r="B17" s="83">
        <f>[3]Frontier!$GZ$5</f>
        <v>38</v>
      </c>
      <c r="C17" s="76">
        <f>'[3]Air Choice One'!$GZ$5</f>
        <v>66</v>
      </c>
      <c r="D17" s="76">
        <f>'[3]Boutique Air'!$GZ$5</f>
        <v>25</v>
      </c>
      <c r="E17" s="83">
        <f>'[3]Aer Lingus'!$GZ$16</f>
        <v>0</v>
      </c>
      <c r="F17" s="76">
        <f>'[3]Denver Air'!$GZ$5</f>
        <v>53</v>
      </c>
      <c r="G17" s="83">
        <f>[3]Icelandair!$GZ$16</f>
        <v>0</v>
      </c>
      <c r="H17" s="76">
        <f>[3]Southwest!$GZ$5</f>
        <v>277</v>
      </c>
      <c r="I17" s="83">
        <f>'[3]Sun Country'!$GZ$5+'[3]Sun Country'!$GZ$16</f>
        <v>535</v>
      </c>
      <c r="J17" s="83">
        <f>[3]Alaska!$GZ$5</f>
        <v>60</v>
      </c>
      <c r="K17" s="383">
        <f>SUM(B17:J17)</f>
        <v>1054</v>
      </c>
    </row>
    <row r="18" spans="1:258" x14ac:dyDescent="0.2">
      <c r="A18" s="42" t="s">
        <v>24</v>
      </c>
      <c r="B18" s="98">
        <f t="shared" ref="B18:J18" si="6">SUM(B16:B17)</f>
        <v>76</v>
      </c>
      <c r="C18" s="98">
        <f t="shared" ref="C18:F18" si="7">SUM(C16:C17)</f>
        <v>132</v>
      </c>
      <c r="D18" s="98">
        <f t="shared" ref="D18" si="8">SUM(D16:D17)</f>
        <v>50</v>
      </c>
      <c r="E18" s="98">
        <f t="shared" si="7"/>
        <v>0</v>
      </c>
      <c r="F18" s="98">
        <f t="shared" si="7"/>
        <v>106</v>
      </c>
      <c r="G18" s="98">
        <f t="shared" si="6"/>
        <v>0</v>
      </c>
      <c r="H18" s="98">
        <f t="shared" si="6"/>
        <v>553</v>
      </c>
      <c r="I18" s="98">
        <f t="shared" si="6"/>
        <v>1079</v>
      </c>
      <c r="J18" s="98">
        <f t="shared" si="6"/>
        <v>119</v>
      </c>
      <c r="K18" s="387">
        <f>SUM(B18:J18)</f>
        <v>2115</v>
      </c>
    </row>
    <row r="19" spans="1:258" x14ac:dyDescent="0.2">
      <c r="A19" s="42"/>
      <c r="B19" s="82"/>
      <c r="C19" s="82"/>
      <c r="D19" s="82"/>
      <c r="E19" s="82"/>
      <c r="F19" s="82"/>
      <c r="G19" s="82"/>
      <c r="H19" s="82"/>
      <c r="I19" s="82"/>
      <c r="J19" s="82"/>
      <c r="K19" s="383"/>
    </row>
    <row r="20" spans="1:258" x14ac:dyDescent="0.2">
      <c r="A20" s="38" t="s">
        <v>25</v>
      </c>
      <c r="B20" s="83">
        <f>[3]Frontier!$GZ$8</f>
        <v>0</v>
      </c>
      <c r="C20" s="83">
        <f>'[3]Air Choice One'!$GZ$8</f>
        <v>0</v>
      </c>
      <c r="D20" s="83">
        <f>'[3]Boutique Air'!$GZ$8</f>
        <v>0</v>
      </c>
      <c r="E20" s="83">
        <f>'[3]Aer Lingus'!$GZ$8</f>
        <v>0</v>
      </c>
      <c r="F20" s="83">
        <f>'[3]Denver Air'!$GZ$8</f>
        <v>0</v>
      </c>
      <c r="G20" s="83">
        <f>[3]Icelandair!$GZ$8</f>
        <v>0</v>
      </c>
      <c r="H20" s="83">
        <f>[3]Southwest!$GZ$8</f>
        <v>0</v>
      </c>
      <c r="I20" s="83">
        <f>'[3]Sun Country'!$GZ$8</f>
        <v>98</v>
      </c>
      <c r="J20" s="83">
        <f>[3]Alaska!$GZ$8</f>
        <v>0</v>
      </c>
      <c r="K20" s="383">
        <f>SUM(B20:J20)</f>
        <v>98</v>
      </c>
    </row>
    <row r="21" spans="1:258" x14ac:dyDescent="0.2">
      <c r="A21" s="38" t="s">
        <v>26</v>
      </c>
      <c r="B21" s="83">
        <f>[3]Frontier!$GZ$9</f>
        <v>0</v>
      </c>
      <c r="C21" s="83">
        <f>'[3]Air Choice One'!$GZ$9</f>
        <v>0</v>
      </c>
      <c r="D21" s="83">
        <f>'[3]Boutique Air'!$GZ$9</f>
        <v>0</v>
      </c>
      <c r="E21" s="83">
        <f>'[3]Aer Lingus'!$GZ$9</f>
        <v>0</v>
      </c>
      <c r="F21" s="83">
        <f>'[3]Denver Air'!$GZ$9</f>
        <v>0</v>
      </c>
      <c r="G21" s="83">
        <f>[3]Icelandair!$GZ$9</f>
        <v>0</v>
      </c>
      <c r="H21" s="83">
        <f>[3]Southwest!$GZ$9</f>
        <v>0</v>
      </c>
      <c r="I21" s="83">
        <f>'[3]Sun Country'!$GZ$9</f>
        <v>94</v>
      </c>
      <c r="J21" s="83">
        <f>[3]Alaska!$GZ$9</f>
        <v>0</v>
      </c>
      <c r="K21" s="383">
        <f>SUM(B21:J21)</f>
        <v>94</v>
      </c>
    </row>
    <row r="22" spans="1:258" x14ac:dyDescent="0.2">
      <c r="A22" s="42" t="s">
        <v>27</v>
      </c>
      <c r="B22" s="98">
        <f t="shared" ref="B22:J22" si="9">SUM(B20:B21)</f>
        <v>0</v>
      </c>
      <c r="C22" s="98">
        <f t="shared" ref="C22:F22" si="10">SUM(C20:C21)</f>
        <v>0</v>
      </c>
      <c r="D22" s="98">
        <f t="shared" ref="D22" si="11">SUM(D20:D21)</f>
        <v>0</v>
      </c>
      <c r="E22" s="98">
        <f t="shared" si="10"/>
        <v>0</v>
      </c>
      <c r="F22" s="98">
        <f t="shared" si="10"/>
        <v>0</v>
      </c>
      <c r="G22" s="98">
        <f t="shared" si="9"/>
        <v>0</v>
      </c>
      <c r="H22" s="98">
        <f t="shared" si="9"/>
        <v>0</v>
      </c>
      <c r="I22" s="98">
        <f t="shared" si="9"/>
        <v>192</v>
      </c>
      <c r="J22" s="98">
        <f t="shared" si="9"/>
        <v>0</v>
      </c>
      <c r="K22" s="387">
        <f>SUM(B22:J22)</f>
        <v>192</v>
      </c>
    </row>
    <row r="23" spans="1:258" ht="15.75" thickBot="1" x14ac:dyDescent="0.3">
      <c r="A23" s="39" t="s">
        <v>28</v>
      </c>
      <c r="B23" s="99">
        <f t="shared" ref="B23:J23" si="12">B22+B18</f>
        <v>76</v>
      </c>
      <c r="C23" s="99">
        <f t="shared" ref="C23:F23" si="13">C22+C18</f>
        <v>132</v>
      </c>
      <c r="D23" s="99">
        <f t="shared" ref="D23" si="14">D22+D18</f>
        <v>50</v>
      </c>
      <c r="E23" s="99">
        <f t="shared" si="13"/>
        <v>0</v>
      </c>
      <c r="F23" s="99">
        <f t="shared" si="13"/>
        <v>106</v>
      </c>
      <c r="G23" s="99">
        <f t="shared" si="12"/>
        <v>0</v>
      </c>
      <c r="H23" s="99">
        <f t="shared" si="12"/>
        <v>553</v>
      </c>
      <c r="I23" s="99">
        <f t="shared" si="12"/>
        <v>1271</v>
      </c>
      <c r="J23" s="99">
        <f t="shared" si="12"/>
        <v>119</v>
      </c>
      <c r="K23" s="388">
        <f>SUM(B23:J23)</f>
        <v>2307</v>
      </c>
    </row>
    <row r="24" spans="1:258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288"/>
      <c r="K25" s="83"/>
    </row>
    <row r="26" spans="1:258" ht="15.75" thickTop="1" x14ac:dyDescent="0.25">
      <c r="A26" s="41" t="s">
        <v>35</v>
      </c>
      <c r="B26" s="103"/>
      <c r="C26" s="103"/>
      <c r="D26" s="433"/>
      <c r="E26" s="103"/>
      <c r="F26" s="433"/>
      <c r="G26" s="103"/>
      <c r="H26" s="103"/>
      <c r="I26" s="103"/>
      <c r="J26" s="103"/>
      <c r="K26" s="389"/>
    </row>
    <row r="27" spans="1:258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382"/>
    </row>
    <row r="28" spans="1:258" x14ac:dyDescent="0.2">
      <c r="A28" s="38" t="s">
        <v>37</v>
      </c>
      <c r="B28" s="83">
        <f>[3]Frontier!$GZ$47</f>
        <v>0</v>
      </c>
      <c r="C28" s="83">
        <f>'[3]Air Choice One'!$GZ$47</f>
        <v>0</v>
      </c>
      <c r="D28" s="83">
        <f>'[3]Boutique Air'!$GZ$47</f>
        <v>0</v>
      </c>
      <c r="E28" s="83">
        <f>'[3]Aer Lingus'!$GZ$47</f>
        <v>0</v>
      </c>
      <c r="F28" s="83">
        <f>'[3]Denver Air'!$GZ$47</f>
        <v>0</v>
      </c>
      <c r="G28" s="83">
        <f>[3]Icelandair!$GZ$47</f>
        <v>0</v>
      </c>
      <c r="H28" s="83">
        <f>[3]Southwest!$GZ$47</f>
        <v>215588</v>
      </c>
      <c r="I28" s="83">
        <f>'[3]Sun Country'!$GZ$47</f>
        <v>9455</v>
      </c>
      <c r="J28" s="83">
        <f>[3]Alaska!$GZ$47</f>
        <v>16750</v>
      </c>
      <c r="K28" s="383">
        <f>SUM(B28:J28)</f>
        <v>241793</v>
      </c>
    </row>
    <row r="29" spans="1:258" x14ac:dyDescent="0.2">
      <c r="A29" s="38" t="s">
        <v>38</v>
      </c>
      <c r="B29" s="83">
        <f>[3]Frontier!$GZ$48</f>
        <v>0</v>
      </c>
      <c r="C29" s="83">
        <f>'[3]Air Choice One'!$GZ$48</f>
        <v>0</v>
      </c>
      <c r="D29" s="83">
        <f>'[3]Boutique Air'!$GZ$48</f>
        <v>0</v>
      </c>
      <c r="E29" s="83">
        <f>'[3]Aer Lingus'!$GZ$48</f>
        <v>0</v>
      </c>
      <c r="F29" s="83">
        <f>'[3]Denver Air'!$GZ$48</f>
        <v>0</v>
      </c>
      <c r="G29" s="83">
        <f>[3]Icelandair!$GZ$48</f>
        <v>0</v>
      </c>
      <c r="H29" s="83">
        <f>[3]Southwest!$GZ$48</f>
        <v>0</v>
      </c>
      <c r="I29" s="83">
        <f>'[3]Sun Country'!$GZ$48</f>
        <v>167443</v>
      </c>
      <c r="J29" s="83">
        <f>[3]Alaska!$GZ$48</f>
        <v>0</v>
      </c>
      <c r="K29" s="383">
        <f>SUM(B29:J29)</f>
        <v>167443</v>
      </c>
    </row>
    <row r="30" spans="1:258" x14ac:dyDescent="0.2">
      <c r="A30" s="42" t="s">
        <v>39</v>
      </c>
      <c r="B30" s="105">
        <f t="shared" ref="B30:J30" si="15">SUM(B28:B29)</f>
        <v>0</v>
      </c>
      <c r="C30" s="105">
        <f t="shared" ref="C30:F30" si="16">SUM(C28:C29)</f>
        <v>0</v>
      </c>
      <c r="D30" s="105">
        <f t="shared" ref="D30" si="17">SUM(D28:D29)</f>
        <v>0</v>
      </c>
      <c r="E30" s="105">
        <f t="shared" si="16"/>
        <v>0</v>
      </c>
      <c r="F30" s="105">
        <f t="shared" si="16"/>
        <v>0</v>
      </c>
      <c r="G30" s="105">
        <f t="shared" si="15"/>
        <v>0</v>
      </c>
      <c r="H30" s="105">
        <f t="shared" si="15"/>
        <v>215588</v>
      </c>
      <c r="I30" s="105">
        <f t="shared" si="15"/>
        <v>176898</v>
      </c>
      <c r="J30" s="105">
        <f t="shared" si="15"/>
        <v>16750</v>
      </c>
      <c r="K30" s="390">
        <f>SUM(B30:J30)</f>
        <v>409236</v>
      </c>
    </row>
    <row r="31" spans="1:258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100"/>
      <c r="K31" s="383"/>
    </row>
    <row r="32" spans="1:258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383"/>
    </row>
    <row r="33" spans="1:11" x14ac:dyDescent="0.2">
      <c r="A33" s="38" t="s">
        <v>37</v>
      </c>
      <c r="B33" s="83">
        <f>[3]Frontier!$GZ$52</f>
        <v>0</v>
      </c>
      <c r="C33" s="83">
        <f>'[3]Air Choice One'!$GZ$52</f>
        <v>0</v>
      </c>
      <c r="D33" s="83">
        <f>'[3]Boutique Air'!$GZ$52</f>
        <v>0</v>
      </c>
      <c r="E33" s="83">
        <f>'[3]Aer Lingus'!$GZ$52</f>
        <v>0</v>
      </c>
      <c r="F33" s="83">
        <f>'[3]Denver Air'!$GZ$52</f>
        <v>0</v>
      </c>
      <c r="G33" s="83">
        <f>[3]Icelandair!$GZ$52</f>
        <v>0</v>
      </c>
      <c r="H33" s="83">
        <f>[3]Southwest!$GZ$52</f>
        <v>73394</v>
      </c>
      <c r="I33" s="83">
        <f>'[3]Sun Country'!$GZ$52</f>
        <v>0</v>
      </c>
      <c r="J33" s="83">
        <f>[3]Alaska!$GZ$52</f>
        <v>2721</v>
      </c>
      <c r="K33" s="383">
        <f>SUM(B33:J33)</f>
        <v>76115</v>
      </c>
    </row>
    <row r="34" spans="1:11" x14ac:dyDescent="0.2">
      <c r="A34" s="38" t="s">
        <v>38</v>
      </c>
      <c r="B34" s="83">
        <f>[3]Frontier!$GZ$53</f>
        <v>0</v>
      </c>
      <c r="C34" s="83">
        <f>'[3]Air Choice One'!$GZ$53</f>
        <v>0</v>
      </c>
      <c r="D34" s="83">
        <f>'[3]Boutique Air'!$GZ$53</f>
        <v>0</v>
      </c>
      <c r="E34" s="83">
        <f>'[3]Aer Lingus'!$GZ$53</f>
        <v>0</v>
      </c>
      <c r="F34" s="83">
        <f>'[3]Denver Air'!$GZ$53</f>
        <v>0</v>
      </c>
      <c r="G34" s="83">
        <f>[3]Icelandair!$GZ$53</f>
        <v>0</v>
      </c>
      <c r="H34" s="83">
        <f>[3]Southwest!$GZ$53</f>
        <v>0</v>
      </c>
      <c r="I34" s="83">
        <f>'[3]Sun Country'!$GZ$53</f>
        <v>197187</v>
      </c>
      <c r="J34" s="83">
        <f>[3]Alaska!$GZ$53</f>
        <v>1864</v>
      </c>
      <c r="K34" s="391">
        <f>SUM(B34:J34)</f>
        <v>199051</v>
      </c>
    </row>
    <row r="35" spans="1:11" x14ac:dyDescent="0.2">
      <c r="A35" s="42" t="s">
        <v>41</v>
      </c>
      <c r="B35" s="98">
        <f t="shared" ref="B35:J35" si="18">SUM(B33:B34)</f>
        <v>0</v>
      </c>
      <c r="C35" s="98">
        <f t="shared" ref="C35:F35" si="19">SUM(C33:C34)</f>
        <v>0</v>
      </c>
      <c r="D35" s="98">
        <f t="shared" ref="D35" si="20">SUM(D33:D34)</f>
        <v>0</v>
      </c>
      <c r="E35" s="98">
        <f t="shared" si="19"/>
        <v>0</v>
      </c>
      <c r="F35" s="98">
        <f t="shared" si="19"/>
        <v>0</v>
      </c>
      <c r="G35" s="98">
        <f t="shared" si="18"/>
        <v>0</v>
      </c>
      <c r="H35" s="98">
        <f t="shared" si="18"/>
        <v>73394</v>
      </c>
      <c r="I35" s="98">
        <f t="shared" si="18"/>
        <v>197187</v>
      </c>
      <c r="J35" s="98">
        <f t="shared" si="18"/>
        <v>4585</v>
      </c>
      <c r="K35" s="390">
        <f>SUM(B35:J35)</f>
        <v>275166</v>
      </c>
    </row>
    <row r="36" spans="1:11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100"/>
      <c r="K36" s="383"/>
    </row>
    <row r="37" spans="1:11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383"/>
    </row>
    <row r="38" spans="1:11" hidden="1" x14ac:dyDescent="0.2">
      <c r="A38" s="38" t="s">
        <v>37</v>
      </c>
      <c r="B38" s="100">
        <f>[3]Frontier!$GZ$57</f>
        <v>0</v>
      </c>
      <c r="C38" s="100">
        <f>'[3]Air Choice One'!$GZ$57</f>
        <v>0</v>
      </c>
      <c r="D38" s="100">
        <f>'[3]Boutique Air'!$GZ$57</f>
        <v>0</v>
      </c>
      <c r="E38" s="100">
        <f>'[3]Aer Lingus'!$GZ$57</f>
        <v>0</v>
      </c>
      <c r="F38" s="100">
        <f>'[3]Denver Air'!$GZ$57</f>
        <v>0</v>
      </c>
      <c r="G38" s="100">
        <f>[3]Icelandair!$GZ$57</f>
        <v>0</v>
      </c>
      <c r="H38" s="100">
        <f>[3]Southwest!$GZ$57</f>
        <v>0</v>
      </c>
      <c r="I38" s="100">
        <f>'[3]Sun Country'!$GZ$57</f>
        <v>0</v>
      </c>
      <c r="J38" s="100">
        <f>[3]Alaska!$GZ$57</f>
        <v>0</v>
      </c>
      <c r="K38" s="383">
        <f>SUM(B38:I38)</f>
        <v>0</v>
      </c>
    </row>
    <row r="39" spans="1:11" hidden="1" x14ac:dyDescent="0.2">
      <c r="A39" s="38" t="s">
        <v>38</v>
      </c>
      <c r="B39" s="102">
        <f>[3]Frontier!$GZ$58</f>
        <v>0</v>
      </c>
      <c r="C39" s="102">
        <f>'[3]Air Choice One'!$GZ$58</f>
        <v>0</v>
      </c>
      <c r="D39" s="102">
        <f>'[3]Boutique Air'!$GZ$58</f>
        <v>0</v>
      </c>
      <c r="E39" s="102">
        <f>'[3]Aer Lingus'!$GZ$58</f>
        <v>0</v>
      </c>
      <c r="F39" s="102">
        <f>'[3]Denver Air'!$GZ$58</f>
        <v>0</v>
      </c>
      <c r="G39" s="102">
        <f>[3]Icelandair!$GZ$58</f>
        <v>0</v>
      </c>
      <c r="H39" s="102">
        <f>[3]Southwest!$GZ$58</f>
        <v>0</v>
      </c>
      <c r="I39" s="102">
        <f>'[3]Sun Country'!$GZ$58</f>
        <v>0</v>
      </c>
      <c r="J39" s="102">
        <f>[3]Alaska!$GZ$58</f>
        <v>0</v>
      </c>
      <c r="K39" s="391">
        <f>SUM(B39:I39)</f>
        <v>0</v>
      </c>
    </row>
    <row r="40" spans="1:11" hidden="1" x14ac:dyDescent="0.2">
      <c r="A40" s="42" t="s">
        <v>43</v>
      </c>
      <c r="B40" s="106">
        <f t="shared" ref="B40:J40" si="21">SUM(B38:B39)</f>
        <v>0</v>
      </c>
      <c r="C40" s="106">
        <f t="shared" ref="C40:F40" si="22">SUM(C38:C39)</f>
        <v>0</v>
      </c>
      <c r="D40" s="106">
        <f t="shared" ref="D40" si="23">SUM(D38:D39)</f>
        <v>0</v>
      </c>
      <c r="E40" s="106">
        <f t="shared" si="22"/>
        <v>0</v>
      </c>
      <c r="F40" s="106">
        <f t="shared" si="22"/>
        <v>0</v>
      </c>
      <c r="G40" s="106">
        <f t="shared" si="21"/>
        <v>0</v>
      </c>
      <c r="H40" s="106">
        <f t="shared" si="21"/>
        <v>0</v>
      </c>
      <c r="I40" s="106">
        <f t="shared" si="21"/>
        <v>0</v>
      </c>
      <c r="J40" s="106">
        <f t="shared" si="21"/>
        <v>0</v>
      </c>
      <c r="K40" s="383">
        <f>SUM(B40:I40)</f>
        <v>0</v>
      </c>
    </row>
    <row r="41" spans="1:11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100"/>
      <c r="K41" s="383"/>
    </row>
    <row r="42" spans="1:11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383"/>
    </row>
    <row r="43" spans="1:11" x14ac:dyDescent="0.2">
      <c r="A43" s="38" t="s">
        <v>45</v>
      </c>
      <c r="B43" s="100">
        <f t="shared" ref="B43:J43" si="24">B28+B33+B38</f>
        <v>0</v>
      </c>
      <c r="C43" s="100">
        <f t="shared" ref="C43:F43" si="25">C28+C33+C38</f>
        <v>0</v>
      </c>
      <c r="D43" s="100">
        <f t="shared" ref="D43" si="26">D28+D33+D38</f>
        <v>0</v>
      </c>
      <c r="E43" s="100">
        <f t="shared" si="25"/>
        <v>0</v>
      </c>
      <c r="F43" s="100">
        <f t="shared" si="25"/>
        <v>0</v>
      </c>
      <c r="G43" s="100">
        <f t="shared" si="24"/>
        <v>0</v>
      </c>
      <c r="H43" s="100">
        <f t="shared" si="24"/>
        <v>288982</v>
      </c>
      <c r="I43" s="100">
        <f t="shared" si="24"/>
        <v>9455</v>
      </c>
      <c r="J43" s="100">
        <f t="shared" si="24"/>
        <v>19471</v>
      </c>
      <c r="K43" s="383">
        <f>SUM(B43:J43)</f>
        <v>317908</v>
      </c>
    </row>
    <row r="44" spans="1:11" x14ac:dyDescent="0.2">
      <c r="A44" s="38" t="s">
        <v>38</v>
      </c>
      <c r="B44" s="102">
        <f t="shared" ref="B44:J44" si="27">+B39+B34+B29</f>
        <v>0</v>
      </c>
      <c r="C44" s="102">
        <f t="shared" ref="C44:F44" si="28">+C39+C34+C29</f>
        <v>0</v>
      </c>
      <c r="D44" s="102">
        <f t="shared" ref="D44" si="29">+D39+D34+D29</f>
        <v>0</v>
      </c>
      <c r="E44" s="102">
        <f t="shared" si="28"/>
        <v>0</v>
      </c>
      <c r="F44" s="102">
        <f t="shared" si="28"/>
        <v>0</v>
      </c>
      <c r="G44" s="102">
        <f t="shared" si="27"/>
        <v>0</v>
      </c>
      <c r="H44" s="102">
        <f t="shared" si="27"/>
        <v>0</v>
      </c>
      <c r="I44" s="102">
        <f t="shared" si="27"/>
        <v>364630</v>
      </c>
      <c r="J44" s="102">
        <f t="shared" si="27"/>
        <v>1864</v>
      </c>
      <c r="K44" s="383">
        <f>SUM(B44:J44)</f>
        <v>366494</v>
      </c>
    </row>
    <row r="45" spans="1:11" ht="15.75" thickBot="1" x14ac:dyDescent="0.3">
      <c r="A45" s="39" t="s">
        <v>46</v>
      </c>
      <c r="B45" s="107">
        <f t="shared" ref="B45:J45" si="30">B43+B44</f>
        <v>0</v>
      </c>
      <c r="C45" s="107">
        <f t="shared" ref="C45:F45" si="31">C43+C44</f>
        <v>0</v>
      </c>
      <c r="D45" s="107">
        <f t="shared" ref="D45" si="32">D43+D44</f>
        <v>0</v>
      </c>
      <c r="E45" s="107">
        <f t="shared" si="31"/>
        <v>0</v>
      </c>
      <c r="F45" s="107">
        <f t="shared" si="31"/>
        <v>0</v>
      </c>
      <c r="G45" s="107">
        <f t="shared" si="30"/>
        <v>0</v>
      </c>
      <c r="H45" s="107">
        <f t="shared" si="30"/>
        <v>288982</v>
      </c>
      <c r="I45" s="107">
        <f t="shared" si="30"/>
        <v>374085</v>
      </c>
      <c r="J45" s="107">
        <f t="shared" si="30"/>
        <v>21335</v>
      </c>
      <c r="K45" s="392">
        <f>SUM(B45:J45)</f>
        <v>684402</v>
      </c>
    </row>
    <row r="48" spans="1:11" x14ac:dyDescent="0.2">
      <c r="A48" s="254" t="s">
        <v>122</v>
      </c>
      <c r="B48" s="264"/>
      <c r="C48" s="264"/>
      <c r="D48" s="264"/>
      <c r="E48" s="264"/>
      <c r="F48" s="264"/>
      <c r="H48" s="216">
        <f>[3]Southwest!$GZ$70+[3]Southwest!$GZ$73</f>
        <v>19152</v>
      </c>
      <c r="I48" s="216">
        <f>'[3]Sun Country'!$GZ$70+'[3]Sun Country'!$GZ$73</f>
        <v>59762</v>
      </c>
      <c r="J48" s="264"/>
      <c r="K48" s="205">
        <f>SUM(B48:J48)</f>
        <v>78914</v>
      </c>
    </row>
    <row r="49" spans="1:11" x14ac:dyDescent="0.2">
      <c r="A49" s="266" t="s">
        <v>123</v>
      </c>
      <c r="B49" s="264"/>
      <c r="C49" s="264"/>
      <c r="D49" s="264"/>
      <c r="E49" s="264"/>
      <c r="F49" s="264"/>
      <c r="H49" s="216">
        <f>[3]Southwest!$GZ$71+[3]Southwest!$GZ$74</f>
        <v>23</v>
      </c>
      <c r="I49" s="216">
        <f>'[3]Sun Country'!$GZ$71+'[3]Sun Country'!$GZ$74</f>
        <v>0</v>
      </c>
      <c r="J49" s="264"/>
      <c r="K49" s="205">
        <f>SUM(B49:J49)</f>
        <v>23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November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I15" sqref="I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2"/>
    </row>
    <row r="2" spans="1:13" ht="51.75" thickBot="1" x14ac:dyDescent="0.25">
      <c r="A2" s="257">
        <v>44136</v>
      </c>
      <c r="B2" s="431" t="s">
        <v>158</v>
      </c>
      <c r="C2" s="431" t="s">
        <v>161</v>
      </c>
      <c r="D2" s="431" t="s">
        <v>169</v>
      </c>
      <c r="E2" s="431" t="s">
        <v>168</v>
      </c>
      <c r="F2" s="431" t="s">
        <v>170</v>
      </c>
      <c r="G2" s="431" t="s">
        <v>198</v>
      </c>
      <c r="H2" s="431" t="s">
        <v>174</v>
      </c>
      <c r="I2" s="431" t="s">
        <v>181</v>
      </c>
      <c r="J2" s="431" t="s">
        <v>196</v>
      </c>
      <c r="K2" s="431" t="s">
        <v>173</v>
      </c>
      <c r="L2" s="302" t="s">
        <v>116</v>
      </c>
      <c r="M2" s="399" t="s">
        <v>21</v>
      </c>
    </row>
    <row r="3" spans="1:13" ht="15.75" thickTop="1" x14ac:dyDescent="0.25">
      <c r="A3" s="186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3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4"/>
    </row>
    <row r="5" spans="1:13" x14ac:dyDescent="0.2">
      <c r="A5" s="38" t="s">
        <v>30</v>
      </c>
      <c r="B5" s="78">
        <f>[3]Pinnacle!$GZ$22+[3]Pinnacle!$GZ$32</f>
        <v>69195</v>
      </c>
      <c r="C5" s="78">
        <f>[3]MESA_UA!$GZ$22</f>
        <v>2668</v>
      </c>
      <c r="D5" s="83">
        <f>'[3]Sky West'!$GZ$22+'[3]Sky West'!$GZ$32</f>
        <v>50155</v>
      </c>
      <c r="E5" s="83">
        <f>'[3]Sky West_UA'!$GZ$22</f>
        <v>3505</v>
      </c>
      <c r="F5" s="83">
        <f>'[3]Sky West_AS'!$GZ$22</f>
        <v>0</v>
      </c>
      <c r="G5" s="83">
        <f>'[3]Sky West_AA'!$GZ$22</f>
        <v>0</v>
      </c>
      <c r="H5" s="83">
        <f>[3]Republic!$GZ$22</f>
        <v>5065</v>
      </c>
      <c r="I5" s="83">
        <f>[3]Republic_UA!$GZ$22</f>
        <v>2485</v>
      </c>
      <c r="J5" s="83">
        <f>'[3]Sky Regional'!$GZ$32</f>
        <v>0</v>
      </c>
      <c r="K5" s="83">
        <f>'[3]American Eagle'!$GZ$22</f>
        <v>2869</v>
      </c>
      <c r="L5" s="83">
        <f>'Other Regional'!J5</f>
        <v>34</v>
      </c>
      <c r="M5" s="394">
        <f>SUM(B5:L5)</f>
        <v>135976</v>
      </c>
    </row>
    <row r="6" spans="1:13" s="6" customFormat="1" x14ac:dyDescent="0.2">
      <c r="A6" s="38" t="s">
        <v>31</v>
      </c>
      <c r="B6" s="78">
        <f>[3]Pinnacle!$GZ$23+[3]Pinnacle!$GZ$33</f>
        <v>65181</v>
      </c>
      <c r="C6" s="78">
        <f>[3]MESA_UA!$GZ$23</f>
        <v>3143</v>
      </c>
      <c r="D6" s="83">
        <f>'[3]Sky West'!$GZ$23+'[3]Sky West'!$GZ$33</f>
        <v>48070</v>
      </c>
      <c r="E6" s="83">
        <f>'[3]Sky West_UA'!$GZ$23</f>
        <v>3750</v>
      </c>
      <c r="F6" s="83">
        <f>'[3]Sky West_AS'!$GZ$23</f>
        <v>0</v>
      </c>
      <c r="G6" s="83">
        <f>'[3]Sky West_AA'!$GZ$23</f>
        <v>0</v>
      </c>
      <c r="H6" s="83">
        <f>[3]Republic!$GZ$23</f>
        <v>4755</v>
      </c>
      <c r="I6" s="83">
        <f>[3]Republic_UA!$GZ$23</f>
        <v>2555</v>
      </c>
      <c r="J6" s="83">
        <f>'[3]Sky Regional'!$GZ$33</f>
        <v>0</v>
      </c>
      <c r="K6" s="83">
        <f>'[3]American Eagle'!$GZ$23</f>
        <v>3542</v>
      </c>
      <c r="L6" s="83">
        <f>'Other Regional'!J6</f>
        <v>0</v>
      </c>
      <c r="M6" s="395">
        <f>SUM(B6:L6)</f>
        <v>130996</v>
      </c>
    </row>
    <row r="7" spans="1:13" ht="15" thickBot="1" x14ac:dyDescent="0.25">
      <c r="A7" s="47" t="s">
        <v>7</v>
      </c>
      <c r="B7" s="91">
        <f>SUM(B5:B6)</f>
        <v>134376</v>
      </c>
      <c r="C7" s="91">
        <f t="shared" ref="C7:L7" si="0">SUM(C5:C6)</f>
        <v>5811</v>
      </c>
      <c r="D7" s="91">
        <f t="shared" si="0"/>
        <v>98225</v>
      </c>
      <c r="E7" s="91">
        <f t="shared" si="0"/>
        <v>7255</v>
      </c>
      <c r="F7" s="91">
        <f t="shared" ref="F7:G7" si="1">SUM(F5:F6)</f>
        <v>0</v>
      </c>
      <c r="G7" s="91">
        <f t="shared" si="1"/>
        <v>0</v>
      </c>
      <c r="H7" s="91">
        <f t="shared" si="0"/>
        <v>9820</v>
      </c>
      <c r="I7" s="91">
        <f t="shared" si="0"/>
        <v>5040</v>
      </c>
      <c r="J7" s="91">
        <f t="shared" si="0"/>
        <v>0</v>
      </c>
      <c r="K7" s="91">
        <f t="shared" si="0"/>
        <v>6411</v>
      </c>
      <c r="L7" s="91">
        <f t="shared" si="0"/>
        <v>34</v>
      </c>
      <c r="M7" s="396">
        <f>SUM(B7:L7)</f>
        <v>266972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7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4"/>
    </row>
    <row r="10" spans="1:13" x14ac:dyDescent="0.2">
      <c r="A10" s="38" t="s">
        <v>30</v>
      </c>
      <c r="B10" s="78">
        <f>[3]Pinnacle!$GZ$27+[3]Pinnacle!$GZ$37</f>
        <v>2866</v>
      </c>
      <c r="C10" s="78">
        <f>[3]MESA_UA!$GZ$27</f>
        <v>152</v>
      </c>
      <c r="D10" s="83">
        <f>'[3]Sky West'!$GZ$27+'[3]Sky West'!$GZ$37</f>
        <v>2998</v>
      </c>
      <c r="E10" s="83">
        <f>'[3]Sky West_UA'!$GZ$27</f>
        <v>206</v>
      </c>
      <c r="F10" s="83">
        <f>'[3]Sky West_AS'!$GZ$27</f>
        <v>0</v>
      </c>
      <c r="G10" s="83">
        <f>'[3]Sky West_AA'!$GZ$27</f>
        <v>0</v>
      </c>
      <c r="H10" s="83">
        <f>[3]Republic!$GZ$27</f>
        <v>322</v>
      </c>
      <c r="I10" s="83">
        <f>[3]Republic_UA!$GZ$27</f>
        <v>178</v>
      </c>
      <c r="J10" s="83">
        <f>'[3]Sky Regional'!$GZ$37</f>
        <v>0</v>
      </c>
      <c r="K10" s="83">
        <f>'[3]American Eagle'!$GZ$27</f>
        <v>216</v>
      </c>
      <c r="L10" s="83">
        <f>'Other Regional'!J10</f>
        <v>0</v>
      </c>
      <c r="M10" s="394">
        <f>SUM(B10:L10)</f>
        <v>6938</v>
      </c>
    </row>
    <row r="11" spans="1:13" x14ac:dyDescent="0.2">
      <c r="A11" s="38" t="s">
        <v>33</v>
      </c>
      <c r="B11" s="78">
        <f>[3]Pinnacle!$GZ$28+[3]Pinnacle!$GZ$38</f>
        <v>2782</v>
      </c>
      <c r="C11" s="78">
        <f>[3]MESA_UA!$GZ$28</f>
        <v>190</v>
      </c>
      <c r="D11" s="83">
        <f>'[3]Sky West'!$GZ$28+'[3]Sky West'!$GZ$38</f>
        <v>2812</v>
      </c>
      <c r="E11" s="83">
        <f>'[3]Sky West_UA'!$GZ$28</f>
        <v>204</v>
      </c>
      <c r="F11" s="83">
        <f>'[3]Sky West_AS'!$GZ$28</f>
        <v>0</v>
      </c>
      <c r="G11" s="83">
        <f>'[3]Sky West_AA'!$GZ$28</f>
        <v>0</v>
      </c>
      <c r="H11" s="83">
        <f>[3]Republic!$GZ$28</f>
        <v>355</v>
      </c>
      <c r="I11" s="83">
        <f>[3]Republic_UA!$GZ$28</f>
        <v>105</v>
      </c>
      <c r="J11" s="83">
        <f>'[3]Sky Regional'!$GZ$38</f>
        <v>0</v>
      </c>
      <c r="K11" s="83">
        <f>'[3]American Eagle'!$GZ$28</f>
        <v>216</v>
      </c>
      <c r="L11" s="83">
        <f>'Other Regional'!J11</f>
        <v>0</v>
      </c>
      <c r="M11" s="395">
        <f>SUM(B11:L11)</f>
        <v>6664</v>
      </c>
    </row>
    <row r="12" spans="1:13" ht="15" thickBot="1" x14ac:dyDescent="0.25">
      <c r="A12" s="48" t="s">
        <v>34</v>
      </c>
      <c r="B12" s="92">
        <f t="shared" ref="B12:L12" si="2">SUM(B10:B11)</f>
        <v>5648</v>
      </c>
      <c r="C12" s="92">
        <f t="shared" si="2"/>
        <v>342</v>
      </c>
      <c r="D12" s="92">
        <f t="shared" si="2"/>
        <v>5810</v>
      </c>
      <c r="E12" s="92">
        <f t="shared" si="2"/>
        <v>410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677</v>
      </c>
      <c r="I12" s="92">
        <f t="shared" si="2"/>
        <v>283</v>
      </c>
      <c r="J12" s="92">
        <f t="shared" si="2"/>
        <v>0</v>
      </c>
      <c r="K12" s="92">
        <f t="shared" si="2"/>
        <v>432</v>
      </c>
      <c r="L12" s="92">
        <f t="shared" si="2"/>
        <v>0</v>
      </c>
      <c r="M12" s="398">
        <f>SUM(B12:L12)</f>
        <v>13602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0">
        <f t="shared" ref="M14" si="4">SUM(B14:L14)</f>
        <v>0</v>
      </c>
    </row>
    <row r="15" spans="1:13" x14ac:dyDescent="0.2">
      <c r="A15" s="38" t="s">
        <v>53</v>
      </c>
      <c r="B15" s="12">
        <f>[3]Pinnacle!$GZ$4+[3]Pinnacle!$GZ$15</f>
        <v>2415</v>
      </c>
      <c r="C15" s="77">
        <f>[3]MESA_UA!$GZ$4</f>
        <v>58</v>
      </c>
      <c r="D15" s="76">
        <f>'[3]Sky West'!$GZ$4+'[3]Sky West'!$GZ$15</f>
        <v>1926</v>
      </c>
      <c r="E15" s="76">
        <f>'[3]Sky West_UA'!$GZ$4</f>
        <v>87</v>
      </c>
      <c r="F15" s="76">
        <f>'[3]Sky West_AS'!$GZ$4</f>
        <v>0</v>
      </c>
      <c r="G15" s="76">
        <f>'[3]Sky West_AA'!$GZ$4</f>
        <v>0</v>
      </c>
      <c r="H15" s="78">
        <f>[3]Republic!$GZ$4</f>
        <v>105</v>
      </c>
      <c r="I15" s="311">
        <f>[3]Republic_UA!$GZ$4</f>
        <v>61</v>
      </c>
      <c r="J15" s="311">
        <f>'[3]Sky Regional'!$GZ$15</f>
        <v>0</v>
      </c>
      <c r="K15" s="311">
        <f>'[3]American Eagle'!$GZ$4</f>
        <v>60</v>
      </c>
      <c r="L15" s="77">
        <f>'Other Regional'!J15</f>
        <v>1</v>
      </c>
      <c r="M15" s="394">
        <f t="shared" ref="M15:M21" si="5">SUM(B15:L15)</f>
        <v>4713</v>
      </c>
    </row>
    <row r="16" spans="1:13" x14ac:dyDescent="0.2">
      <c r="A16" s="38" t="s">
        <v>54</v>
      </c>
      <c r="B16" s="7">
        <f>[3]Pinnacle!$GZ$5+[3]Pinnacle!$GZ$16</f>
        <v>2415</v>
      </c>
      <c r="C16" s="80">
        <f>[3]MESA_UA!$GZ$5</f>
        <v>59</v>
      </c>
      <c r="D16" s="79">
        <f>'[3]Sky West'!$GZ$5+'[3]Sky West'!$GZ$16</f>
        <v>1932</v>
      </c>
      <c r="E16" s="79">
        <f>'[3]Sky West_UA'!$GZ$5</f>
        <v>85</v>
      </c>
      <c r="F16" s="79">
        <f>'[3]Sky West_AS'!$GZ$5</f>
        <v>0</v>
      </c>
      <c r="G16" s="79">
        <f>'[3]Sky West_AA'!$GZ$5</f>
        <v>0</v>
      </c>
      <c r="H16" s="81">
        <f>[3]Republic!$GZ$5</f>
        <v>105</v>
      </c>
      <c r="I16" s="194">
        <f>[3]Republic_UA!$GZ$5</f>
        <v>60</v>
      </c>
      <c r="J16" s="194">
        <f>'[3]Sky Regional'!$GZ$16</f>
        <v>0</v>
      </c>
      <c r="K16" s="194">
        <f>'[3]American Eagle'!$GZ$5</f>
        <v>60</v>
      </c>
      <c r="L16" s="80">
        <f>'Other Regional'!J16</f>
        <v>1</v>
      </c>
      <c r="M16" s="395">
        <f t="shared" si="5"/>
        <v>4717</v>
      </c>
    </row>
    <row r="17" spans="1:13" x14ac:dyDescent="0.2">
      <c r="A17" s="42" t="s">
        <v>55</v>
      </c>
      <c r="B17" s="82">
        <f t="shared" ref="B17:K17" si="6">SUM(B15:B16)</f>
        <v>4830</v>
      </c>
      <c r="C17" s="82">
        <f t="shared" si="6"/>
        <v>117</v>
      </c>
      <c r="D17" s="82">
        <f t="shared" si="6"/>
        <v>3858</v>
      </c>
      <c r="E17" s="82">
        <f>SUM(E15:E16)</f>
        <v>172</v>
      </c>
      <c r="F17" s="82">
        <f>SUM(F15:F16)</f>
        <v>0</v>
      </c>
      <c r="G17" s="82">
        <f>SUM(G15:G16)</f>
        <v>0</v>
      </c>
      <c r="H17" s="82">
        <f>SUM(H15:H16)</f>
        <v>210</v>
      </c>
      <c r="I17" s="82">
        <f t="shared" ref="I17" si="7">SUM(I15:I16)</f>
        <v>121</v>
      </c>
      <c r="J17" s="82">
        <f>SUM(J15:J16)</f>
        <v>0</v>
      </c>
      <c r="K17" s="82">
        <f t="shared" si="6"/>
        <v>120</v>
      </c>
      <c r="L17" s="82">
        <f>SUM(L15:L16)</f>
        <v>2</v>
      </c>
      <c r="M17" s="401">
        <f t="shared" si="5"/>
        <v>9430</v>
      </c>
    </row>
    <row r="18" spans="1:13" x14ac:dyDescent="0.2">
      <c r="A18" s="38" t="s">
        <v>56</v>
      </c>
      <c r="B18" s="83">
        <f>[3]Pinnacle!$GZ$8</f>
        <v>0</v>
      </c>
      <c r="C18" s="78">
        <f>[3]MESA_UA!$GZ$8</f>
        <v>0</v>
      </c>
      <c r="D18" s="83">
        <f>'[3]Sky West'!$GZ$8</f>
        <v>0</v>
      </c>
      <c r="E18" s="83">
        <f>'[3]Sky West_UA'!$GZ$8</f>
        <v>0</v>
      </c>
      <c r="F18" s="83">
        <f>'[3]Sky West_AS'!$GZ$8</f>
        <v>0</v>
      </c>
      <c r="G18" s="83">
        <f>'[3]Sky West_AA'!$GZ$8</f>
        <v>0</v>
      </c>
      <c r="H18" s="83">
        <f>[3]Republic!$GZ$8</f>
        <v>0</v>
      </c>
      <c r="I18" s="83">
        <f>[3]Republic_UA!$GZ$8</f>
        <v>0</v>
      </c>
      <c r="J18" s="83">
        <f>'[3]Sky Regional'!$GZ$8</f>
        <v>0</v>
      </c>
      <c r="K18" s="83">
        <f>'[3]American Eagle'!$GZ$8</f>
        <v>0</v>
      </c>
      <c r="L18" s="83">
        <f>'Other Regional'!J18</f>
        <v>0</v>
      </c>
      <c r="M18" s="394">
        <f t="shared" si="5"/>
        <v>0</v>
      </c>
    </row>
    <row r="19" spans="1:13" x14ac:dyDescent="0.2">
      <c r="A19" s="38" t="s">
        <v>57</v>
      </c>
      <c r="B19" s="84">
        <f>[3]Pinnacle!$GZ$9</f>
        <v>2</v>
      </c>
      <c r="C19" s="81">
        <f>[3]MESA_UA!$GZ$9</f>
        <v>0</v>
      </c>
      <c r="D19" s="84">
        <f>'[3]Sky West'!$GZ$9</f>
        <v>0</v>
      </c>
      <c r="E19" s="84">
        <f>'[3]Sky West_UA'!$GZ$9</f>
        <v>0</v>
      </c>
      <c r="F19" s="84">
        <f>'[3]Sky West_AS'!$GZ$9</f>
        <v>0</v>
      </c>
      <c r="G19" s="84">
        <f>'[3]Sky West_AA'!$GZ$9</f>
        <v>0</v>
      </c>
      <c r="H19" s="84">
        <f>[3]Republic!$GZ$9</f>
        <v>0</v>
      </c>
      <c r="I19" s="84">
        <f>[3]Republic_UA!$GZ$9</f>
        <v>0</v>
      </c>
      <c r="J19" s="84">
        <f>'[3]Sky Regional'!$GZ$9</f>
        <v>0</v>
      </c>
      <c r="K19" s="84">
        <f>'[3]American Eagle'!$GZ$9</f>
        <v>0</v>
      </c>
      <c r="L19" s="84">
        <f>'Other Regional'!J19</f>
        <v>0</v>
      </c>
      <c r="M19" s="395">
        <f t="shared" si="5"/>
        <v>2</v>
      </c>
    </row>
    <row r="20" spans="1:13" x14ac:dyDescent="0.2">
      <c r="A20" s="42" t="s">
        <v>58</v>
      </c>
      <c r="B20" s="82">
        <f t="shared" ref="B20:L20" si="8">SUM(B18:B19)</f>
        <v>2</v>
      </c>
      <c r="C20" s="82">
        <f t="shared" si="8"/>
        <v>0</v>
      </c>
      <c r="D20" s="82">
        <f t="shared" si="8"/>
        <v>0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1">
        <f t="shared" si="5"/>
        <v>2</v>
      </c>
    </row>
    <row r="21" spans="1:13" ht="15.75" thickBot="1" x14ac:dyDescent="0.3">
      <c r="A21" s="46" t="s">
        <v>28</v>
      </c>
      <c r="B21" s="85">
        <f t="shared" ref="B21:K21" si="10">SUM(B20,B17)</f>
        <v>4832</v>
      </c>
      <c r="C21" s="85">
        <f t="shared" si="10"/>
        <v>117</v>
      </c>
      <c r="D21" s="85">
        <f t="shared" si="10"/>
        <v>3858</v>
      </c>
      <c r="E21" s="85">
        <f t="shared" si="10"/>
        <v>172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210</v>
      </c>
      <c r="I21" s="85">
        <f t="shared" si="10"/>
        <v>121</v>
      </c>
      <c r="J21" s="85">
        <f t="shared" si="10"/>
        <v>0</v>
      </c>
      <c r="K21" s="85">
        <f t="shared" si="10"/>
        <v>120</v>
      </c>
      <c r="L21" s="85">
        <f>SUM(L20,L17)</f>
        <v>2</v>
      </c>
      <c r="M21" s="402">
        <f t="shared" si="5"/>
        <v>9432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3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4"/>
    </row>
    <row r="25" spans="1:13" x14ac:dyDescent="0.2">
      <c r="A25" s="38" t="s">
        <v>37</v>
      </c>
      <c r="B25" s="83">
        <f>[3]Pinnacle!$GZ$47</f>
        <v>0</v>
      </c>
      <c r="C25" s="78">
        <f>[3]MESA_UA!$GZ$47</f>
        <v>0</v>
      </c>
      <c r="D25" s="83">
        <f>'[3]Sky West'!$GZ$47</f>
        <v>0</v>
      </c>
      <c r="E25" s="83">
        <f>'[3]Sky West_UA'!$GZ$47</f>
        <v>0</v>
      </c>
      <c r="F25" s="83">
        <f>'[3]Sky West_AS'!$GZ$47</f>
        <v>0</v>
      </c>
      <c r="G25" s="83">
        <f>'[3]Sky West_AA'!$GZ$47</f>
        <v>0</v>
      </c>
      <c r="H25" s="83">
        <f>[3]Republic!$GZ$47</f>
        <v>275</v>
      </c>
      <c r="I25" s="83">
        <f>[3]Republic_UA!$GZ$47</f>
        <v>0</v>
      </c>
      <c r="J25" s="83">
        <f>'[3]Sky Regional'!$GZ$47</f>
        <v>0</v>
      </c>
      <c r="K25" s="83">
        <f>'[3]American Eagle'!$GZ$47</f>
        <v>130</v>
      </c>
      <c r="L25" s="83">
        <f>'Other Regional'!J25</f>
        <v>0</v>
      </c>
      <c r="M25" s="394">
        <f>SUM(B25:L25)</f>
        <v>405</v>
      </c>
    </row>
    <row r="26" spans="1:13" x14ac:dyDescent="0.2">
      <c r="A26" s="38" t="s">
        <v>38</v>
      </c>
      <c r="B26" s="83">
        <f>[3]Pinnacle!$GZ$48</f>
        <v>0</v>
      </c>
      <c r="C26" s="78">
        <f>[3]MESA_UA!$GZ$48</f>
        <v>0</v>
      </c>
      <c r="D26" s="83">
        <f>'[3]Sky West'!$GZ$48</f>
        <v>0</v>
      </c>
      <c r="E26" s="83">
        <f>'[3]Sky West_UA'!$GZ$48</f>
        <v>0</v>
      </c>
      <c r="F26" s="83">
        <f>'[3]Sky West_AS'!$GZ$48</f>
        <v>0</v>
      </c>
      <c r="G26" s="83">
        <f>'[3]Sky West_AA'!$GZ$48</f>
        <v>0</v>
      </c>
      <c r="H26" s="83">
        <f>[3]Republic!$GZ$48</f>
        <v>0</v>
      </c>
      <c r="I26" s="83">
        <f>[3]Republic_UA!$GZ$48</f>
        <v>0</v>
      </c>
      <c r="J26" s="83">
        <f>'[3]Sky Regional'!$GZ$48</f>
        <v>0</v>
      </c>
      <c r="K26" s="83">
        <f>'[3]American Eagle'!$GZ$48</f>
        <v>0</v>
      </c>
      <c r="L26" s="83">
        <f>'Other Regional'!J26</f>
        <v>0</v>
      </c>
      <c r="M26" s="394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275</v>
      </c>
      <c r="I27" s="91">
        <f t="shared" si="12"/>
        <v>0</v>
      </c>
      <c r="J27" s="91">
        <f t="shared" si="12"/>
        <v>0</v>
      </c>
      <c r="K27" s="91">
        <f t="shared" si="12"/>
        <v>130</v>
      </c>
      <c r="L27" s="91">
        <f t="shared" si="12"/>
        <v>0</v>
      </c>
      <c r="M27" s="396">
        <f>SUM(B27:L27)</f>
        <v>405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4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4"/>
    </row>
    <row r="30" spans="1:13" x14ac:dyDescent="0.2">
      <c r="A30" s="38" t="s">
        <v>59</v>
      </c>
      <c r="B30" s="83">
        <f>[3]Pinnacle!$GZ$52</f>
        <v>0</v>
      </c>
      <c r="C30" s="78">
        <f>[3]MESA_UA!$GZ$52</f>
        <v>0</v>
      </c>
      <c r="D30" s="83">
        <f>'[3]Sky West'!$GZ$52</f>
        <v>0</v>
      </c>
      <c r="E30" s="83">
        <f>'[3]Sky West_UA'!$GZ$52</f>
        <v>0</v>
      </c>
      <c r="F30" s="83">
        <f>'[3]Sky West_AS'!$GZ$52</f>
        <v>0</v>
      </c>
      <c r="G30" s="83">
        <f>'[3]Sky West_AA'!$GZ$52</f>
        <v>0</v>
      </c>
      <c r="H30" s="83">
        <f>[3]Republic!$GZ$52</f>
        <v>518</v>
      </c>
      <c r="I30" s="83">
        <f>[3]Republic_UA!$GZ$52</f>
        <v>0</v>
      </c>
      <c r="J30" s="83">
        <f>'[3]Sky Regional'!$GZ$52</f>
        <v>0</v>
      </c>
      <c r="K30" s="83">
        <f>'[3]American Eagle'!$GZ$52</f>
        <v>244</v>
      </c>
      <c r="L30" s="83">
        <f>'Other Regional'!J30</f>
        <v>0</v>
      </c>
      <c r="M30" s="394">
        <f t="shared" ref="M30:M37" si="14">SUM(B30:L30)</f>
        <v>762</v>
      </c>
    </row>
    <row r="31" spans="1:13" x14ac:dyDescent="0.2">
      <c r="A31" s="38" t="s">
        <v>60</v>
      </c>
      <c r="B31" s="83">
        <f>[3]Pinnacle!$GZ$53</f>
        <v>0</v>
      </c>
      <c r="C31" s="78">
        <f>[3]MESA_UA!$GZ$53</f>
        <v>0</v>
      </c>
      <c r="D31" s="83">
        <f>'[3]Sky West'!$GZ$53</f>
        <v>0</v>
      </c>
      <c r="E31" s="83">
        <f>'[3]Sky West_UA'!$GZ$53</f>
        <v>0</v>
      </c>
      <c r="F31" s="83">
        <f>'[3]Sky West_AS'!$GZ$53</f>
        <v>0</v>
      </c>
      <c r="G31" s="83">
        <f>'[3]Sky West_AA'!$GZ$53</f>
        <v>0</v>
      </c>
      <c r="H31" s="83">
        <f>[3]Republic!$GZ$53</f>
        <v>0</v>
      </c>
      <c r="I31" s="83">
        <f>[3]Republic_UA!$GZ$53</f>
        <v>0</v>
      </c>
      <c r="J31" s="83">
        <f>'[3]Sky Regional'!$GZ$53</f>
        <v>0</v>
      </c>
      <c r="K31" s="83">
        <f>'[3]American Eagle'!$GZ$53</f>
        <v>0</v>
      </c>
      <c r="L31" s="83">
        <f>'Other Regional'!J31</f>
        <v>0</v>
      </c>
      <c r="M31" s="394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518</v>
      </c>
      <c r="I32" s="91">
        <f t="shared" si="15"/>
        <v>0</v>
      </c>
      <c r="J32" s="91">
        <f t="shared" si="15"/>
        <v>0</v>
      </c>
      <c r="K32" s="91">
        <f t="shared" si="15"/>
        <v>244</v>
      </c>
      <c r="L32" s="91">
        <f>SUM(L30:L31)</f>
        <v>0</v>
      </c>
      <c r="M32" s="396">
        <f t="shared" si="14"/>
        <v>762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4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4">
        <f t="shared" si="14"/>
        <v>0</v>
      </c>
    </row>
    <row r="35" spans="1:13" ht="13.5" hidden="1" thickTop="1" x14ac:dyDescent="0.2">
      <c r="A35" s="38" t="s">
        <v>37</v>
      </c>
      <c r="B35" s="83">
        <f>[3]Pinnacle!$GZ$57</f>
        <v>0</v>
      </c>
      <c r="C35" s="78">
        <f>[3]MESA_UA!$GZ$57</f>
        <v>0</v>
      </c>
      <c r="D35" s="83">
        <f>'[3]Sky West'!$GZ$57</f>
        <v>0</v>
      </c>
      <c r="E35" s="83">
        <f>'[3]Sky West_UA'!$GZ$57</f>
        <v>0</v>
      </c>
      <c r="F35" s="83">
        <f>'[3]Sky West_AS'!$GZ$57</f>
        <v>0</v>
      </c>
      <c r="G35" s="83">
        <f>'[3]Sky West_AA'!$GZ$57</f>
        <v>0</v>
      </c>
      <c r="H35" s="83">
        <f>[3]Republic!$GZ$57</f>
        <v>0</v>
      </c>
      <c r="I35" s="83">
        <f>[3]Republic!$GZ$57</f>
        <v>0</v>
      </c>
      <c r="J35" s="83">
        <f>[3]Republic!$GZ$57</f>
        <v>0</v>
      </c>
      <c r="K35" s="83">
        <f>'[3]American Eagle'!$GZ$57</f>
        <v>0</v>
      </c>
      <c r="L35" s="83">
        <f>'Other Regional'!J35</f>
        <v>0</v>
      </c>
      <c r="M35" s="394">
        <f t="shared" si="14"/>
        <v>0</v>
      </c>
    </row>
    <row r="36" spans="1:13" ht="13.5" hidden="1" thickTop="1" x14ac:dyDescent="0.2">
      <c r="A36" s="38" t="s">
        <v>38</v>
      </c>
      <c r="B36" s="83">
        <f>[3]Pinnacle!$GZ$58</f>
        <v>0</v>
      </c>
      <c r="C36" s="78">
        <f>[3]MESA_UA!$GZ$58</f>
        <v>0</v>
      </c>
      <c r="D36" s="83">
        <f>'[3]Sky West'!$GZ$58</f>
        <v>0</v>
      </c>
      <c r="E36" s="83">
        <f>'[3]Sky West_UA'!$GZ$58</f>
        <v>0</v>
      </c>
      <c r="F36" s="83">
        <f>'[3]Sky West_AS'!$GZ$58</f>
        <v>0</v>
      </c>
      <c r="G36" s="83">
        <f>'[3]Sky West_AA'!$GZ$58</f>
        <v>0</v>
      </c>
      <c r="H36" s="83">
        <f>[3]Republic!$GZ$58</f>
        <v>0</v>
      </c>
      <c r="I36" s="83">
        <f>[3]Republic!$GZ$58</f>
        <v>0</v>
      </c>
      <c r="J36" s="83">
        <f>[3]Republic!$GZ$58</f>
        <v>0</v>
      </c>
      <c r="K36" s="83">
        <f>'[3]American Eagle'!$GZ$58</f>
        <v>0</v>
      </c>
      <c r="L36" s="83">
        <f>'Other Regional'!J36</f>
        <v>0</v>
      </c>
      <c r="M36" s="394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4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4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4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793</v>
      </c>
      <c r="I40" s="83">
        <f t="shared" si="19"/>
        <v>0</v>
      </c>
      <c r="J40" s="83">
        <f t="shared" si="19"/>
        <v>0</v>
      </c>
      <c r="K40" s="83">
        <f>SUM(K35,K30,K25)</f>
        <v>374</v>
      </c>
      <c r="L40" s="83">
        <f>L35+L30+L25</f>
        <v>0</v>
      </c>
      <c r="M40" s="394">
        <f>SUM(B40:L40)</f>
        <v>1167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4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793</v>
      </c>
      <c r="I42" s="92">
        <f t="shared" si="19"/>
        <v>0</v>
      </c>
      <c r="J42" s="92">
        <f t="shared" si="19"/>
        <v>0</v>
      </c>
      <c r="K42" s="92">
        <f>SUM(K37,K32,K27)</f>
        <v>374</v>
      </c>
      <c r="L42" s="92">
        <f>SUM(L37,L32,L27)</f>
        <v>0</v>
      </c>
      <c r="M42" s="398">
        <f>SUM(B42:L42)</f>
        <v>1167</v>
      </c>
    </row>
    <row r="44" spans="1:13" x14ac:dyDescent="0.2">
      <c r="A44" s="254" t="s">
        <v>122</v>
      </c>
      <c r="B44" s="215">
        <f>[3]Pinnacle!$GZ$70+[3]Pinnacle!$GZ$73</f>
        <v>17331</v>
      </c>
      <c r="D44" s="216">
        <f>'[3]Sky West'!$GZ$70+'[3]Sky West'!$GZ$73</f>
        <v>16334</v>
      </c>
      <c r="E44" s="2"/>
      <c r="F44" s="2"/>
      <c r="G44" s="2"/>
      <c r="L44" s="216">
        <f>+'Other Regional'!J46</f>
        <v>0</v>
      </c>
      <c r="M44" s="205">
        <f>SUM(B44:L44)</f>
        <v>33665</v>
      </c>
    </row>
    <row r="45" spans="1:13" x14ac:dyDescent="0.2">
      <c r="A45" s="266" t="s">
        <v>123</v>
      </c>
      <c r="B45" s="215">
        <f>[3]Pinnacle!$GZ$71+[3]Pinnacle!$GZ$74</f>
        <v>47850</v>
      </c>
      <c r="D45" s="216">
        <f>'[3]Sky West'!$GZ$71+'[3]Sky West'!$GZ$74</f>
        <v>31736</v>
      </c>
      <c r="E45" s="2"/>
      <c r="F45" s="2"/>
      <c r="G45" s="2"/>
      <c r="L45" s="216">
        <f>+'Other Regional'!J47</f>
        <v>0</v>
      </c>
      <c r="M45" s="205">
        <f>SUM(B45:L45)</f>
        <v>79586</v>
      </c>
    </row>
    <row r="46" spans="1:13" x14ac:dyDescent="0.2">
      <c r="A46" s="206" t="s">
        <v>124</v>
      </c>
      <c r="B46" s="207">
        <f>SUM(B44:B45)</f>
        <v>65181</v>
      </c>
      <c r="L46" s="2"/>
      <c r="M46" s="193"/>
    </row>
    <row r="47" spans="1:13" x14ac:dyDescent="0.2">
      <c r="A47" s="208"/>
      <c r="B47" s="209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November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P10" sqref="P10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  <col min="15" max="15" width="11.28515625" style="282" bestFit="1" customWidth="1"/>
  </cols>
  <sheetData>
    <row r="1" spans="1:15" x14ac:dyDescent="0.2">
      <c r="A1" s="262"/>
    </row>
    <row r="2" spans="1:15" ht="55.5" customHeight="1" thickBot="1" x14ac:dyDescent="0.25">
      <c r="A2" s="257">
        <v>44136</v>
      </c>
      <c r="B2" s="352" t="s">
        <v>172</v>
      </c>
      <c r="C2" s="352" t="s">
        <v>171</v>
      </c>
      <c r="D2" s="432" t="s">
        <v>197</v>
      </c>
      <c r="E2" s="432" t="s">
        <v>226</v>
      </c>
      <c r="F2" s="432" t="s">
        <v>176</v>
      </c>
      <c r="G2" s="432" t="s">
        <v>175</v>
      </c>
      <c r="H2" s="352" t="s">
        <v>160</v>
      </c>
      <c r="I2" s="352" t="s">
        <v>163</v>
      </c>
      <c r="J2" s="352" t="s">
        <v>21</v>
      </c>
    </row>
    <row r="3" spans="1:15" ht="15" x14ac:dyDescent="0.25">
      <c r="A3" s="186" t="s">
        <v>3</v>
      </c>
      <c r="B3" s="278"/>
      <c r="C3" s="278"/>
      <c r="D3" s="278"/>
      <c r="E3" s="278"/>
      <c r="F3" s="279"/>
      <c r="G3" s="279"/>
      <c r="H3" s="279"/>
      <c r="I3" s="279"/>
      <c r="J3" s="393"/>
    </row>
    <row r="4" spans="1:15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4"/>
    </row>
    <row r="5" spans="1:15" x14ac:dyDescent="0.2">
      <c r="A5" s="38" t="s">
        <v>30</v>
      </c>
      <c r="B5" s="78">
        <f>'[3]Shuttle America'!$GZ$22</f>
        <v>0</v>
      </c>
      <c r="C5" s="78">
        <f>'[3]Shuttle America_Delta'!$GZ$22</f>
        <v>0</v>
      </c>
      <c r="D5" s="311">
        <f>[3]Horizon_AS!$GZ$22</f>
        <v>0</v>
      </c>
      <c r="E5" s="311">
        <f>'[3]Air Wisconsin'!$GZ$22</f>
        <v>0</v>
      </c>
      <c r="F5" s="78">
        <f>'[3]Atlantic Southeast'!$GZ$22+'[3]Atlantic Southeast'!$GZ$32</f>
        <v>0</v>
      </c>
      <c r="G5" s="78">
        <f>'[3]Continental Express'!$GZ$22</f>
        <v>0</v>
      </c>
      <c r="H5" s="83">
        <f>'[3]Go Jet_UA'!$GZ$22</f>
        <v>34</v>
      </c>
      <c r="I5" s="12">
        <f>'[3]Go Jet'!$GZ$22+'[3]Go Jet'!$GZ$32</f>
        <v>0</v>
      </c>
      <c r="J5" s="394">
        <f>SUM(B5:I5)</f>
        <v>34</v>
      </c>
    </row>
    <row r="6" spans="1:15" s="6" customFormat="1" x14ac:dyDescent="0.2">
      <c r="A6" s="38" t="s">
        <v>31</v>
      </c>
      <c r="B6" s="78">
        <f>'[3]Shuttle America'!$GZ$23</f>
        <v>0</v>
      </c>
      <c r="C6" s="78">
        <f>'[3]Shuttle America_Delta'!$GZ$23</f>
        <v>0</v>
      </c>
      <c r="D6" s="311">
        <f>[3]Horizon_AS!$GZ$23</f>
        <v>0</v>
      </c>
      <c r="E6" s="311">
        <f>'[3]Air Wisconsin'!$GZ$23</f>
        <v>0</v>
      </c>
      <c r="F6" s="78">
        <f>'[3]Atlantic Southeast'!$GZ$23+'[3]Atlantic Southeast'!$GZ$33</f>
        <v>0</v>
      </c>
      <c r="G6" s="78">
        <f>'[3]Continental Express'!$GZ$23</f>
        <v>0</v>
      </c>
      <c r="H6" s="83">
        <f>'[3]Go Jet_UA'!$GZ$23</f>
        <v>0</v>
      </c>
      <c r="I6" s="7">
        <f>'[3]Go Jet'!$GZ$23+'[3]Go Jet'!$GZ$33</f>
        <v>0</v>
      </c>
      <c r="J6" s="395">
        <f>SUM(B6:I6)</f>
        <v>0</v>
      </c>
      <c r="O6" s="282"/>
    </row>
    <row r="7" spans="1:15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34</v>
      </c>
      <c r="I7" s="91">
        <f>SUM(I5:I6)</f>
        <v>0</v>
      </c>
      <c r="J7" s="396">
        <f>SUM(B7:I7)</f>
        <v>34</v>
      </c>
    </row>
    <row r="8" spans="1:15" ht="13.5" thickTop="1" x14ac:dyDescent="0.2">
      <c r="A8" s="38"/>
      <c r="B8" s="78"/>
      <c r="C8" s="78"/>
      <c r="D8" s="311"/>
      <c r="E8" s="311"/>
      <c r="F8" s="78"/>
      <c r="G8" s="78"/>
      <c r="H8" s="83"/>
      <c r="I8" s="229"/>
      <c r="J8" s="397"/>
    </row>
    <row r="9" spans="1:15" s="6" customFormat="1" x14ac:dyDescent="0.2">
      <c r="A9" s="38" t="s">
        <v>32</v>
      </c>
      <c r="B9" s="78"/>
      <c r="C9" s="78"/>
      <c r="D9" s="311"/>
      <c r="E9" s="311"/>
      <c r="F9" s="78"/>
      <c r="G9" s="78"/>
      <c r="H9" s="83"/>
      <c r="I9" s="12"/>
      <c r="J9" s="394"/>
      <c r="O9" s="282"/>
    </row>
    <row r="10" spans="1:15" x14ac:dyDescent="0.2">
      <c r="A10" s="38" t="s">
        <v>30</v>
      </c>
      <c r="B10" s="78">
        <f>'[3]Shuttle America'!$GZ$27</f>
        <v>0</v>
      </c>
      <c r="C10" s="78">
        <f>'[3]Shuttle America_Delta'!$GZ$27</f>
        <v>0</v>
      </c>
      <c r="D10" s="311">
        <f>[3]Horizon_AS!$GZ$27</f>
        <v>0</v>
      </c>
      <c r="E10" s="311">
        <f>'[3]Air Wisconsin'!$GZ$27</f>
        <v>0</v>
      </c>
      <c r="F10" s="12">
        <f>'[3]Atlantic Southeast'!$GZ$27+'[3]Atlantic Southeast'!$GZ$37</f>
        <v>0</v>
      </c>
      <c r="G10" s="78">
        <f>'[3]Continental Express'!$GZ$27</f>
        <v>0</v>
      </c>
      <c r="H10" s="83">
        <f>'[3]Go Jet_UA'!$GZ$27</f>
        <v>0</v>
      </c>
      <c r="I10" s="12">
        <f>'[3]Go Jet'!$GZ$27+'[3]Go Jet'!$GZ$37</f>
        <v>0</v>
      </c>
      <c r="J10" s="394">
        <f>SUM(B10:I10)</f>
        <v>0</v>
      </c>
    </row>
    <row r="11" spans="1:15" x14ac:dyDescent="0.2">
      <c r="A11" s="38" t="s">
        <v>33</v>
      </c>
      <c r="B11" s="78">
        <f>'[3]Shuttle America'!$GZ$28</f>
        <v>0</v>
      </c>
      <c r="C11" s="78">
        <f>'[3]Shuttle America_Delta'!$GZ$28</f>
        <v>0</v>
      </c>
      <c r="D11" s="311">
        <f>[3]Horizon_AS!$GZ$28</f>
        <v>0</v>
      </c>
      <c r="E11" s="311">
        <f>'[3]Air Wisconsin'!$GZ$28</f>
        <v>0</v>
      </c>
      <c r="F11" s="7">
        <f>'[3]Atlantic Southeast'!$GZ$28+'[3]Atlantic Southeast'!$GZ$38</f>
        <v>0</v>
      </c>
      <c r="G11" s="78">
        <f>'[3]Continental Express'!$GZ$28</f>
        <v>0</v>
      </c>
      <c r="H11" s="83">
        <f>'[3]Go Jet_UA'!$GZ$28</f>
        <v>0</v>
      </c>
      <c r="I11" s="7">
        <f>'[3]Go Jet'!$GZ$28+'[3]Go Jet'!$GZ$38</f>
        <v>0</v>
      </c>
      <c r="J11" s="395">
        <f>SUM(B11:I11)</f>
        <v>0</v>
      </c>
    </row>
    <row r="12" spans="1:15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8">
        <f>SUM(B12:I12)</f>
        <v>0</v>
      </c>
    </row>
    <row r="13" spans="1:15" ht="6" customHeight="1" thickBot="1" x14ac:dyDescent="0.25"/>
    <row r="14" spans="1:15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0"/>
    </row>
    <row r="15" spans="1:15" x14ac:dyDescent="0.2">
      <c r="A15" s="38" t="s">
        <v>53</v>
      </c>
      <c r="B15" s="76">
        <f>'[3]Shuttle America'!$GZ$4</f>
        <v>0</v>
      </c>
      <c r="C15" s="76">
        <f>'[3]Shuttle America_Delta'!$GZ$4</f>
        <v>0</v>
      </c>
      <c r="D15" s="312">
        <f>[3]Horizon_AS!$GZ$4</f>
        <v>0</v>
      </c>
      <c r="E15" s="312">
        <f>'[3]Air Wisconsin'!$GZ$4</f>
        <v>0</v>
      </c>
      <c r="F15" s="77">
        <f>'[3]Atlantic Southeast'!$GZ$4+'[3]Atlantic Southeast'!$GZ$15</f>
        <v>0</v>
      </c>
      <c r="G15" s="77">
        <f>'[3]Continental Express'!$GZ$4</f>
        <v>0</v>
      </c>
      <c r="H15" s="76">
        <f>'[3]Go Jet_UA'!$GZ$4</f>
        <v>1</v>
      </c>
      <c r="I15" s="12">
        <f>'[3]Go Jet'!$GZ$4+'[3]Go Jet'!$GZ$15</f>
        <v>0</v>
      </c>
      <c r="J15" s="394">
        <f t="shared" ref="J15:J21" si="5">SUM(B15:I15)</f>
        <v>1</v>
      </c>
    </row>
    <row r="16" spans="1:15" x14ac:dyDescent="0.2">
      <c r="A16" s="38" t="s">
        <v>54</v>
      </c>
      <c r="B16" s="79">
        <f>'[3]Shuttle America'!$GZ$5</f>
        <v>0</v>
      </c>
      <c r="C16" s="79">
        <f>'[3]Shuttle America_Delta'!$GZ$5</f>
        <v>0</v>
      </c>
      <c r="D16" s="313">
        <f>[3]Horizon_AS!$GZ$5</f>
        <v>0</v>
      </c>
      <c r="E16" s="313">
        <f>'[3]Air Wisconsin'!$GZ$5</f>
        <v>0</v>
      </c>
      <c r="F16" s="80">
        <f>'[3]Atlantic Southeast'!$GZ$5+'[3]Atlantic Southeast'!$GZ$16</f>
        <v>0</v>
      </c>
      <c r="G16" s="80">
        <f>'[3]Continental Express'!$GZ$5</f>
        <v>0</v>
      </c>
      <c r="H16" s="79">
        <f>'[3]Go Jet_UA'!$GZ$5</f>
        <v>1</v>
      </c>
      <c r="I16" s="7">
        <f>'[3]Go Jet'!$GZ$5+'[3]Go Jet'!$GZ$16</f>
        <v>0</v>
      </c>
      <c r="J16" s="395">
        <f t="shared" si="5"/>
        <v>1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2</v>
      </c>
      <c r="I17" s="188">
        <f>SUM(I15:I16)</f>
        <v>0</v>
      </c>
      <c r="J17" s="401">
        <f t="shared" si="5"/>
        <v>2</v>
      </c>
    </row>
    <row r="18" spans="1:10" x14ac:dyDescent="0.2">
      <c r="A18" s="38" t="s">
        <v>56</v>
      </c>
      <c r="B18" s="83">
        <f>'[3]Shuttle America'!$GZ$8</f>
        <v>0</v>
      </c>
      <c r="C18" s="83">
        <f>'[3]Shuttle America_Delta'!$GZ$8</f>
        <v>0</v>
      </c>
      <c r="D18" s="83">
        <f>[3]Horizon_AS!$GZ$8</f>
        <v>0</v>
      </c>
      <c r="E18" s="83">
        <f>'[3]Air Wisconsin'!$GZ$8</f>
        <v>0</v>
      </c>
      <c r="F18" s="78">
        <f>'[3]Atlantic Southeast'!$GZ$8</f>
        <v>0</v>
      </c>
      <c r="G18" s="78">
        <f>'[3]Continental Express'!$GZ$8</f>
        <v>0</v>
      </c>
      <c r="H18" s="83">
        <f>'[3]Go Jet_UA'!$GZ$8</f>
        <v>0</v>
      </c>
      <c r="I18" s="12">
        <f>'[3]Go Jet'!$GZ$8</f>
        <v>0</v>
      </c>
      <c r="J18" s="394">
        <f t="shared" si="5"/>
        <v>0</v>
      </c>
    </row>
    <row r="19" spans="1:10" x14ac:dyDescent="0.2">
      <c r="A19" s="38" t="s">
        <v>57</v>
      </c>
      <c r="B19" s="84">
        <f>'[3]Shuttle America'!$GZ$9</f>
        <v>0</v>
      </c>
      <c r="C19" s="84">
        <f>'[3]Shuttle America_Delta'!$GZ$9</f>
        <v>0</v>
      </c>
      <c r="D19" s="84">
        <f>[3]Horizon_AS!$GZ$9</f>
        <v>0</v>
      </c>
      <c r="E19" s="84">
        <f>'[3]Air Wisconsin'!$GZ$9</f>
        <v>0</v>
      </c>
      <c r="F19" s="81">
        <f>'[3]Atlantic Southeast'!$GZ$9</f>
        <v>0</v>
      </c>
      <c r="G19" s="81">
        <f>'[3]Continental Express'!$GZ$9</f>
        <v>0</v>
      </c>
      <c r="H19" s="84">
        <f>'[3]Go Jet_UA'!$GZ$9</f>
        <v>0</v>
      </c>
      <c r="I19" s="7">
        <f>'[3]Go Jet'!$GZ$9</f>
        <v>0</v>
      </c>
      <c r="J19" s="395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8">
        <f>SUM(I18:I19)</f>
        <v>0</v>
      </c>
      <c r="J20" s="401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2</v>
      </c>
      <c r="I21" s="85">
        <f t="shared" ref="I21" si="12">SUM(I20,I17)</f>
        <v>0</v>
      </c>
      <c r="J21" s="402">
        <f t="shared" si="5"/>
        <v>2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3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4"/>
    </row>
    <row r="25" spans="1:10" x14ac:dyDescent="0.2">
      <c r="A25" s="38" t="s">
        <v>37</v>
      </c>
      <c r="B25" s="83">
        <f>'[3]Shuttle America'!$GZ$47</f>
        <v>0</v>
      </c>
      <c r="C25" s="83">
        <f>'[3]Shuttle America_Delta'!$GZ$47</f>
        <v>0</v>
      </c>
      <c r="D25" s="83">
        <f>[3]Horizon_AS!$GZ$47</f>
        <v>0</v>
      </c>
      <c r="E25" s="83">
        <f>'[3]Air Wisconsin'!$GZ$47</f>
        <v>0</v>
      </c>
      <c r="F25" s="78">
        <f>'[3]Atlantic Southeast'!$GZ$47</f>
        <v>0</v>
      </c>
      <c r="G25" s="78">
        <f>'[3]Continental Express'!$GZ$47</f>
        <v>0</v>
      </c>
      <c r="H25" s="83">
        <f>'[3]Go Jet_UA'!$GZ$47</f>
        <v>0</v>
      </c>
      <c r="I25" s="83">
        <f>'[3]Go Jet'!$GZ$47</f>
        <v>0</v>
      </c>
      <c r="J25" s="394">
        <f>SUM(B25:I25)</f>
        <v>0</v>
      </c>
    </row>
    <row r="26" spans="1:10" x14ac:dyDescent="0.2">
      <c r="A26" s="38" t="s">
        <v>38</v>
      </c>
      <c r="B26" s="83">
        <f>'[3]Shuttle America'!$GZ$48</f>
        <v>0</v>
      </c>
      <c r="C26" s="83">
        <f>'[3]Shuttle America_Delta'!$GZ$48</f>
        <v>0</v>
      </c>
      <c r="D26" s="83">
        <f>[3]Horizon_AS!$GZ$48</f>
        <v>0</v>
      </c>
      <c r="E26" s="83">
        <f>'[3]Air Wisconsin'!$GZ$48</f>
        <v>0</v>
      </c>
      <c r="F26" s="78">
        <f>'[3]Atlantic Southeast'!$GZ$48</f>
        <v>0</v>
      </c>
      <c r="G26" s="78">
        <f>'[3]Continental Express'!$GZ$48</f>
        <v>0</v>
      </c>
      <c r="H26" s="83">
        <f>'[3]Go Jet_UA'!$GZ$48</f>
        <v>0</v>
      </c>
      <c r="I26" s="83">
        <f>'[3]Go Jet'!$GZ$48</f>
        <v>0</v>
      </c>
      <c r="J26" s="394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6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4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4"/>
    </row>
    <row r="30" spans="1:10" x14ac:dyDescent="0.2">
      <c r="A30" s="38" t="s">
        <v>59</v>
      </c>
      <c r="B30" s="83">
        <f>'[3]Shuttle America'!$GZ$52</f>
        <v>0</v>
      </c>
      <c r="C30" s="83">
        <f>'[3]Shuttle America_Delta'!$GZ$52</f>
        <v>0</v>
      </c>
      <c r="D30" s="83">
        <f>[3]Horizon_AS!$GZ$52</f>
        <v>0</v>
      </c>
      <c r="E30" s="83">
        <f>'[3]Air Wisconsin'!$GZ$52</f>
        <v>0</v>
      </c>
      <c r="F30" s="78">
        <f>'[3]Atlantic Southeast'!$GZ$52</f>
        <v>0</v>
      </c>
      <c r="G30" s="78">
        <f>'[3]Continental Express'!$GZ$52</f>
        <v>0</v>
      </c>
      <c r="H30" s="83">
        <f>'[3]Go Jet_UA'!$GZ$52</f>
        <v>0</v>
      </c>
      <c r="I30" s="83">
        <f>'[3]Go Jet'!$GZ$52</f>
        <v>0</v>
      </c>
      <c r="J30" s="394">
        <f>SUM(B30:I30)</f>
        <v>0</v>
      </c>
    </row>
    <row r="31" spans="1:10" x14ac:dyDescent="0.2">
      <c r="A31" s="38" t="s">
        <v>60</v>
      </c>
      <c r="B31" s="83">
        <f>'[3]Shuttle America'!$GZ$53</f>
        <v>0</v>
      </c>
      <c r="C31" s="83">
        <f>'[3]Shuttle America_Delta'!$GZ$53</f>
        <v>0</v>
      </c>
      <c r="D31" s="83">
        <f>[3]Horizon_AS!$GZ$53</f>
        <v>0</v>
      </c>
      <c r="E31" s="83">
        <f>'[3]Air Wisconsin'!$GZ$53</f>
        <v>0</v>
      </c>
      <c r="F31" s="78">
        <f>'[3]Atlantic Southeast'!$GZ$53</f>
        <v>0</v>
      </c>
      <c r="G31" s="78">
        <f>'[3]Continental Express'!$GZ$53</f>
        <v>0</v>
      </c>
      <c r="H31" s="83">
        <f>'[3]Go Jet_UA'!$GZ$53</f>
        <v>0</v>
      </c>
      <c r="I31" s="83">
        <f>'[3]Go Jet'!$GZ$53</f>
        <v>0</v>
      </c>
      <c r="J31" s="394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6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4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4"/>
    </row>
    <row r="35" spans="1:10" ht="13.5" hidden="1" thickTop="1" x14ac:dyDescent="0.2">
      <c r="A35" s="38" t="s">
        <v>37</v>
      </c>
      <c r="B35" s="83">
        <f>'[3]Shuttle America'!$GZ$57</f>
        <v>0</v>
      </c>
      <c r="C35" s="83">
        <f>'[3]Shuttle America_Delta'!$GZ$57</f>
        <v>0</v>
      </c>
      <c r="D35" s="83">
        <f>[3]Horizon_AS!$GZ$57</f>
        <v>0</v>
      </c>
      <c r="E35" s="83">
        <f>'[3]Air Wisconsin'!$GZ$57</f>
        <v>0</v>
      </c>
      <c r="F35" s="78">
        <f>'[3]Atlantic Southeast'!$GZ$57</f>
        <v>0</v>
      </c>
      <c r="G35" s="78">
        <f>'[3]Continental Express'!$GZ$57</f>
        <v>0</v>
      </c>
      <c r="H35" s="83">
        <f>'[3]Go Jet_UA'!$AJ$57</f>
        <v>0</v>
      </c>
      <c r="I35" s="83">
        <f>'[3]Go Jet'!$GZ$57</f>
        <v>0</v>
      </c>
      <c r="J35" s="394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4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4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4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4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4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4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8">
        <f>SUM(B42:I42)</f>
        <v>0</v>
      </c>
    </row>
    <row r="43" spans="1:10" ht="4.5" customHeight="1" x14ac:dyDescent="0.2"/>
    <row r="44" spans="1:10" hidden="1" x14ac:dyDescent="0.2">
      <c r="A44" s="217" t="s">
        <v>125</v>
      </c>
      <c r="F44" s="203"/>
      <c r="I44" s="216">
        <f>'[3]Go Jet'!BK$70+'[3]Go Jet'!BK$73</f>
        <v>0</v>
      </c>
      <c r="J44" s="205" t="e">
        <f>SUM(#REF!)</f>
        <v>#REF!</v>
      </c>
    </row>
    <row r="45" spans="1:10" hidden="1" x14ac:dyDescent="0.2">
      <c r="A45" s="217" t="s">
        <v>126</v>
      </c>
      <c r="F45" s="220"/>
      <c r="I45" s="216">
        <f>'[3]Go Jet'!BK$71+'[3]Go Jet'!BK$74</f>
        <v>0</v>
      </c>
      <c r="J45" s="205" t="e">
        <f>SUM(#REF!)</f>
        <v>#REF!</v>
      </c>
    </row>
    <row r="46" spans="1:10" x14ac:dyDescent="0.2">
      <c r="A46" s="254" t="s">
        <v>122</v>
      </c>
      <c r="C46" s="216">
        <f>'[3]Shuttle America_Delta'!$GZ$70+'[3]Shuttle America_Delta'!$GZ$73</f>
        <v>0</v>
      </c>
      <c r="D46" s="2"/>
      <c r="F46" s="216">
        <f>'[3]Atlantic Southeast'!$GZ$70+'[3]Atlantic Southeast'!$GZ$73</f>
        <v>0</v>
      </c>
      <c r="I46" s="216">
        <f>'[3]Go Jet'!$GZ$70+'[3]Go Jet'!$GZ$73</f>
        <v>0</v>
      </c>
      <c r="J46" s="265">
        <f>SUM(B46:I46)</f>
        <v>0</v>
      </c>
    </row>
    <row r="47" spans="1:10" x14ac:dyDescent="0.2">
      <c r="A47" s="266" t="s">
        <v>123</v>
      </c>
      <c r="C47" s="216">
        <f>'[3]Shuttle America_Delta'!$GZ$71+'[3]Shuttle America_Delta'!$GZ$74</f>
        <v>0</v>
      </c>
      <c r="D47" s="2"/>
      <c r="F47" s="216">
        <f>'[3]Atlantic Southeast'!$GZ$71+'[3]Atlantic Southeast'!$GZ$74</f>
        <v>0</v>
      </c>
      <c r="I47" s="216">
        <f>'[3]Go Jet'!$GZ$71+'[3]Go Jet'!$GZ$74</f>
        <v>0</v>
      </c>
      <c r="J47" s="265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November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6" zoomScale="115" zoomScaleNormal="115" workbookViewId="0">
      <selection activeCell="D39" sqref="D39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7">
        <v>44136</v>
      </c>
      <c r="B2" s="358" t="s">
        <v>117</v>
      </c>
      <c r="C2" s="358" t="s">
        <v>153</v>
      </c>
      <c r="D2" s="359" t="s">
        <v>78</v>
      </c>
      <c r="E2" s="359" t="s">
        <v>154</v>
      </c>
      <c r="F2" s="358" t="s">
        <v>131</v>
      </c>
      <c r="G2" s="303" t="s">
        <v>79</v>
      </c>
    </row>
    <row r="3" spans="1:17" x14ac:dyDescent="0.2">
      <c r="A3" s="185" t="s">
        <v>3</v>
      </c>
      <c r="B3" s="121"/>
      <c r="C3" s="120"/>
      <c r="D3" s="120"/>
      <c r="E3" s="120"/>
      <c r="F3" s="120"/>
      <c r="G3" s="405"/>
    </row>
    <row r="4" spans="1:17" x14ac:dyDescent="0.2">
      <c r="A4" s="38" t="s">
        <v>29</v>
      </c>
      <c r="B4" s="290"/>
      <c r="C4" s="119"/>
      <c r="D4" s="119"/>
      <c r="E4" s="119"/>
      <c r="F4" s="119"/>
      <c r="G4" s="406"/>
    </row>
    <row r="5" spans="1:17" x14ac:dyDescent="0.2">
      <c r="A5" s="38" t="s">
        <v>30</v>
      </c>
      <c r="B5" s="290">
        <f>'[3]Charter Misc'!$GZ$22</f>
        <v>0</v>
      </c>
      <c r="C5" s="119">
        <f>[3]Ryan!$GZ$22</f>
        <v>0</v>
      </c>
      <c r="D5" s="119">
        <f>'[3]Charter Misc'!$GZ$32</f>
        <v>0</v>
      </c>
      <c r="E5" s="119">
        <f>[3]Omni!$GZ$32</f>
        <v>0</v>
      </c>
      <c r="F5" s="119">
        <f>[3]Xtra!$GZ$32+[3]Xtra!$GZ$22</f>
        <v>0</v>
      </c>
      <c r="G5" s="407">
        <f>SUM(B5:F5)</f>
        <v>0</v>
      </c>
    </row>
    <row r="6" spans="1:17" x14ac:dyDescent="0.2">
      <c r="A6" s="38" t="s">
        <v>31</v>
      </c>
      <c r="B6" s="291">
        <f>'[3]Charter Misc'!$GZ$23</f>
        <v>162</v>
      </c>
      <c r="C6" s="122">
        <f>[3]Ryan!$GZ$23</f>
        <v>0</v>
      </c>
      <c r="D6" s="122">
        <f>'[3]Charter Misc'!$GZ$33</f>
        <v>24</v>
      </c>
      <c r="E6" s="122">
        <f>[3]Omni!$GZ$33+[3]Omni!$GZ$23</f>
        <v>0</v>
      </c>
      <c r="F6" s="122">
        <f>[3]Xtra!$GZ$33+[3]Xtra!$GZ$23</f>
        <v>0</v>
      </c>
      <c r="G6" s="408">
        <f>SUM(B6:F6)</f>
        <v>186</v>
      </c>
    </row>
    <row r="7" spans="1:17" ht="15.75" thickBot="1" x14ac:dyDescent="0.3">
      <c r="A7" s="118" t="s">
        <v>7</v>
      </c>
      <c r="B7" s="292">
        <f>SUM(B5:B6)</f>
        <v>162</v>
      </c>
      <c r="C7" s="195">
        <f>SUM(C5:C6)</f>
        <v>0</v>
      </c>
      <c r="D7" s="195">
        <f>SUM(D5:D6)</f>
        <v>24</v>
      </c>
      <c r="E7" s="195">
        <f>SUM(E5:E6)</f>
        <v>0</v>
      </c>
      <c r="F7" s="195">
        <f>SUM(F5:F6)</f>
        <v>0</v>
      </c>
      <c r="G7" s="409">
        <f>SUM(B7:F7)</f>
        <v>186</v>
      </c>
    </row>
    <row r="8" spans="1:17" ht="13.5" thickBot="1" x14ac:dyDescent="0.25">
      <c r="G8" s="38"/>
    </row>
    <row r="9" spans="1:17" x14ac:dyDescent="0.2">
      <c r="A9" s="116" t="s">
        <v>9</v>
      </c>
      <c r="B9" s="293"/>
      <c r="C9" s="23"/>
      <c r="D9" s="23"/>
      <c r="E9" s="23"/>
      <c r="F9" s="23"/>
      <c r="G9" s="410"/>
    </row>
    <row r="10" spans="1:17" x14ac:dyDescent="0.2">
      <c r="A10" s="117" t="s">
        <v>80</v>
      </c>
      <c r="B10" s="290">
        <f>'[3]Charter Misc'!$GZ$4</f>
        <v>0</v>
      </c>
      <c r="C10" s="119">
        <f>[3]Ryan!$GZ$4</f>
        <v>0</v>
      </c>
      <c r="D10" s="119">
        <f>'[3]Charter Misc'!$GZ$15</f>
        <v>0</v>
      </c>
      <c r="E10" s="119">
        <f>[3]Omni!$GZ$15+[3]Omni!$GZ$4+[3]Omni!$GZ$8</f>
        <v>0</v>
      </c>
      <c r="F10" s="119">
        <f>[3]Xtra!$GZ$15+[3]Xtra!$GZ$4+[3]Omni!$GZ$8</f>
        <v>0</v>
      </c>
      <c r="G10" s="408">
        <f>SUM(B10:F10)</f>
        <v>0</v>
      </c>
    </row>
    <row r="11" spans="1:17" x14ac:dyDescent="0.2">
      <c r="A11" s="117" t="s">
        <v>81</v>
      </c>
      <c r="B11" s="290">
        <f>'[3]Charter Misc'!$GZ$5</f>
        <v>1</v>
      </c>
      <c r="C11" s="119">
        <f>[3]Ryan!$GZ$5</f>
        <v>0</v>
      </c>
      <c r="D11" s="119">
        <f>'[3]Charter Misc'!$GZ$16</f>
        <v>1</v>
      </c>
      <c r="E11" s="119">
        <f>[3]Omni!$GZ$16+[3]Omni!$GZ$5+[3]Omni!$GZ$9</f>
        <v>0</v>
      </c>
      <c r="F11" s="119">
        <f>[3]Xtra!$GZ$16+[3]Xtra!$GZ$5+[3]Omni!$GZ$9</f>
        <v>0</v>
      </c>
      <c r="G11" s="408">
        <f>SUM(B11:F11)</f>
        <v>2</v>
      </c>
    </row>
    <row r="12" spans="1:17" ht="15.75" thickBot="1" x14ac:dyDescent="0.3">
      <c r="A12" s="184" t="s">
        <v>28</v>
      </c>
      <c r="B12" s="294">
        <f>SUM(B10:B11)</f>
        <v>1</v>
      </c>
      <c r="C12" s="196">
        <f>SUM(C10:C11)</f>
        <v>0</v>
      </c>
      <c r="D12" s="196">
        <f>SUM(D10:D11)</f>
        <v>1</v>
      </c>
      <c r="E12" s="196">
        <f>SUM(E10:E11)</f>
        <v>0</v>
      </c>
      <c r="F12" s="196">
        <f>SUM(F10:F11)</f>
        <v>0</v>
      </c>
      <c r="G12" s="411">
        <f>SUM(B12:F12)</f>
        <v>2</v>
      </c>
      <c r="Q12" s="83"/>
    </row>
    <row r="17" spans="1:16" x14ac:dyDescent="0.2">
      <c r="B17" s="464" t="s">
        <v>151</v>
      </c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6"/>
    </row>
    <row r="18" spans="1:16" ht="13.5" thickBot="1" x14ac:dyDescent="0.25">
      <c r="A18" s="211"/>
      <c r="E18" s="141"/>
      <c r="G18" s="141"/>
      <c r="H18" s="141"/>
      <c r="L18" s="145"/>
      <c r="N18" s="4"/>
    </row>
    <row r="19" spans="1:16" ht="13.5" customHeight="1" thickBot="1" x14ac:dyDescent="0.25">
      <c r="A19" s="280"/>
      <c r="B19" s="467" t="s">
        <v>119</v>
      </c>
      <c r="C19" s="468"/>
      <c r="D19" s="468"/>
      <c r="E19" s="469"/>
      <c r="G19" s="467" t="s">
        <v>120</v>
      </c>
      <c r="H19" s="470"/>
      <c r="I19" s="470"/>
      <c r="J19" s="471"/>
      <c r="L19" s="472" t="s">
        <v>121</v>
      </c>
      <c r="M19" s="473"/>
      <c r="N19" s="473"/>
      <c r="O19" s="474"/>
    </row>
    <row r="20" spans="1:16" ht="13.5" thickBot="1" x14ac:dyDescent="0.25">
      <c r="A20" s="148" t="s">
        <v>100</v>
      </c>
      <c r="B20" s="419" t="s">
        <v>101</v>
      </c>
      <c r="C20" s="427" t="s">
        <v>102</v>
      </c>
      <c r="D20" s="5" t="s">
        <v>215</v>
      </c>
      <c r="E20" s="5" t="s">
        <v>202</v>
      </c>
      <c r="F20" s="154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4" t="s">
        <v>97</v>
      </c>
      <c r="L20" s="153" t="s">
        <v>101</v>
      </c>
      <c r="M20" s="147" t="s">
        <v>102</v>
      </c>
      <c r="N20" s="5" t="s">
        <v>215</v>
      </c>
      <c r="O20" s="5" t="s">
        <v>202</v>
      </c>
      <c r="P20" s="154" t="s">
        <v>97</v>
      </c>
    </row>
    <row r="21" spans="1:16" ht="14.1" customHeight="1" x14ac:dyDescent="0.2">
      <c r="A21" s="157" t="s">
        <v>103</v>
      </c>
      <c r="B21" s="420">
        <f>+[4]Charter!$B$21</f>
        <v>154018</v>
      </c>
      <c r="C21" s="421">
        <f>+[4]Charter!$C$21</f>
        <v>145053</v>
      </c>
      <c r="D21" s="356">
        <f t="shared" ref="D21:D32" si="0">SUM(B21:C21)</f>
        <v>299071</v>
      </c>
      <c r="E21" s="357">
        <f>[5]Charter!$D$21</f>
        <v>266711</v>
      </c>
      <c r="F21" s="228">
        <f t="shared" ref="F21:F32" si="1">(D21-E21)/E21</f>
        <v>0.12132982891594273</v>
      </c>
      <c r="G21" s="224">
        <f t="shared" ref="G21:H23" si="2">L21-B21</f>
        <v>1288852</v>
      </c>
      <c r="H21" s="225">
        <f t="shared" si="2"/>
        <v>1327520</v>
      </c>
      <c r="I21" s="225">
        <f t="shared" ref="I21:I26" si="3">SUM(G21:H21)</f>
        <v>2616372</v>
      </c>
      <c r="J21" s="226">
        <f>[5]Charter!$I$21</f>
        <v>2470130</v>
      </c>
      <c r="K21" s="158">
        <f t="shared" ref="K21:K32" si="4">(I21-J21)/J21</f>
        <v>5.9204171440369532E-2</v>
      </c>
      <c r="L21" s="224">
        <f>+[4]Charter!$L$21</f>
        <v>1442870</v>
      </c>
      <c r="M21" s="225">
        <f>+[4]Charter!$M$21</f>
        <v>1472573</v>
      </c>
      <c r="N21" s="225">
        <f t="shared" ref="N21:N32" si="5">SUM(L21:M21)</f>
        <v>2915443</v>
      </c>
      <c r="O21" s="226">
        <f>[5]Charter!$N$21</f>
        <v>2736841</v>
      </c>
      <c r="P21" s="158">
        <f>(N21-O21)/O21</f>
        <v>6.5258449431296883E-2</v>
      </c>
    </row>
    <row r="22" spans="1:16" ht="14.1" customHeight="1" x14ac:dyDescent="0.2">
      <c r="A22" s="159" t="s">
        <v>104</v>
      </c>
      <c r="B22" s="422">
        <f>+[6]Charter!$B$22</f>
        <v>152114</v>
      </c>
      <c r="C22" s="423">
        <f>+[6]Charter!$C$22</f>
        <v>153672</v>
      </c>
      <c r="D22" s="424">
        <f t="shared" ref="D22" si="6">SUM(B22:C22)</f>
        <v>305786</v>
      </c>
      <c r="E22" s="353">
        <f>[7]Charter!$D22</f>
        <v>274882</v>
      </c>
      <c r="F22" s="223">
        <f t="shared" si="1"/>
        <v>0.11242642297422166</v>
      </c>
      <c r="G22" s="354">
        <f t="shared" si="2"/>
        <v>1270024</v>
      </c>
      <c r="H22" s="355">
        <f t="shared" si="2"/>
        <v>1284803</v>
      </c>
      <c r="I22" s="355">
        <f t="shared" si="3"/>
        <v>2554827</v>
      </c>
      <c r="J22" s="227">
        <f>[7]Charter!$I22</f>
        <v>2350129</v>
      </c>
      <c r="K22" s="161">
        <f t="shared" si="4"/>
        <v>8.7100750639645744E-2</v>
      </c>
      <c r="L22" s="354">
        <f>+[6]Charter!$L$22</f>
        <v>1422138</v>
      </c>
      <c r="M22" s="355">
        <f>+[6]Charter!$M$22</f>
        <v>1438475</v>
      </c>
      <c r="N22" s="355">
        <f t="shared" ref="N22" si="7">SUM(L22:M22)</f>
        <v>2860613</v>
      </c>
      <c r="O22" s="227">
        <f>[7]Charter!$N22</f>
        <v>2625011</v>
      </c>
      <c r="P22" s="160">
        <f t="shared" ref="P22:P32" si="8">(N22-O22)/O22</f>
        <v>8.9752766750310756E-2</v>
      </c>
    </row>
    <row r="23" spans="1:16" ht="14.1" customHeight="1" x14ac:dyDescent="0.2">
      <c r="A23" s="159" t="s">
        <v>105</v>
      </c>
      <c r="B23" s="422">
        <f>+[8]Charter!$B$23</f>
        <v>102884</v>
      </c>
      <c r="C23" s="423">
        <f>+[8]Charter!$C$23</f>
        <v>82442</v>
      </c>
      <c r="D23" s="424">
        <f t="shared" ref="D23" si="9">SUM(B23:C23)</f>
        <v>185326</v>
      </c>
      <c r="E23" s="353">
        <f>[9]Charter!$D23</f>
        <v>366937</v>
      </c>
      <c r="F23" s="160">
        <f t="shared" si="1"/>
        <v>-0.49493782311404955</v>
      </c>
      <c r="G23" s="354">
        <f t="shared" si="2"/>
        <v>853906</v>
      </c>
      <c r="H23" s="355">
        <f t="shared" si="2"/>
        <v>748879</v>
      </c>
      <c r="I23" s="355">
        <f t="shared" si="3"/>
        <v>1602785</v>
      </c>
      <c r="J23" s="227">
        <f>[9]Charter!$I23</f>
        <v>3170467</v>
      </c>
      <c r="K23" s="161">
        <f t="shared" si="4"/>
        <v>-0.49446406475765242</v>
      </c>
      <c r="L23" s="354">
        <f>+[8]Charter!$L$23</f>
        <v>956790</v>
      </c>
      <c r="M23" s="355">
        <f>+[8]Charter!$M$23</f>
        <v>831321</v>
      </c>
      <c r="N23" s="355">
        <f t="shared" ref="N23" si="10">SUM(L23:M23)</f>
        <v>1788111</v>
      </c>
      <c r="O23" s="227">
        <f>[9]Charter!$N23</f>
        <v>3537404</v>
      </c>
      <c r="P23" s="160">
        <f t="shared" si="8"/>
        <v>-0.49451320799094478</v>
      </c>
    </row>
    <row r="24" spans="1:16" ht="14.1" customHeight="1" x14ac:dyDescent="0.2">
      <c r="A24" s="159" t="s">
        <v>106</v>
      </c>
      <c r="B24" s="422">
        <f>+[10]Charter!$B$24</f>
        <v>347</v>
      </c>
      <c r="C24" s="423">
        <f>+[10]Charter!$C$24</f>
        <v>541</v>
      </c>
      <c r="D24" s="424">
        <f t="shared" ref="D24" si="11">SUM(B24:C24)</f>
        <v>888</v>
      </c>
      <c r="E24" s="353">
        <f>[11]Charter!$D24</f>
        <v>249952</v>
      </c>
      <c r="F24" s="160">
        <f t="shared" si="1"/>
        <v>-0.99644731788503393</v>
      </c>
      <c r="G24" s="354">
        <f t="shared" ref="G24" si="12">L24-B24</f>
        <v>80644</v>
      </c>
      <c r="H24" s="355">
        <f t="shared" ref="H24" si="13">M24-C24</f>
        <v>69951</v>
      </c>
      <c r="I24" s="355">
        <f t="shared" si="3"/>
        <v>150595</v>
      </c>
      <c r="J24" s="227">
        <f>[11]Charter!$I24</f>
        <v>2886078</v>
      </c>
      <c r="K24" s="161">
        <f t="shared" si="4"/>
        <v>-0.94782019058389966</v>
      </c>
      <c r="L24" s="354">
        <f>+[10]Charter!$L$24</f>
        <v>80991</v>
      </c>
      <c r="M24" s="355">
        <f>+[10]Charter!$M$24</f>
        <v>70492</v>
      </c>
      <c r="N24" s="355">
        <f t="shared" ref="N24" si="14">SUM(L24:M24)</f>
        <v>151483</v>
      </c>
      <c r="O24" s="227">
        <f>[11]Charter!$N24</f>
        <v>3136030</v>
      </c>
      <c r="P24" s="160">
        <f t="shared" si="8"/>
        <v>-0.95169593403124331</v>
      </c>
    </row>
    <row r="25" spans="1:16" ht="14.1" customHeight="1" x14ac:dyDescent="0.2">
      <c r="A25" s="146" t="s">
        <v>76</v>
      </c>
      <c r="B25" s="422">
        <f>+[12]Charter!$B$25</f>
        <v>965</v>
      </c>
      <c r="C25" s="423">
        <f>+[12]Charter!$C$25</f>
        <v>487</v>
      </c>
      <c r="D25" s="424">
        <f t="shared" ref="D25" si="15">SUM(B25:C25)</f>
        <v>1452</v>
      </c>
      <c r="E25" s="353">
        <f>[13]Charter!$D25</f>
        <v>253273</v>
      </c>
      <c r="F25" s="149">
        <f t="shared" si="1"/>
        <v>-0.99426705570668805</v>
      </c>
      <c r="G25" s="354">
        <f t="shared" ref="G25" si="16">L25-B25</f>
        <v>144345</v>
      </c>
      <c r="H25" s="355">
        <f t="shared" ref="H25" si="17">M25-C25</f>
        <v>138273</v>
      </c>
      <c r="I25" s="355">
        <f t="shared" si="3"/>
        <v>282618</v>
      </c>
      <c r="J25" s="227">
        <f>[13]Charter!$I25</f>
        <v>3087539</v>
      </c>
      <c r="K25" s="155">
        <f t="shared" si="4"/>
        <v>-0.90846496190007642</v>
      </c>
      <c r="L25" s="354">
        <f>+[12]Charter!$L$25</f>
        <v>145310</v>
      </c>
      <c r="M25" s="355">
        <f>+[12]Charter!$M$25</f>
        <v>138760</v>
      </c>
      <c r="N25" s="355">
        <f t="shared" ref="N25" si="18">SUM(L25:M25)</f>
        <v>284070</v>
      </c>
      <c r="O25" s="227">
        <f>[13]Charter!$N25</f>
        <v>3340812</v>
      </c>
      <c r="P25" s="149">
        <f t="shared" si="8"/>
        <v>-0.91496977381546762</v>
      </c>
    </row>
    <row r="26" spans="1:16" ht="14.1" customHeight="1" x14ac:dyDescent="0.2">
      <c r="A26" s="159" t="s">
        <v>107</v>
      </c>
      <c r="B26" s="422">
        <f>+[14]Charter!$B$26</f>
        <v>1529</v>
      </c>
      <c r="C26" s="423">
        <f>+[14]Charter!$C$26</f>
        <v>780</v>
      </c>
      <c r="D26" s="424">
        <f t="shared" ref="D26" si="19">SUM(B26:C26)</f>
        <v>2309</v>
      </c>
      <c r="E26" s="353">
        <f>[15]Charter!$D26</f>
        <v>288101</v>
      </c>
      <c r="F26" s="160">
        <f t="shared" si="1"/>
        <v>-0.99198544954720735</v>
      </c>
      <c r="G26" s="354">
        <f t="shared" ref="G26" si="20">L26-B26</f>
        <v>257876</v>
      </c>
      <c r="H26" s="355">
        <f t="shared" ref="H26" si="21">M26-C26</f>
        <v>253532</v>
      </c>
      <c r="I26" s="355">
        <f t="shared" si="3"/>
        <v>511408</v>
      </c>
      <c r="J26" s="227">
        <f>[15]Charter!$I26</f>
        <v>3379244</v>
      </c>
      <c r="K26" s="161">
        <f t="shared" si="4"/>
        <v>-0.84866200842555317</v>
      </c>
      <c r="L26" s="354">
        <f>+[14]Charter!$L$26</f>
        <v>259405</v>
      </c>
      <c r="M26" s="355">
        <f>+[14]Charter!$M$26</f>
        <v>254312</v>
      </c>
      <c r="N26" s="355">
        <f t="shared" ref="N26" si="22">SUM(L26:M26)</f>
        <v>513717</v>
      </c>
      <c r="O26" s="227">
        <f>[15]Charter!$N26</f>
        <v>3667345</v>
      </c>
      <c r="P26" s="160">
        <f t="shared" si="8"/>
        <v>-0.85992127819989661</v>
      </c>
    </row>
    <row r="27" spans="1:16" ht="14.1" customHeight="1" x14ac:dyDescent="0.2">
      <c r="A27" s="146" t="s">
        <v>108</v>
      </c>
      <c r="B27" s="422">
        <f>+[16]Charter!$B$27</f>
        <v>1298</v>
      </c>
      <c r="C27" s="423">
        <f>+[16]Charter!$C$27</f>
        <v>972</v>
      </c>
      <c r="D27" s="424">
        <f t="shared" ref="D27" si="23">SUM(B27:C27)</f>
        <v>2270</v>
      </c>
      <c r="E27" s="353">
        <f>[17]Charter!$D27</f>
        <v>296768</v>
      </c>
      <c r="F27" s="149">
        <f t="shared" si="1"/>
        <v>-0.99235092732370067</v>
      </c>
      <c r="G27" s="354">
        <f t="shared" ref="G27" si="24">L27-B27</f>
        <v>467454</v>
      </c>
      <c r="H27" s="355">
        <f t="shared" ref="H27" si="25">M27-C27</f>
        <v>475001</v>
      </c>
      <c r="I27" s="355">
        <f t="shared" ref="I27" si="26">SUM(G27:H27)</f>
        <v>942455</v>
      </c>
      <c r="J27" s="227">
        <f>[17]Charter!$I27</f>
        <v>3548261</v>
      </c>
      <c r="K27" s="155">
        <f t="shared" si="4"/>
        <v>-0.73438960662702091</v>
      </c>
      <c r="L27" s="354">
        <f>+[16]Charter!$L$27</f>
        <v>468752</v>
      </c>
      <c r="M27" s="355">
        <f>+[16]Charter!$M$27</f>
        <v>475973</v>
      </c>
      <c r="N27" s="355">
        <f t="shared" ref="N27" si="27">SUM(L27:M27)</f>
        <v>944725</v>
      </c>
      <c r="O27" s="227">
        <f>[17]Charter!$N27</f>
        <v>3845029</v>
      </c>
      <c r="P27" s="149">
        <f t="shared" si="8"/>
        <v>-0.75429964247343784</v>
      </c>
    </row>
    <row r="28" spans="1:16" ht="14.1" customHeight="1" x14ac:dyDescent="0.2">
      <c r="A28" s="159" t="s">
        <v>109</v>
      </c>
      <c r="B28" s="422">
        <f>+[18]Charter!$B$28</f>
        <v>1482</v>
      </c>
      <c r="C28" s="423">
        <f>+[18]Charter!$C$28</f>
        <v>1488</v>
      </c>
      <c r="D28" s="424">
        <f>SUM(B28:C28)</f>
        <v>2970</v>
      </c>
      <c r="E28" s="353">
        <f>[19]Charter!$D28</f>
        <v>306857</v>
      </c>
      <c r="F28" s="160">
        <f t="shared" si="1"/>
        <v>-0.99032122454433169</v>
      </c>
      <c r="G28" s="354">
        <f t="shared" ref="G28" si="28">L28-B28</f>
        <v>563349</v>
      </c>
      <c r="H28" s="355">
        <f t="shared" ref="H28" si="29">M28-C28</f>
        <v>566075</v>
      </c>
      <c r="I28" s="355">
        <f t="shared" ref="I28" si="30">SUM(G28:H28)</f>
        <v>1129424</v>
      </c>
      <c r="J28" s="227">
        <f>[19]Charter!$I28</f>
        <v>3538740</v>
      </c>
      <c r="K28" s="161">
        <f t="shared" si="4"/>
        <v>-0.68084007302034055</v>
      </c>
      <c r="L28" s="354">
        <f>+[18]Charter!$L$28</f>
        <v>564831</v>
      </c>
      <c r="M28" s="355">
        <f>+[18]Charter!$M$28</f>
        <v>567563</v>
      </c>
      <c r="N28" s="355">
        <f t="shared" ref="N28" si="31">SUM(L28:M28)</f>
        <v>1132394</v>
      </c>
      <c r="O28" s="227">
        <f>[19]Charter!$N28</f>
        <v>3845597</v>
      </c>
      <c r="P28" s="160">
        <f t="shared" si="8"/>
        <v>-0.70553492734678125</v>
      </c>
    </row>
    <row r="29" spans="1:16" ht="14.1" customHeight="1" x14ac:dyDescent="0.2">
      <c r="A29" s="146" t="s">
        <v>110</v>
      </c>
      <c r="B29" s="422">
        <f>+[20]Charter!$B$29</f>
        <v>1310</v>
      </c>
      <c r="C29" s="423">
        <f>+[20]Charter!$C$29</f>
        <v>1152</v>
      </c>
      <c r="D29" s="424">
        <f>SUM(B29:C29)</f>
        <v>2462</v>
      </c>
      <c r="E29" s="353">
        <f>[21]Charter!$D29</f>
        <v>270210</v>
      </c>
      <c r="F29" s="149">
        <f t="shared" si="1"/>
        <v>-0.99088856815069759</v>
      </c>
      <c r="G29" s="354">
        <f t="shared" ref="G29" si="32">L29-B29</f>
        <v>515223</v>
      </c>
      <c r="H29" s="355">
        <f t="shared" ref="H29" si="33">M29-C29</f>
        <v>518017</v>
      </c>
      <c r="I29" s="355">
        <f t="shared" ref="I29" si="34">SUM(G29:H29)</f>
        <v>1033240</v>
      </c>
      <c r="J29" s="227">
        <f>[21]Charter!$I29</f>
        <v>2978352</v>
      </c>
      <c r="K29" s="155">
        <f t="shared" si="4"/>
        <v>-0.65308331587401358</v>
      </c>
      <c r="L29" s="354">
        <f>+[20]Charter!$L$29</f>
        <v>516533</v>
      </c>
      <c r="M29" s="355">
        <f>+[20]Charter!$M$29</f>
        <v>519169</v>
      </c>
      <c r="N29" s="355">
        <f t="shared" ref="N29" si="35">SUM(L29:M29)</f>
        <v>1035702</v>
      </c>
      <c r="O29" s="227">
        <f>[21]Charter!$N29</f>
        <v>3248562</v>
      </c>
      <c r="P29" s="149">
        <f t="shared" si="8"/>
        <v>-0.68118139656869714</v>
      </c>
    </row>
    <row r="30" spans="1:16" ht="14.1" customHeight="1" x14ac:dyDescent="0.2">
      <c r="A30" s="159" t="s">
        <v>111</v>
      </c>
      <c r="B30" s="422">
        <f>+[2]Charter!$B$30</f>
        <v>2417</v>
      </c>
      <c r="C30" s="423">
        <f>+[2]Charter!$C$30</f>
        <v>2292</v>
      </c>
      <c r="D30" s="424">
        <f>SUM(B30:C30)</f>
        <v>4709</v>
      </c>
      <c r="E30" s="353">
        <f>[22]Charter!$D30</f>
        <v>250015</v>
      </c>
      <c r="F30" s="160">
        <f t="shared" si="1"/>
        <v>-0.98116513009219442</v>
      </c>
      <c r="G30" s="354">
        <f t="shared" ref="G30" si="36">L30-B30</f>
        <v>558192</v>
      </c>
      <c r="H30" s="355">
        <f t="shared" ref="H30" si="37">M30-C30</f>
        <v>585310</v>
      </c>
      <c r="I30" s="355">
        <f t="shared" ref="I30" si="38">SUM(G30:H30)</f>
        <v>1143502</v>
      </c>
      <c r="J30" s="227">
        <f>[22]Charter!$I30</f>
        <v>3134707</v>
      </c>
      <c r="K30" s="161">
        <f t="shared" si="4"/>
        <v>-0.63521247759359967</v>
      </c>
      <c r="L30" s="354">
        <f>+[2]Charter!$L$30</f>
        <v>560609</v>
      </c>
      <c r="M30" s="355">
        <f>+[2]Charter!$M$30</f>
        <v>587602</v>
      </c>
      <c r="N30" s="355">
        <f t="shared" ref="N30" si="39">SUM(L30:M30)</f>
        <v>1148211</v>
      </c>
      <c r="O30" s="227">
        <f>[22]Charter!$N30</f>
        <v>3384722</v>
      </c>
      <c r="P30" s="160">
        <f t="shared" si="8"/>
        <v>-0.6607665267634979</v>
      </c>
    </row>
    <row r="31" spans="1:16" ht="14.1" customHeight="1" x14ac:dyDescent="0.2">
      <c r="A31" s="146" t="s">
        <v>112</v>
      </c>
      <c r="B31" s="425">
        <f>'Intl Detail'!$P$4+'Intl Detail'!$P$9</f>
        <v>6268</v>
      </c>
      <c r="C31" s="426">
        <f>'Intl Detail'!$P$5+'Intl Detail'!$P$10</f>
        <v>8080</v>
      </c>
      <c r="D31" s="424">
        <f>SUM(B31:C31)</f>
        <v>14348</v>
      </c>
      <c r="E31" s="353">
        <f>[1]Charter!$D31</f>
        <v>210527</v>
      </c>
      <c r="F31" s="149">
        <f t="shared" si="1"/>
        <v>-0.9318472214965301</v>
      </c>
      <c r="G31" s="354">
        <f t="shared" ref="G31" si="40">L31-B31</f>
        <v>493382</v>
      </c>
      <c r="H31" s="355">
        <f t="shared" ref="H31" si="41">M31-C31</f>
        <v>496050</v>
      </c>
      <c r="I31" s="355">
        <f t="shared" ref="I31" si="42">SUM(G31:H31)</f>
        <v>989432</v>
      </c>
      <c r="J31" s="227">
        <f>[1]Charter!$I31</f>
        <v>2756073</v>
      </c>
      <c r="K31" s="155">
        <f t="shared" si="4"/>
        <v>-0.64099934943668035</v>
      </c>
      <c r="L31" s="354">
        <f>'Monthly Summary'!$B$11</f>
        <v>499650</v>
      </c>
      <c r="M31" s="355">
        <f>'Monthly Summary'!$C$11</f>
        <v>504130</v>
      </c>
      <c r="N31" s="355">
        <f t="shared" ref="N31" si="43">SUM(L31:M31)</f>
        <v>1003780</v>
      </c>
      <c r="O31" s="227">
        <f>[1]Charter!$N31</f>
        <v>2966600</v>
      </c>
      <c r="P31" s="149">
        <f t="shared" si="8"/>
        <v>-0.66163958740645856</v>
      </c>
    </row>
    <row r="32" spans="1:16" ht="14.1" customHeight="1" x14ac:dyDescent="0.2">
      <c r="A32" s="162" t="s">
        <v>113</v>
      </c>
      <c r="B32" s="221"/>
      <c r="C32" s="222"/>
      <c r="D32" s="104">
        <f t="shared" si="0"/>
        <v>0</v>
      </c>
      <c r="E32" s="227"/>
      <c r="F32" s="163" t="e">
        <f t="shared" si="1"/>
        <v>#DIV/0!</v>
      </c>
      <c r="G32" s="164"/>
      <c r="H32" s="104"/>
      <c r="I32" s="104">
        <f t="shared" ref="I32" si="44">SUM(G32:H32)</f>
        <v>0</v>
      </c>
      <c r="J32" s="227"/>
      <c r="K32" s="163" t="e">
        <f t="shared" si="4"/>
        <v>#DIV/0!</v>
      </c>
      <c r="L32" s="221"/>
      <c r="M32" s="222"/>
      <c r="N32" s="104">
        <f t="shared" si="5"/>
        <v>0</v>
      </c>
      <c r="O32" s="227"/>
      <c r="P32" s="163" t="e">
        <f t="shared" si="8"/>
        <v>#DIV/0!</v>
      </c>
    </row>
    <row r="33" spans="1:16" ht="13.5" thickBot="1" x14ac:dyDescent="0.25">
      <c r="A33" s="156" t="s">
        <v>77</v>
      </c>
      <c r="B33" s="165">
        <f>SUM(B21:B32)</f>
        <v>424632</v>
      </c>
      <c r="C33" s="166">
        <f>SUM(C21:C32)</f>
        <v>396959</v>
      </c>
      <c r="D33" s="166">
        <f>SUM(D21:D32)</f>
        <v>821591</v>
      </c>
      <c r="E33" s="167">
        <f>SUM(E21:E32)</f>
        <v>3034233</v>
      </c>
      <c r="F33" s="151">
        <f>(D33-E33)/E33</f>
        <v>-0.72922613391918156</v>
      </c>
      <c r="G33" s="168">
        <f>SUM(G21:G32)</f>
        <v>6493247</v>
      </c>
      <c r="H33" s="166">
        <f>SUM(H21:H32)</f>
        <v>6463411</v>
      </c>
      <c r="I33" s="166">
        <f>SUM(I21:I32)</f>
        <v>12956658</v>
      </c>
      <c r="J33" s="169">
        <f>SUM(J21:J32)</f>
        <v>33299720</v>
      </c>
      <c r="K33" s="152">
        <f>(I33-J33)/J33</f>
        <v>-0.61090789952588187</v>
      </c>
      <c r="L33" s="168">
        <f>SUM(L21:L32)</f>
        <v>6917879</v>
      </c>
      <c r="M33" s="166">
        <f>SUM(M21:M32)</f>
        <v>6860370</v>
      </c>
      <c r="N33" s="166">
        <f>SUM(N21:N32)</f>
        <v>13778249</v>
      </c>
      <c r="O33" s="167">
        <f>SUM(O21:O32)</f>
        <v>36333953</v>
      </c>
      <c r="P33" s="150">
        <f>(N33-O33)/O33</f>
        <v>-0.62078860508241429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November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B2" sqref="B2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8" t="s">
        <v>227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80"/>
    </row>
    <row r="2" spans="1:20" s="21" customFormat="1" ht="39" customHeight="1" thickBot="1" x14ac:dyDescent="0.25">
      <c r="A2" s="257">
        <v>44136</v>
      </c>
      <c r="B2" s="303" t="s">
        <v>204</v>
      </c>
      <c r="C2" s="303" t="s">
        <v>177</v>
      </c>
      <c r="D2" s="359" t="s">
        <v>84</v>
      </c>
      <c r="E2" s="303" t="s">
        <v>228</v>
      </c>
      <c r="F2" s="358" t="s">
        <v>209</v>
      </c>
      <c r="G2" s="304" t="s">
        <v>82</v>
      </c>
      <c r="H2" s="358" t="s">
        <v>178</v>
      </c>
      <c r="I2" s="303" t="s">
        <v>229</v>
      </c>
      <c r="J2" s="358" t="s">
        <v>86</v>
      </c>
      <c r="K2" s="303" t="s">
        <v>230</v>
      </c>
      <c r="L2" s="303" t="s">
        <v>231</v>
      </c>
      <c r="M2" s="303" t="s">
        <v>225</v>
      </c>
      <c r="N2" s="304" t="s">
        <v>83</v>
      </c>
      <c r="O2" s="358" t="s">
        <v>128</v>
      </c>
      <c r="P2" s="358" t="s">
        <v>21</v>
      </c>
    </row>
    <row r="3" spans="1:20" ht="15" x14ac:dyDescent="0.25">
      <c r="A3" s="127" t="s">
        <v>9</v>
      </c>
      <c r="B3" s="441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2"/>
      <c r="R3" s="323"/>
      <c r="S3" s="323"/>
      <c r="T3" s="323"/>
    </row>
    <row r="4" spans="1:20" x14ac:dyDescent="0.2">
      <c r="A4" s="31" t="s">
        <v>53</v>
      </c>
      <c r="B4" s="164">
        <f>'[3]Atlas Air'!$GZ$4</f>
        <v>1</v>
      </c>
      <c r="C4" s="104">
        <f>[3]DHL!$GZ$4+[3]DHL_Atlas!$GZ$4+[3]DHL_Atlas!$GZ$8+[3]DHL_Atlas!$GZ$15</f>
        <v>0</v>
      </c>
      <c r="D4" s="83">
        <f>[3]Bemidji!$GZ$4</f>
        <v>203</v>
      </c>
      <c r="E4" s="104">
        <f>[3]DHL_Encore!$GZ$4+[3]DHL_Encore!$GZ$15</f>
        <v>41</v>
      </c>
      <c r="F4" s="104">
        <f>[3]Encore!$GZ$4+[3]Encore!$GZ$15</f>
        <v>0</v>
      </c>
      <c r="G4" s="104">
        <f>[3]FedEx!$GZ$4+[3]FedEx!$GZ$15</f>
        <v>132</v>
      </c>
      <c r="H4" s="104">
        <f>[3]IFL!$GZ$4+[3]IFL!$GZ$15</f>
        <v>16</v>
      </c>
      <c r="I4" s="104">
        <f>[3]DHL_Kalitta!$GZ$4+[3]DHL_Kalitta!$GZ$15</f>
        <v>1</v>
      </c>
      <c r="J4" s="83">
        <f>'[3]Mountain Cargo'!$GZ$4</f>
        <v>19</v>
      </c>
      <c r="K4" s="104">
        <f>[3]DHL_Southair!$GZ$4+[3]DHL_Southair!$GZ$15</f>
        <v>0</v>
      </c>
      <c r="L4" s="104">
        <f>[3]DHL_Swift!$GZ$4+[3]DHL_Swift!$GZ$15</f>
        <v>22</v>
      </c>
      <c r="M4" s="104">
        <f>+'[3]Sun Country Cargo'!$GZ$4+'[3]Sun Country Cargo'!$GZ$8+'[3]Sun Country Cargo'!$GZ$15</f>
        <v>34</v>
      </c>
      <c r="N4" s="104">
        <f>[3]UPS!$GZ$4+[3]UPS!$GZ$15</f>
        <v>145</v>
      </c>
      <c r="O4" s="83">
        <f>'[3]Misc Cargo'!$GZ$4</f>
        <v>1</v>
      </c>
      <c r="P4" s="413">
        <f>SUM(B4:O4)</f>
        <v>615</v>
      </c>
      <c r="R4" s="323"/>
      <c r="S4" s="323"/>
      <c r="T4" s="193"/>
    </row>
    <row r="5" spans="1:20" x14ac:dyDescent="0.2">
      <c r="A5" s="31" t="s">
        <v>54</v>
      </c>
      <c r="B5" s="442">
        <f>'[3]Atlas Air'!$GZ$5</f>
        <v>1</v>
      </c>
      <c r="C5" s="126">
        <f>[3]DHL!$GZ$5+[3]DHL_Atlas!$GZ$5+[3]DHL_Atlas!$GZ$9+[3]DHL_Atlas!$GZ$16</f>
        <v>0</v>
      </c>
      <c r="D5" s="84">
        <f>[3]Bemidji!$GZ$5</f>
        <v>203</v>
      </c>
      <c r="E5" s="126">
        <f>[3]DHL_Encore!$GZ$5</f>
        <v>41</v>
      </c>
      <c r="F5" s="126">
        <f>[3]Encore!$GZ$5</f>
        <v>0</v>
      </c>
      <c r="G5" s="126">
        <f>[3]FedEx!$GZ$5</f>
        <v>132</v>
      </c>
      <c r="H5" s="126">
        <f>[3]IFL!$GZ$5</f>
        <v>16</v>
      </c>
      <c r="I5" s="126">
        <f>[3]DHL_Kalitta!$GZ$5</f>
        <v>1</v>
      </c>
      <c r="J5" s="84">
        <f>'[3]Mountain Cargo'!$GZ$5</f>
        <v>19</v>
      </c>
      <c r="K5" s="126">
        <f>[3]DHL_Southair!$GZ$5</f>
        <v>0</v>
      </c>
      <c r="L5" s="126">
        <f>[3]DHL_Swift!$GZ$5</f>
        <v>22</v>
      </c>
      <c r="M5" s="126">
        <f>+'[3]Sun Country Cargo'!$GZ$5+'[3]Sun Country Cargo'!$GZ$9+'[3]Sun Country Cargo'!$GZ$16</f>
        <v>33</v>
      </c>
      <c r="N5" s="126">
        <f>[3]UPS!$GZ$5+[3]UPS!$GZ$16</f>
        <v>145</v>
      </c>
      <c r="O5" s="84">
        <f>'[3]Misc Cargo'!$GZ$5</f>
        <v>0</v>
      </c>
      <c r="P5" s="413">
        <f t="shared" ref="P5:P10" si="0">SUM(B5:O5)</f>
        <v>613</v>
      </c>
      <c r="R5" s="323"/>
      <c r="S5" s="323"/>
      <c r="T5" s="193"/>
    </row>
    <row r="6" spans="1:20" s="123" customFormat="1" x14ac:dyDescent="0.2">
      <c r="A6" s="129" t="s">
        <v>55</v>
      </c>
      <c r="B6" s="443">
        <f t="shared" ref="B6:N6" si="1">SUM(B4:B5)</f>
        <v>2</v>
      </c>
      <c r="C6" s="130">
        <f t="shared" si="1"/>
        <v>0</v>
      </c>
      <c r="D6" s="82">
        <f t="shared" si="1"/>
        <v>406</v>
      </c>
      <c r="E6" s="130">
        <f t="shared" si="1"/>
        <v>82</v>
      </c>
      <c r="F6" s="130">
        <f t="shared" si="1"/>
        <v>0</v>
      </c>
      <c r="G6" s="130">
        <f t="shared" si="1"/>
        <v>264</v>
      </c>
      <c r="H6" s="130">
        <f t="shared" si="1"/>
        <v>32</v>
      </c>
      <c r="I6" s="130">
        <f t="shared" si="1"/>
        <v>2</v>
      </c>
      <c r="J6" s="82">
        <f t="shared" si="1"/>
        <v>38</v>
      </c>
      <c r="K6" s="130">
        <f t="shared" si="1"/>
        <v>0</v>
      </c>
      <c r="L6" s="130">
        <f t="shared" si="1"/>
        <v>44</v>
      </c>
      <c r="M6" s="130">
        <f t="shared" si="1"/>
        <v>67</v>
      </c>
      <c r="N6" s="130">
        <f t="shared" si="1"/>
        <v>290</v>
      </c>
      <c r="O6" s="82">
        <f t="shared" ref="O6" si="2">SUM(O4:O5)</f>
        <v>1</v>
      </c>
      <c r="P6" s="413">
        <f t="shared" si="0"/>
        <v>1228</v>
      </c>
      <c r="T6" s="264"/>
    </row>
    <row r="7" spans="1:20" x14ac:dyDescent="0.2">
      <c r="A7" s="31"/>
      <c r="B7" s="164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3"/>
      <c r="R7" s="300"/>
      <c r="S7" s="323"/>
      <c r="T7" s="193"/>
    </row>
    <row r="8" spans="1:20" x14ac:dyDescent="0.2">
      <c r="A8" s="31" t="s">
        <v>56</v>
      </c>
      <c r="B8" s="164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Cargo'!$GZ$8</f>
        <v>0</v>
      </c>
      <c r="P8" s="413">
        <f t="shared" si="0"/>
        <v>0</v>
      </c>
      <c r="R8" s="323"/>
      <c r="S8" s="323"/>
      <c r="T8" s="193"/>
    </row>
    <row r="9" spans="1:20" ht="15" x14ac:dyDescent="0.25">
      <c r="A9" s="31" t="s">
        <v>57</v>
      </c>
      <c r="B9" s="442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Cargo'!$GZ$9</f>
        <v>0</v>
      </c>
      <c r="P9" s="413">
        <f t="shared" si="0"/>
        <v>0</v>
      </c>
      <c r="R9" s="323"/>
      <c r="S9" s="8"/>
      <c r="T9" s="193"/>
    </row>
    <row r="10" spans="1:20" s="123" customFormat="1" x14ac:dyDescent="0.2">
      <c r="A10" s="129" t="s">
        <v>58</v>
      </c>
      <c r="B10" s="443">
        <f t="shared" ref="B10:N10" si="3">SUM(B8:B9)</f>
        <v>0</v>
      </c>
      <c r="C10" s="130">
        <f t="shared" si="3"/>
        <v>0</v>
      </c>
      <c r="D10" s="82">
        <f t="shared" si="3"/>
        <v>0</v>
      </c>
      <c r="E10" s="130">
        <f t="shared" si="3"/>
        <v>0</v>
      </c>
      <c r="F10" s="130">
        <f t="shared" si="3"/>
        <v>0</v>
      </c>
      <c r="G10" s="130">
        <f t="shared" si="3"/>
        <v>0</v>
      </c>
      <c r="H10" s="130">
        <f t="shared" si="3"/>
        <v>0</v>
      </c>
      <c r="I10" s="130">
        <f t="shared" si="3"/>
        <v>0</v>
      </c>
      <c r="J10" s="82">
        <f t="shared" si="3"/>
        <v>0</v>
      </c>
      <c r="K10" s="130">
        <f t="shared" si="3"/>
        <v>0</v>
      </c>
      <c r="L10" s="130">
        <f t="shared" si="3"/>
        <v>0</v>
      </c>
      <c r="M10" s="130">
        <f t="shared" si="3"/>
        <v>0</v>
      </c>
      <c r="N10" s="130">
        <f t="shared" si="3"/>
        <v>0</v>
      </c>
      <c r="O10" s="82">
        <f t="shared" ref="O10" si="4">SUM(O8:O9)</f>
        <v>0</v>
      </c>
      <c r="P10" s="413">
        <f t="shared" si="0"/>
        <v>0</v>
      </c>
      <c r="T10" s="264"/>
    </row>
    <row r="11" spans="1:20" x14ac:dyDescent="0.2">
      <c r="A11" s="31"/>
      <c r="B11" s="164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2"/>
      <c r="R11" s="323"/>
      <c r="S11" s="323"/>
      <c r="T11" s="193"/>
    </row>
    <row r="12" spans="1:20" ht="18" customHeight="1" thickBot="1" x14ac:dyDescent="0.25">
      <c r="A12" s="131" t="s">
        <v>28</v>
      </c>
      <c r="B12" s="444">
        <f t="shared" ref="B12:N12" si="5">B6+B10</f>
        <v>2</v>
      </c>
      <c r="C12" s="132">
        <f t="shared" si="5"/>
        <v>0</v>
      </c>
      <c r="D12" s="133">
        <f t="shared" si="5"/>
        <v>406</v>
      </c>
      <c r="E12" s="132">
        <f t="shared" si="5"/>
        <v>82</v>
      </c>
      <c r="F12" s="132">
        <f t="shared" si="5"/>
        <v>0</v>
      </c>
      <c r="G12" s="132">
        <f t="shared" si="5"/>
        <v>264</v>
      </c>
      <c r="H12" s="132">
        <f t="shared" si="5"/>
        <v>32</v>
      </c>
      <c r="I12" s="132">
        <f t="shared" si="5"/>
        <v>2</v>
      </c>
      <c r="J12" s="133">
        <f t="shared" si="5"/>
        <v>38</v>
      </c>
      <c r="K12" s="132">
        <f t="shared" si="5"/>
        <v>0</v>
      </c>
      <c r="L12" s="132">
        <f t="shared" si="5"/>
        <v>44</v>
      </c>
      <c r="M12" s="132">
        <f t="shared" si="5"/>
        <v>67</v>
      </c>
      <c r="N12" s="132">
        <f t="shared" si="5"/>
        <v>290</v>
      </c>
      <c r="O12" s="133">
        <f t="shared" ref="O12" si="6">O6+O10</f>
        <v>1</v>
      </c>
      <c r="P12" s="415">
        <f>SUM(B12:O12)</f>
        <v>1228</v>
      </c>
      <c r="R12" s="323"/>
      <c r="S12" s="323"/>
      <c r="T12" s="193"/>
    </row>
    <row r="13" spans="1:20" ht="18" customHeight="1" thickBot="1" x14ac:dyDescent="0.25">
      <c r="A13" s="114"/>
      <c r="B13" s="445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3"/>
      <c r="S13" s="323"/>
      <c r="T13" s="193"/>
    </row>
    <row r="14" spans="1:20" ht="15" x14ac:dyDescent="0.25">
      <c r="A14" s="134" t="s">
        <v>93</v>
      </c>
      <c r="B14" s="446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6"/>
      <c r="R14" s="323"/>
      <c r="S14" s="323"/>
      <c r="T14" s="193"/>
    </row>
    <row r="15" spans="1:20" x14ac:dyDescent="0.2">
      <c r="A15" s="136" t="s">
        <v>94</v>
      </c>
      <c r="B15" s="164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3"/>
      <c r="S15" s="323"/>
      <c r="T15" s="193"/>
    </row>
    <row r="16" spans="1:20" x14ac:dyDescent="0.2">
      <c r="A16" s="31" t="s">
        <v>37</v>
      </c>
      <c r="B16" s="164">
        <f>'[3]Atlas Air'!$GZ$47</f>
        <v>0</v>
      </c>
      <c r="C16" s="104">
        <f>[3]DHL!$GZ$47+[3]DHL_Atlas!$GZ$47</f>
        <v>0</v>
      </c>
      <c r="D16" s="475" t="s">
        <v>87</v>
      </c>
      <c r="E16" s="104">
        <f>[3]DHL_Encore!$GZ$47</f>
        <v>75586</v>
      </c>
      <c r="F16" s="104">
        <f>[3]Encore!$GZ$47</f>
        <v>0</v>
      </c>
      <c r="G16" s="104">
        <f>[3]FedEx!$GZ$47</f>
        <v>8454911</v>
      </c>
      <c r="H16" s="104">
        <f>[3]IFL!$GZ$47</f>
        <v>56983</v>
      </c>
      <c r="I16" s="104">
        <f>[3]DHL_Kalitta!$GZ$47</f>
        <v>30527</v>
      </c>
      <c r="J16" s="83">
        <f>'[3]Mountain Cargo'!$GZ$47</f>
        <v>0</v>
      </c>
      <c r="K16" s="104">
        <f>[3]DHL_Southair!$GZ$47</f>
        <v>0</v>
      </c>
      <c r="L16" s="104">
        <f>[3]DHL_Swift!$GZ$47</f>
        <v>645196</v>
      </c>
      <c r="M16" s="104">
        <f>+'[3]Sun Country Cargo'!$GZ$47</f>
        <v>691398</v>
      </c>
      <c r="N16" s="104">
        <f>[3]UPS!$GZ$47</f>
        <v>6889531</v>
      </c>
      <c r="O16" s="83">
        <f>'[3]Misc Cargo'!$GZ$47</f>
        <v>2580</v>
      </c>
      <c r="P16" s="413">
        <f>SUM(B16:C16)+SUM(E16:O16)</f>
        <v>16846712</v>
      </c>
      <c r="R16" s="323"/>
      <c r="S16" s="323"/>
      <c r="T16" s="193"/>
    </row>
    <row r="17" spans="1:20" x14ac:dyDescent="0.2">
      <c r="A17" s="31" t="s">
        <v>38</v>
      </c>
      <c r="B17" s="164">
        <f>'[3]Atlas Air'!$GZ$48</f>
        <v>0</v>
      </c>
      <c r="C17" s="104">
        <f>[3]DHL!$GZ$48</f>
        <v>0</v>
      </c>
      <c r="D17" s="476"/>
      <c r="E17" s="104">
        <f>[3]DHL_Encore!$GZ$48</f>
        <v>0</v>
      </c>
      <c r="F17" s="104">
        <f>[3]Encore!$GZ$48</f>
        <v>0</v>
      </c>
      <c r="G17" s="104">
        <f>[3]FedEx!$GZ$48</f>
        <v>0</v>
      </c>
      <c r="H17" s="104">
        <f>[3]IFL!$GZ$48</f>
        <v>0</v>
      </c>
      <c r="I17" s="104">
        <f>[3]DHL_Kalitta!$GZ$48</f>
        <v>0</v>
      </c>
      <c r="J17" s="83">
        <f>'[3]Mountain Cargo'!$GZ$48</f>
        <v>45715</v>
      </c>
      <c r="K17" s="104">
        <f>[3]DHL_Southair!$GZ$48</f>
        <v>0</v>
      </c>
      <c r="L17" s="104">
        <f>[3]DHL_Swift!$GZ$48</f>
        <v>0</v>
      </c>
      <c r="M17" s="104">
        <f>+'[3]Sun Country Cargo'!$GZ$48</f>
        <v>0</v>
      </c>
      <c r="N17" s="104">
        <f>[3]UPS!$GZ$48</f>
        <v>568616</v>
      </c>
      <c r="O17" s="83">
        <f>'[3]Misc Cargo'!$GZ$48</f>
        <v>0</v>
      </c>
      <c r="P17" s="413">
        <f>SUM(B17:C17)+SUM(E17:O17)</f>
        <v>614331</v>
      </c>
      <c r="R17" s="323"/>
      <c r="S17" s="323"/>
      <c r="T17" s="193"/>
    </row>
    <row r="18" spans="1:20" ht="18" customHeight="1" x14ac:dyDescent="0.2">
      <c r="A18" s="137" t="s">
        <v>39</v>
      </c>
      <c r="B18" s="447">
        <f>SUM(B16:B17)</f>
        <v>0</v>
      </c>
      <c r="C18" s="197">
        <f>SUM(C16:C17)</f>
        <v>0</v>
      </c>
      <c r="D18" s="476"/>
      <c r="E18" s="197">
        <f>SUM(E16:E17)</f>
        <v>75586</v>
      </c>
      <c r="F18" s="197">
        <f>SUM(F16:F17)</f>
        <v>0</v>
      </c>
      <c r="G18" s="197">
        <f>SUM(G16:G17)</f>
        <v>8454911</v>
      </c>
      <c r="H18" s="197">
        <f>SUM(H16:H17)</f>
        <v>56983</v>
      </c>
      <c r="I18" s="197">
        <f t="shared" ref="I18:O18" si="7">SUM(I16:I17)</f>
        <v>30527</v>
      </c>
      <c r="J18" s="198">
        <f t="shared" si="7"/>
        <v>45715</v>
      </c>
      <c r="K18" s="197">
        <f t="shared" si="7"/>
        <v>0</v>
      </c>
      <c r="L18" s="197">
        <f t="shared" si="7"/>
        <v>645196</v>
      </c>
      <c r="M18" s="197">
        <f t="shared" si="7"/>
        <v>691398</v>
      </c>
      <c r="N18" s="197">
        <f t="shared" si="7"/>
        <v>7458147</v>
      </c>
      <c r="O18" s="198">
        <f t="shared" si="7"/>
        <v>2580</v>
      </c>
      <c r="P18" s="417">
        <f>SUM(B18:C18)+SUM(E18:O18)</f>
        <v>17461043</v>
      </c>
      <c r="R18" s="323"/>
      <c r="S18" s="323"/>
      <c r="T18" s="193"/>
    </row>
    <row r="19" spans="1:20" x14ac:dyDescent="0.2">
      <c r="A19" s="31"/>
      <c r="B19" s="164"/>
      <c r="C19" s="104"/>
      <c r="D19" s="476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3"/>
      <c r="R19" s="300"/>
      <c r="S19" s="323"/>
      <c r="T19" s="193"/>
    </row>
    <row r="20" spans="1:20" x14ac:dyDescent="0.2">
      <c r="A20" s="138" t="s">
        <v>88</v>
      </c>
      <c r="B20" s="164"/>
      <c r="C20" s="104"/>
      <c r="D20" s="476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3"/>
      <c r="R20" s="300"/>
      <c r="S20" s="323"/>
      <c r="T20" s="193"/>
    </row>
    <row r="21" spans="1:20" x14ac:dyDescent="0.2">
      <c r="A21" s="31" t="s">
        <v>59</v>
      </c>
      <c r="B21" s="164">
        <f>'[3]Atlas Air'!$GZ$52</f>
        <v>27341</v>
      </c>
      <c r="C21" s="104">
        <f>[3]DHL!$GZ$52+[3]DHL_Atlas!$GZ$52</f>
        <v>0</v>
      </c>
      <c r="D21" s="476"/>
      <c r="E21" s="104">
        <f>[3]DHL_Encore!$GZ$52</f>
        <v>46629</v>
      </c>
      <c r="F21" s="104">
        <f>[3]Encore!$GZ$52</f>
        <v>0</v>
      </c>
      <c r="G21" s="104">
        <f>[3]FedEx!$GZ$52</f>
        <v>7640148</v>
      </c>
      <c r="H21" s="104">
        <f>[3]IFL!$GZ$52</f>
        <v>0</v>
      </c>
      <c r="I21" s="104">
        <f>[3]DHL_Kalitta!$GZ$52</f>
        <v>17740</v>
      </c>
      <c r="J21" s="83">
        <f>'[3]Mountain Cargo'!$GZ$52</f>
        <v>0</v>
      </c>
      <c r="K21" s="104">
        <f>[3]DHL_Southair!$GZ$52</f>
        <v>0</v>
      </c>
      <c r="L21" s="104">
        <f>[3]DHL_Swift!$GZ$52</f>
        <v>359268</v>
      </c>
      <c r="M21" s="104">
        <f>+'[3]Sun Country Cargo'!$GZ$52</f>
        <v>674205</v>
      </c>
      <c r="N21" s="104">
        <f>[3]UPS!$GZ$52</f>
        <v>5596704</v>
      </c>
      <c r="O21" s="83">
        <f>'[3]Misc Cargo'!$GZ$52</f>
        <v>0</v>
      </c>
      <c r="P21" s="413">
        <f t="shared" ref="P21:P23" si="8">SUM(B21:C21)+SUM(E21:O21)</f>
        <v>14362035</v>
      </c>
      <c r="R21" s="323"/>
      <c r="S21" s="323"/>
      <c r="T21" s="193"/>
    </row>
    <row r="22" spans="1:20" x14ac:dyDescent="0.2">
      <c r="A22" s="31" t="s">
        <v>60</v>
      </c>
      <c r="B22" s="164">
        <f>'[3]Atlas Air'!$GZ$53</f>
        <v>0</v>
      </c>
      <c r="C22" s="104">
        <f>[3]DHL!$GZ$53</f>
        <v>0</v>
      </c>
      <c r="D22" s="476"/>
      <c r="E22" s="104">
        <f>[3]DHL_Encore!$GZ$53</f>
        <v>0</v>
      </c>
      <c r="F22" s="104">
        <f>[3]Encore!$GZ$53</f>
        <v>0</v>
      </c>
      <c r="G22" s="104">
        <f>[3]FedEx!$GZ$53</f>
        <v>0</v>
      </c>
      <c r="H22" s="104">
        <f>[3]IFL!$GZ$53</f>
        <v>0</v>
      </c>
      <c r="I22" s="104">
        <f>[3]DHL_Kalitta!$GZ$53</f>
        <v>0</v>
      </c>
      <c r="J22" s="83">
        <f>'[3]Mountain Cargo'!$GZ$53</f>
        <v>82211</v>
      </c>
      <c r="K22" s="104">
        <f>[3]DHL_Southair!$GZ$53</f>
        <v>0</v>
      </c>
      <c r="L22" s="104">
        <f>[3]DHL_Swift!$GZ$53</f>
        <v>0</v>
      </c>
      <c r="M22" s="104">
        <f>+'[3]Sun Country Cargo'!$GZ$53</f>
        <v>0</v>
      </c>
      <c r="N22" s="104">
        <f>[3]UPS!$GZ$53</f>
        <v>642653</v>
      </c>
      <c r="O22" s="83">
        <f>'[3]Misc Cargo'!$GZ$53</f>
        <v>0</v>
      </c>
      <c r="P22" s="413">
        <f t="shared" si="8"/>
        <v>724864</v>
      </c>
      <c r="R22" s="323"/>
      <c r="S22" s="323"/>
      <c r="T22" s="193"/>
    </row>
    <row r="23" spans="1:20" ht="18" customHeight="1" x14ac:dyDescent="0.2">
      <c r="A23" s="137" t="s">
        <v>41</v>
      </c>
      <c r="B23" s="447">
        <f>SUM(B21:B22)</f>
        <v>27341</v>
      </c>
      <c r="C23" s="197">
        <f>SUM(C21:C22)</f>
        <v>0</v>
      </c>
      <c r="D23" s="476"/>
      <c r="E23" s="197">
        <f t="shared" ref="E23:O23" si="9">SUM(E21:E22)</f>
        <v>46629</v>
      </c>
      <c r="F23" s="197">
        <f t="shared" si="9"/>
        <v>0</v>
      </c>
      <c r="G23" s="197">
        <f t="shared" si="9"/>
        <v>7640148</v>
      </c>
      <c r="H23" s="197">
        <f t="shared" si="9"/>
        <v>0</v>
      </c>
      <c r="I23" s="197">
        <f t="shared" si="9"/>
        <v>17740</v>
      </c>
      <c r="J23" s="198">
        <f t="shared" si="9"/>
        <v>82211</v>
      </c>
      <c r="K23" s="197">
        <f t="shared" si="9"/>
        <v>0</v>
      </c>
      <c r="L23" s="197">
        <f t="shared" si="9"/>
        <v>359268</v>
      </c>
      <c r="M23" s="197">
        <f t="shared" si="9"/>
        <v>674205</v>
      </c>
      <c r="N23" s="197">
        <f t="shared" si="9"/>
        <v>6239357</v>
      </c>
      <c r="O23" s="198">
        <f t="shared" si="9"/>
        <v>0</v>
      </c>
      <c r="P23" s="417">
        <f t="shared" si="8"/>
        <v>15086899</v>
      </c>
      <c r="R23" s="323"/>
      <c r="S23" s="323"/>
      <c r="T23" s="193"/>
    </row>
    <row r="24" spans="1:20" x14ac:dyDescent="0.2">
      <c r="A24" s="31"/>
      <c r="B24" s="164"/>
      <c r="C24" s="104"/>
      <c r="D24" s="476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3"/>
      <c r="R24" s="323"/>
      <c r="S24" s="323"/>
      <c r="T24" s="193"/>
    </row>
    <row r="25" spans="1:20" x14ac:dyDescent="0.2">
      <c r="A25" s="138" t="s">
        <v>95</v>
      </c>
      <c r="B25" s="164"/>
      <c r="C25" s="104"/>
      <c r="D25" s="476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3"/>
      <c r="R25" s="323"/>
      <c r="S25" s="323"/>
      <c r="T25" s="193"/>
    </row>
    <row r="26" spans="1:20" x14ac:dyDescent="0.2">
      <c r="A26" s="31" t="s">
        <v>59</v>
      </c>
      <c r="B26" s="164">
        <f>'[3]Atlas Air'!$GZ$57</f>
        <v>0</v>
      </c>
      <c r="C26" s="104">
        <f>[3]DHL!$GZ$57</f>
        <v>0</v>
      </c>
      <c r="D26" s="476"/>
      <c r="E26" s="104">
        <f>[3]DHL_Encore!$GZ$57</f>
        <v>0</v>
      </c>
      <c r="F26" s="104">
        <f>[3]Encore!$GZ$57</f>
        <v>0</v>
      </c>
      <c r="G26" s="104">
        <f>[3]FedEx!$GZ$57</f>
        <v>0</v>
      </c>
      <c r="H26" s="104">
        <f>[3]IFL!$GZ$57</f>
        <v>0</v>
      </c>
      <c r="I26" s="104">
        <f>[3]DHL_Kalitta!$GZ$57</f>
        <v>0</v>
      </c>
      <c r="J26" s="83">
        <f>'[3]Mountain Cargo'!$GZ$57</f>
        <v>0</v>
      </c>
      <c r="K26" s="104">
        <f>[3]DHL_Southair!$GZ$57</f>
        <v>0</v>
      </c>
      <c r="L26" s="104">
        <f>[3]DHL_Swift!$GZ$57</f>
        <v>0</v>
      </c>
      <c r="M26" s="104">
        <f>+'[3]Sun Country Cargo'!$GZ$57</f>
        <v>0</v>
      </c>
      <c r="N26" s="104">
        <f>[3]UPS!$GZ$57</f>
        <v>0</v>
      </c>
      <c r="O26" s="83">
        <f>'[3]Misc Cargo'!$GZ$57</f>
        <v>0</v>
      </c>
      <c r="P26" s="413">
        <f t="shared" ref="P26:P28" si="10">SUM(B26:C26)+SUM(E26:O26)</f>
        <v>0</v>
      </c>
      <c r="R26" s="323"/>
      <c r="S26" s="323"/>
      <c r="T26" s="323"/>
    </row>
    <row r="27" spans="1:20" x14ac:dyDescent="0.2">
      <c r="A27" s="31" t="s">
        <v>60</v>
      </c>
      <c r="B27" s="164">
        <f>'[3]Atlas Air'!$GZ$58</f>
        <v>0</v>
      </c>
      <c r="C27" s="104">
        <f>[3]DHL!$GZ$58</f>
        <v>0</v>
      </c>
      <c r="D27" s="476"/>
      <c r="E27" s="104">
        <f>[3]DHL_Encore!$GZ$58</f>
        <v>0</v>
      </c>
      <c r="F27" s="104">
        <f>[3]Encore!$GZ$58</f>
        <v>0</v>
      </c>
      <c r="G27" s="104">
        <f>[3]FedEx!$GZ$58</f>
        <v>0</v>
      </c>
      <c r="H27" s="104">
        <f>[3]IFL!$GZ$58</f>
        <v>0</v>
      </c>
      <c r="I27" s="104">
        <f>[3]DHL_Kalitta!$GZ$58</f>
        <v>0</v>
      </c>
      <c r="J27" s="83">
        <f>'[3]Mountain Cargo'!$GZ$58</f>
        <v>0</v>
      </c>
      <c r="K27" s="104">
        <f>[3]DHL_Southair!$GZ$58</f>
        <v>0</v>
      </c>
      <c r="L27" s="104">
        <f>[3]DHL_Swift!$GZ$58</f>
        <v>0</v>
      </c>
      <c r="M27" s="104">
        <f>+'[3]Sun Country Cargo'!$GZ$58</f>
        <v>0</v>
      </c>
      <c r="N27" s="104">
        <f>[3]UPS!$GZ$58</f>
        <v>0</v>
      </c>
      <c r="O27" s="83">
        <f>'[3]Misc Cargo'!$GZ$58</f>
        <v>0</v>
      </c>
      <c r="P27" s="413">
        <f t="shared" si="10"/>
        <v>0</v>
      </c>
      <c r="R27" s="323"/>
      <c r="S27" s="323"/>
      <c r="T27" s="193"/>
    </row>
    <row r="28" spans="1:20" ht="18" customHeight="1" x14ac:dyDescent="0.2">
      <c r="A28" s="137" t="s">
        <v>43</v>
      </c>
      <c r="B28" s="447">
        <f>SUM(B26:B27)</f>
        <v>0</v>
      </c>
      <c r="C28" s="197">
        <f>SUM(C26:C27)</f>
        <v>0</v>
      </c>
      <c r="D28" s="476"/>
      <c r="E28" s="197">
        <f t="shared" ref="E28:O28" si="11">SUM(E26:E27)</f>
        <v>0</v>
      </c>
      <c r="F28" s="197">
        <f t="shared" si="11"/>
        <v>0</v>
      </c>
      <c r="G28" s="197">
        <f t="shared" si="11"/>
        <v>0</v>
      </c>
      <c r="H28" s="197">
        <f t="shared" si="11"/>
        <v>0</v>
      </c>
      <c r="I28" s="197">
        <f t="shared" si="11"/>
        <v>0</v>
      </c>
      <c r="J28" s="198">
        <f t="shared" si="11"/>
        <v>0</v>
      </c>
      <c r="K28" s="197">
        <f t="shared" si="11"/>
        <v>0</v>
      </c>
      <c r="L28" s="197">
        <f t="shared" si="11"/>
        <v>0</v>
      </c>
      <c r="M28" s="197">
        <f t="shared" si="11"/>
        <v>0</v>
      </c>
      <c r="N28" s="197">
        <f t="shared" si="11"/>
        <v>0</v>
      </c>
      <c r="O28" s="198">
        <f t="shared" si="11"/>
        <v>0</v>
      </c>
      <c r="P28" s="417">
        <f t="shared" si="10"/>
        <v>0</v>
      </c>
      <c r="R28" s="323"/>
      <c r="S28" s="323"/>
      <c r="T28" s="323"/>
    </row>
    <row r="29" spans="1:20" x14ac:dyDescent="0.2">
      <c r="A29" s="31"/>
      <c r="B29" s="164"/>
      <c r="C29" s="104"/>
      <c r="D29" s="476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3"/>
      <c r="R29" s="323"/>
      <c r="S29" s="323"/>
      <c r="T29" s="323"/>
    </row>
    <row r="30" spans="1:20" x14ac:dyDescent="0.2">
      <c r="A30" s="139" t="s">
        <v>44</v>
      </c>
      <c r="B30" s="164"/>
      <c r="C30" s="104"/>
      <c r="D30" s="476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3"/>
      <c r="R30" s="323"/>
      <c r="S30" s="323"/>
      <c r="T30" s="323"/>
    </row>
    <row r="31" spans="1:20" x14ac:dyDescent="0.2">
      <c r="A31" s="31" t="s">
        <v>89</v>
      </c>
      <c r="B31" s="164">
        <f>B26+B21+B16</f>
        <v>27341</v>
      </c>
      <c r="C31" s="104">
        <f t="shared" ref="C31:N33" si="12">C26+C21+C16</f>
        <v>0</v>
      </c>
      <c r="D31" s="476"/>
      <c r="E31" s="104">
        <f t="shared" ref="E31:L31" si="13">E26+E21+E16</f>
        <v>122215</v>
      </c>
      <c r="F31" s="104">
        <f t="shared" ref="F31" si="14">F26+F21+F16</f>
        <v>0</v>
      </c>
      <c r="G31" s="104">
        <f t="shared" ref="G31:H33" si="15">G26+G21+G16</f>
        <v>16095059</v>
      </c>
      <c r="H31" s="104">
        <f t="shared" si="15"/>
        <v>56983</v>
      </c>
      <c r="I31" s="104">
        <f t="shared" si="13"/>
        <v>48267</v>
      </c>
      <c r="J31" s="83">
        <f>J26+J21+J16</f>
        <v>0</v>
      </c>
      <c r="K31" s="104">
        <f t="shared" si="13"/>
        <v>0</v>
      </c>
      <c r="L31" s="104">
        <f t="shared" si="13"/>
        <v>1004464</v>
      </c>
      <c r="M31" s="104">
        <f t="shared" ref="M31" si="16">M26+M21+M16</f>
        <v>1365603</v>
      </c>
      <c r="N31" s="104">
        <f t="shared" si="12"/>
        <v>12486235</v>
      </c>
      <c r="O31" s="83">
        <f>O26+O21+O16</f>
        <v>2580</v>
      </c>
      <c r="P31" s="413">
        <f t="shared" ref="P31:P32" si="17">SUM(B31:C31)+SUM(E31:O31)</f>
        <v>31208747</v>
      </c>
    </row>
    <row r="32" spans="1:20" x14ac:dyDescent="0.2">
      <c r="A32" s="31" t="s">
        <v>60</v>
      </c>
      <c r="B32" s="164">
        <f>B27+B22+B17</f>
        <v>0</v>
      </c>
      <c r="C32" s="104">
        <f t="shared" si="12"/>
        <v>0</v>
      </c>
      <c r="D32" s="477"/>
      <c r="E32" s="104">
        <f t="shared" ref="E32:L32" si="18">E27+E22+E17</f>
        <v>0</v>
      </c>
      <c r="F32" s="104">
        <f t="shared" ref="F32" si="19">F27+F22+F17</f>
        <v>0</v>
      </c>
      <c r="G32" s="104">
        <f t="shared" si="15"/>
        <v>0</v>
      </c>
      <c r="H32" s="104">
        <f t="shared" si="15"/>
        <v>0</v>
      </c>
      <c r="I32" s="104">
        <f t="shared" si="18"/>
        <v>0</v>
      </c>
      <c r="J32" s="83">
        <f>J27+J22+J17</f>
        <v>127926</v>
      </c>
      <c r="K32" s="104">
        <f t="shared" si="18"/>
        <v>0</v>
      </c>
      <c r="L32" s="104">
        <f t="shared" si="18"/>
        <v>0</v>
      </c>
      <c r="M32" s="104">
        <f t="shared" ref="M32" si="20">M27+M22+M17</f>
        <v>0</v>
      </c>
      <c r="N32" s="104">
        <f t="shared" si="12"/>
        <v>1211269</v>
      </c>
      <c r="O32" s="83">
        <f>O27+O22+O17</f>
        <v>0</v>
      </c>
      <c r="P32" s="414">
        <f t="shared" si="17"/>
        <v>1339195</v>
      </c>
    </row>
    <row r="33" spans="1:16" ht="18" customHeight="1" thickBot="1" x14ac:dyDescent="0.25">
      <c r="A33" s="131" t="s">
        <v>46</v>
      </c>
      <c r="B33" s="444">
        <f>B28+B23+B18</f>
        <v>27341</v>
      </c>
      <c r="C33" s="132">
        <f>C28+C23+C18</f>
        <v>0</v>
      </c>
      <c r="D33" s="199">
        <f>D28+D23+D18</f>
        <v>0</v>
      </c>
      <c r="E33" s="132">
        <f>E28+E23+E18</f>
        <v>122215</v>
      </c>
      <c r="F33" s="132">
        <f>F28+F23+F18</f>
        <v>0</v>
      </c>
      <c r="G33" s="132">
        <f t="shared" si="15"/>
        <v>16095059</v>
      </c>
      <c r="H33" s="132">
        <f t="shared" si="15"/>
        <v>56983</v>
      </c>
      <c r="I33" s="132">
        <f t="shared" ref="I33:L33" si="21">I28+I23+I18</f>
        <v>48267</v>
      </c>
      <c r="J33" s="133">
        <f>J28+J23+J18</f>
        <v>127926</v>
      </c>
      <c r="K33" s="132">
        <f t="shared" si="21"/>
        <v>0</v>
      </c>
      <c r="L33" s="132">
        <f t="shared" si="21"/>
        <v>1004464</v>
      </c>
      <c r="M33" s="132">
        <f t="shared" si="12"/>
        <v>1365603</v>
      </c>
      <c r="N33" s="132">
        <f t="shared" si="12"/>
        <v>13697504</v>
      </c>
      <c r="O33" s="133">
        <f t="shared" ref="O33" si="22">O28+O23+O18</f>
        <v>2580</v>
      </c>
      <c r="P33" s="415">
        <f>SUM(B33:C33)+SUM(E33:O33)</f>
        <v>32547942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D16:D32"/>
    <mergeCell ref="B1:O1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7
&amp;CMinneapolis-St. Paul International Airport
&amp;"Arial,Bold"Cargo
November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9"/>
  <sheetViews>
    <sheetView zoomScaleNormal="100" workbookViewId="0">
      <selection activeCell="K37" sqref="K3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7">
        <v>44136</v>
      </c>
      <c r="B2" s="50" t="s">
        <v>63</v>
      </c>
      <c r="C2" s="50" t="s">
        <v>64</v>
      </c>
      <c r="D2" s="50" t="s">
        <v>65</v>
      </c>
      <c r="E2" s="210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763975</v>
      </c>
      <c r="C5" s="83">
        <f>'Regional Major'!M25</f>
        <v>405</v>
      </c>
      <c r="D5" s="83">
        <f>Cargo!P16</f>
        <v>16846712</v>
      </c>
      <c r="E5" s="83">
        <f>SUM(B5:D5)</f>
        <v>17611092</v>
      </c>
      <c r="F5" s="83">
        <f>E5*0.00045359237</f>
        <v>7988.2569585680394</v>
      </c>
      <c r="G5" s="83">
        <f>'[1]Cargo Summary'!F5</f>
        <v>9374.1644466431499</v>
      </c>
      <c r="H5" s="70">
        <f>(F5-G5)/G5</f>
        <v>-0.14784330869845133</v>
      </c>
      <c r="I5" s="83">
        <f>+F5+'[2]Cargo Summary'!I5</f>
        <v>92468.197495427594</v>
      </c>
      <c r="J5" s="83">
        <f>'[1]Cargo Summary'!I5</f>
        <v>102166.89548940412</v>
      </c>
      <c r="K5" s="58">
        <f>(I5-J5)/J5</f>
        <v>-9.4929947195883976E-2</v>
      </c>
      <c r="M5" s="19"/>
    </row>
    <row r="6" spans="1:18" x14ac:dyDescent="0.2">
      <c r="A6" s="38" t="s">
        <v>16</v>
      </c>
      <c r="B6" s="108">
        <f>'Major Airline Stats'!K29</f>
        <v>311214</v>
      </c>
      <c r="C6" s="83">
        <f>'Regional Major'!M26</f>
        <v>0</v>
      </c>
      <c r="D6" s="83">
        <f>Cargo!P17</f>
        <v>614331</v>
      </c>
      <c r="E6" s="83">
        <f>SUM(B6:D6)</f>
        <v>925545</v>
      </c>
      <c r="F6" s="83">
        <f>E6*0.00045359237</f>
        <v>419.82015009164996</v>
      </c>
      <c r="G6" s="83">
        <f>'[1]Cargo Summary'!F6</f>
        <v>934.43520881249003</v>
      </c>
      <c r="H6" s="3">
        <f>(F6-G6)/G6</f>
        <v>-0.55072310403931513</v>
      </c>
      <c r="I6" s="83">
        <f>+F6+'[2]Cargo Summary'!I6</f>
        <v>6200.04478976883</v>
      </c>
      <c r="J6" s="83">
        <f>'[1]Cargo Summary'!I6</f>
        <v>9589.6920363952413</v>
      </c>
      <c r="K6" s="58">
        <f>(I6-J6)/J6</f>
        <v>-0.35346778955589664</v>
      </c>
      <c r="M6" s="19"/>
    </row>
    <row r="7" spans="1:18" ht="18" customHeight="1" thickBot="1" x14ac:dyDescent="0.25">
      <c r="A7" s="47" t="s">
        <v>72</v>
      </c>
      <c r="B7" s="110">
        <f>SUM(B5:B6)</f>
        <v>1075189</v>
      </c>
      <c r="C7" s="91">
        <f t="shared" ref="C7:J7" si="0">SUM(C5:C6)</f>
        <v>405</v>
      </c>
      <c r="D7" s="91">
        <f t="shared" si="0"/>
        <v>17461043</v>
      </c>
      <c r="E7" s="91">
        <f t="shared" si="0"/>
        <v>18536637</v>
      </c>
      <c r="F7" s="91">
        <f t="shared" si="0"/>
        <v>8408.0771086596887</v>
      </c>
      <c r="G7" s="91">
        <f t="shared" si="0"/>
        <v>10308.59965545564</v>
      </c>
      <c r="H7" s="22">
        <f>(F7-G7)/G7</f>
        <v>-0.18436282427459819</v>
      </c>
      <c r="I7" s="91">
        <f t="shared" si="0"/>
        <v>98668.242285196422</v>
      </c>
      <c r="J7" s="91">
        <f t="shared" si="0"/>
        <v>111756.58752579936</v>
      </c>
      <c r="K7" s="212">
        <f>(I7-J7)/J7</f>
        <v>-0.11711475386255377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316997</v>
      </c>
      <c r="C10" s="83">
        <f>'Regional Major'!M30</f>
        <v>762</v>
      </c>
      <c r="D10" s="83">
        <f>Cargo!P21</f>
        <v>14362035</v>
      </c>
      <c r="E10" s="83">
        <f>SUM(B10:D10)</f>
        <v>14679794</v>
      </c>
      <c r="F10" s="83">
        <f>E10*0.00045359237</f>
        <v>6658.6425515717801</v>
      </c>
      <c r="G10" s="83">
        <f>'[1]Cargo Summary'!F10</f>
        <v>7497.3929035251394</v>
      </c>
      <c r="H10" s="3">
        <f>(F10-G10)/G10</f>
        <v>-0.11187226850002671</v>
      </c>
      <c r="I10" s="83">
        <f>+F10+'[2]Cargo Summary'!I10</f>
        <v>74641.314739846479</v>
      </c>
      <c r="J10" s="83">
        <f>'[1]Cargo Summary'!I10</f>
        <v>83225.543991803279</v>
      </c>
      <c r="K10" s="58">
        <f>(I10-J10)/J10</f>
        <v>-0.10314416512317713</v>
      </c>
      <c r="M10" s="19"/>
    </row>
    <row r="11" spans="1:18" x14ac:dyDescent="0.2">
      <c r="A11" s="38" t="s">
        <v>16</v>
      </c>
      <c r="B11" s="108">
        <f>'Major Airline Stats'!K34</f>
        <v>1328272</v>
      </c>
      <c r="C11" s="83">
        <f>'Regional Major'!M31</f>
        <v>0</v>
      </c>
      <c r="D11" s="83">
        <f>Cargo!P22</f>
        <v>724864</v>
      </c>
      <c r="E11" s="83">
        <f>SUM(B11:D11)</f>
        <v>2053136</v>
      </c>
      <c r="F11" s="83">
        <f>E11*0.00045359237</f>
        <v>931.28682417231994</v>
      </c>
      <c r="G11" s="83">
        <f>'[1]Cargo Summary'!F11</f>
        <v>1186.95915303889</v>
      </c>
      <c r="H11" s="19">
        <f>(F11-G11)/G11</f>
        <v>-0.21540111823729549</v>
      </c>
      <c r="I11" s="83">
        <f>+F11+'[2]Cargo Summary'!I11</f>
        <v>9827.2161345381101</v>
      </c>
      <c r="J11" s="83">
        <f>'[1]Cargo Summary'!I11</f>
        <v>13303.039127578968</v>
      </c>
      <c r="K11" s="58">
        <f>(I11-J11)/J11</f>
        <v>-0.26128037057599979</v>
      </c>
      <c r="M11" s="19"/>
    </row>
    <row r="12" spans="1:18" ht="18" customHeight="1" thickBot="1" x14ac:dyDescent="0.25">
      <c r="A12" s="47" t="s">
        <v>73</v>
      </c>
      <c r="B12" s="110">
        <f>SUM(B10:B11)</f>
        <v>1645269</v>
      </c>
      <c r="C12" s="91">
        <f t="shared" ref="C12:J12" si="1">SUM(C10:C11)</f>
        <v>762</v>
      </c>
      <c r="D12" s="91">
        <f t="shared" si="1"/>
        <v>15086899</v>
      </c>
      <c r="E12" s="91">
        <f t="shared" si="1"/>
        <v>16732930</v>
      </c>
      <c r="F12" s="91">
        <f t="shared" si="1"/>
        <v>7589.9293757441001</v>
      </c>
      <c r="G12" s="91">
        <f t="shared" si="1"/>
        <v>8684.3520565640301</v>
      </c>
      <c r="H12" s="22">
        <f>(F12-G12)/G12</f>
        <v>-0.1260223760726876</v>
      </c>
      <c r="I12" s="91">
        <f t="shared" si="1"/>
        <v>84468.530874384596</v>
      </c>
      <c r="J12" s="91">
        <f t="shared" si="1"/>
        <v>96528.583119382252</v>
      </c>
      <c r="K12" s="212">
        <f>(I12-J12)/J12</f>
        <v>-0.12493762837150858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2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>B15+B10+B5</f>
        <v>1080972</v>
      </c>
      <c r="C20" s="83">
        <f t="shared" ref="B20:D21" si="3">C15+C10+C5</f>
        <v>1167</v>
      </c>
      <c r="D20" s="83">
        <f t="shared" si="3"/>
        <v>31208747</v>
      </c>
      <c r="E20" s="83">
        <f>SUM(B20:D20)</f>
        <v>32290886</v>
      </c>
      <c r="F20" s="83">
        <f>E20*0.00045359237</f>
        <v>14646.89951013982</v>
      </c>
      <c r="G20" s="83">
        <f>'[1]Cargo Summary'!F20</f>
        <v>16871.557350168288</v>
      </c>
      <c r="H20" s="3">
        <f>(F20-G20)/G20</f>
        <v>-0.13185847600525619</v>
      </c>
      <c r="I20" s="83">
        <f>+I5+I10+I15</f>
        <v>167109.51223527407</v>
      </c>
      <c r="J20" s="83">
        <f>+J5+J10+J15</f>
        <v>185392.4394812074</v>
      </c>
      <c r="K20" s="58">
        <f>(I20-J20)/J20</f>
        <v>-9.8617437135491204E-2</v>
      </c>
      <c r="M20" s="19"/>
    </row>
    <row r="21" spans="1:13" x14ac:dyDescent="0.2">
      <c r="A21" s="38" t="s">
        <v>16</v>
      </c>
      <c r="B21" s="108">
        <f t="shared" si="3"/>
        <v>1639486</v>
      </c>
      <c r="C21" s="84">
        <f t="shared" si="3"/>
        <v>0</v>
      </c>
      <c r="D21" s="84">
        <f t="shared" si="3"/>
        <v>1339195</v>
      </c>
      <c r="E21" s="83">
        <f>SUM(B21:D21)</f>
        <v>2978681</v>
      </c>
      <c r="F21" s="83">
        <f>E21*0.00045359237</f>
        <v>1351.10697426397</v>
      </c>
      <c r="G21" s="83">
        <f>'[1]Cargo Summary'!F21</f>
        <v>2121.3943618513799</v>
      </c>
      <c r="H21" s="3">
        <f>(F21-G21)/G21</f>
        <v>-0.3631042871798556</v>
      </c>
      <c r="I21" s="83">
        <f>+I6+I11+I16</f>
        <v>16027.26092430694</v>
      </c>
      <c r="J21" s="83">
        <f>+J6+J11+J16</f>
        <v>22892.731163974211</v>
      </c>
      <c r="K21" s="58">
        <f>(I21-J21)/J21</f>
        <v>-0.29989738622673867</v>
      </c>
      <c r="M21" s="19"/>
    </row>
    <row r="22" spans="1:13" ht="18" customHeight="1" thickBot="1" x14ac:dyDescent="0.25">
      <c r="A22" s="60" t="s">
        <v>62</v>
      </c>
      <c r="B22" s="111">
        <f>SUM(B20:B21)</f>
        <v>2720458</v>
      </c>
      <c r="C22" s="112">
        <f t="shared" ref="C22:J22" si="4">SUM(C20:C21)</f>
        <v>1167</v>
      </c>
      <c r="D22" s="112">
        <f t="shared" si="4"/>
        <v>32547942</v>
      </c>
      <c r="E22" s="112">
        <f t="shared" si="4"/>
        <v>35269567</v>
      </c>
      <c r="F22" s="112">
        <f t="shared" si="4"/>
        <v>15998.00648440379</v>
      </c>
      <c r="G22" s="112">
        <f t="shared" si="4"/>
        <v>18992.951712019669</v>
      </c>
      <c r="H22" s="218">
        <f>(F22-G22)/G22</f>
        <v>-0.15768719222934321</v>
      </c>
      <c r="I22" s="112">
        <f t="shared" si="4"/>
        <v>183136.773159581</v>
      </c>
      <c r="J22" s="112">
        <f t="shared" si="4"/>
        <v>208285.17064518161</v>
      </c>
      <c r="K22" s="219">
        <f>(I22-J22)/J22</f>
        <v>-0.12074022076416309</v>
      </c>
      <c r="M22" s="19"/>
    </row>
    <row r="23" spans="1:13" x14ac:dyDescent="0.2">
      <c r="G23" s="2"/>
    </row>
    <row r="26" spans="1:13" x14ac:dyDescent="0.2">
      <c r="A26" s="20"/>
    </row>
    <row r="29" spans="1:13" x14ac:dyDescent="0.2">
      <c r="B29" s="283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November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topLeftCell="A13" zoomScaleNormal="100" workbookViewId="0">
      <selection activeCell="D14" sqref="D1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40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3"/>
      <c r="K1"/>
    </row>
    <row r="2" spans="1:18" s="9" customFormat="1" ht="26.25" thickBot="1" x14ac:dyDescent="0.25">
      <c r="A2" s="487" t="s">
        <v>187</v>
      </c>
      <c r="B2" s="488"/>
      <c r="C2" s="314" t="s">
        <v>217</v>
      </c>
      <c r="D2" s="316" t="s">
        <v>205</v>
      </c>
      <c r="E2" s="317" t="s">
        <v>96</v>
      </c>
      <c r="F2" s="318" t="s">
        <v>218</v>
      </c>
      <c r="G2" s="316" t="s">
        <v>206</v>
      </c>
      <c r="H2" s="315" t="s">
        <v>97</v>
      </c>
      <c r="I2" s="317" t="s">
        <v>138</v>
      </c>
      <c r="J2" s="487" t="s">
        <v>183</v>
      </c>
      <c r="K2" s="488"/>
      <c r="L2" s="314" t="s">
        <v>219</v>
      </c>
      <c r="M2" s="316" t="s">
        <v>207</v>
      </c>
      <c r="N2" s="319" t="s">
        <v>97</v>
      </c>
      <c r="O2" s="320" t="s">
        <v>220</v>
      </c>
      <c r="P2" s="320" t="s">
        <v>208</v>
      </c>
      <c r="Q2" s="346" t="s">
        <v>97</v>
      </c>
      <c r="R2" s="317" t="s">
        <v>138</v>
      </c>
    </row>
    <row r="3" spans="1:18" s="9" customFormat="1" ht="13.5" customHeight="1" thickBot="1" x14ac:dyDescent="0.25">
      <c r="A3" s="489">
        <v>44136</v>
      </c>
      <c r="B3" s="490"/>
      <c r="C3" s="491" t="s">
        <v>9</v>
      </c>
      <c r="D3" s="492"/>
      <c r="E3" s="492"/>
      <c r="F3" s="492"/>
      <c r="G3" s="492"/>
      <c r="H3" s="493"/>
      <c r="I3" s="321"/>
      <c r="J3" s="489">
        <f>+A3</f>
        <v>44136</v>
      </c>
      <c r="K3" s="490"/>
      <c r="L3" s="481" t="s">
        <v>184</v>
      </c>
      <c r="M3" s="482"/>
      <c r="N3" s="482"/>
      <c r="O3" s="482"/>
      <c r="P3" s="482"/>
      <c r="Q3" s="482"/>
      <c r="R3" s="483"/>
    </row>
    <row r="4" spans="1:18" x14ac:dyDescent="0.2">
      <c r="A4" s="231"/>
      <c r="B4" s="232"/>
      <c r="C4" s="233"/>
      <c r="D4" s="234"/>
      <c r="E4" s="235"/>
      <c r="F4" s="322"/>
      <c r="G4" s="234"/>
      <c r="H4" s="335"/>
      <c r="I4" s="235"/>
      <c r="J4" s="236"/>
      <c r="K4" s="232"/>
      <c r="L4" s="242"/>
      <c r="N4" s="58"/>
      <c r="O4" s="31"/>
      <c r="R4" s="33"/>
    </row>
    <row r="5" spans="1:18" x14ac:dyDescent="0.2">
      <c r="A5" s="238" t="s">
        <v>238</v>
      </c>
      <c r="B5" s="33"/>
      <c r="C5" s="450">
        <f>SUM(C6:C7)</f>
        <v>69</v>
      </c>
      <c r="D5" s="450">
        <f>SUM(D6:D7)</f>
        <v>58</v>
      </c>
      <c r="E5" s="451">
        <f>(C5-D5)/D5</f>
        <v>0.18965517241379309</v>
      </c>
      <c r="F5" s="450">
        <f>SUM(F6:F7)</f>
        <v>1000</v>
      </c>
      <c r="G5" s="450">
        <f>SUM(G6:G7)</f>
        <v>668</v>
      </c>
      <c r="H5" s="452">
        <f>(F5-G5)/G5</f>
        <v>0.49700598802395207</v>
      </c>
      <c r="I5" s="451">
        <f>+F5/$F$33</f>
        <v>7.4449076831447289E-2</v>
      </c>
      <c r="J5" s="238" t="s">
        <v>238</v>
      </c>
      <c r="K5" s="33"/>
      <c r="L5" s="450">
        <f>SUM(L6:L7)</f>
        <v>1392944</v>
      </c>
      <c r="M5" s="450">
        <f>SUM(M6:M7)</f>
        <v>2210413</v>
      </c>
      <c r="N5" s="451">
        <f>(L5-M5)/M5</f>
        <v>-0.36982636276569131</v>
      </c>
      <c r="O5" s="450">
        <f>SUM(O6:O7)</f>
        <v>25368102</v>
      </c>
      <c r="P5" s="450">
        <f>SUM(P6:P7)</f>
        <v>25752990</v>
      </c>
      <c r="Q5" s="452">
        <f>(O5-P5)/P5</f>
        <v>-1.4945371391826735E-2</v>
      </c>
      <c r="R5" s="451">
        <f>O5/$O$33</f>
        <v>7.1203708418382444E-2</v>
      </c>
    </row>
    <row r="6" spans="1:18" x14ac:dyDescent="0.2">
      <c r="A6" s="31"/>
      <c r="B6" s="295" t="s">
        <v>233</v>
      </c>
      <c r="C6" s="299">
        <f>+'[3]Atlas Air'!$GZ$19</f>
        <v>2</v>
      </c>
      <c r="D6" s="456">
        <f>+'[3]Atlas Air'!$GL$19</f>
        <v>58</v>
      </c>
      <c r="E6" s="301">
        <f>(C6-D6)/D6</f>
        <v>-0.96551724137931039</v>
      </c>
      <c r="F6" s="299">
        <f>+SUM('[3]Atlas Air'!$GP$19:$GZ$19)</f>
        <v>288</v>
      </c>
      <c r="G6" s="193">
        <f>+SUM('[3]Atlas Air'!$GB$19:$GL$19)</f>
        <v>668</v>
      </c>
      <c r="H6" s="300">
        <f>(F6-G6)/G6</f>
        <v>-0.56886227544910184</v>
      </c>
      <c r="I6" s="301">
        <f>+F6/$F$33</f>
        <v>2.1441334127456819E-2</v>
      </c>
      <c r="J6" s="31"/>
      <c r="K6" s="295" t="s">
        <v>233</v>
      </c>
      <c r="L6" s="299">
        <f>+'[3]Atlas Air'!$GZ$64</f>
        <v>27341</v>
      </c>
      <c r="M6" s="456">
        <f>+'[3]Atlas Air'!$GL$64</f>
        <v>2210413</v>
      </c>
      <c r="N6" s="301">
        <f>(L6-M6)/M6</f>
        <v>-0.98763081831313881</v>
      </c>
      <c r="O6" s="449">
        <f>+SUM('[3]Atlas Air'!$GP$64:$GZ$64)</f>
        <v>12544089</v>
      </c>
      <c r="P6" s="193">
        <f>+SUM('[3]Atlas Air'!$GB$64:$GL$64)</f>
        <v>25752990</v>
      </c>
      <c r="Q6" s="300">
        <f>(O6-P6)/P6</f>
        <v>-0.51290747210323928</v>
      </c>
      <c r="R6" s="301">
        <f>O6/$O$33</f>
        <v>3.5209006000142963E-2</v>
      </c>
    </row>
    <row r="7" spans="1:18" x14ac:dyDescent="0.2">
      <c r="A7" s="31"/>
      <c r="B7" s="295" t="s">
        <v>49</v>
      </c>
      <c r="C7" s="299">
        <f>+'[3]Sun Country Cargo'!$GZ$19</f>
        <v>67</v>
      </c>
      <c r="D7" s="193">
        <f>+'[3]Sun Country Cargo'!$GL$19</f>
        <v>0</v>
      </c>
      <c r="E7" s="301" t="e">
        <f>(C7-D7)/D7</f>
        <v>#DIV/0!</v>
      </c>
      <c r="F7" s="299">
        <f>+SUM('[3]Sun Country Cargo'!$GP$19:$GZ$19)</f>
        <v>712</v>
      </c>
      <c r="G7" s="193">
        <f>+SUM('[3]Sun Country Cargo'!$GB$19:$GL$19)</f>
        <v>0</v>
      </c>
      <c r="H7" s="300" t="e">
        <f>(F7-G7)/G7</f>
        <v>#DIV/0!</v>
      </c>
      <c r="I7" s="301">
        <f>+F7/$F$33</f>
        <v>5.3007742703990474E-2</v>
      </c>
      <c r="J7" s="31"/>
      <c r="K7" s="295" t="s">
        <v>49</v>
      </c>
      <c r="L7" s="299">
        <f>+'[3]Sun Country Cargo'!$GZ$64</f>
        <v>1365603</v>
      </c>
      <c r="M7" s="193">
        <f>+'[3]Sun Country Cargo'!$GL$64</f>
        <v>0</v>
      </c>
      <c r="N7" s="301" t="e">
        <f>(L7-M7)/M7</f>
        <v>#DIV/0!</v>
      </c>
      <c r="O7" s="449">
        <f>+SUM('[3]Sun Country Cargo'!$GP$64:$GZ$64)</f>
        <v>12824013</v>
      </c>
      <c r="P7" s="193">
        <f>+SUM('[3]Sun Country Cargo'!$GB$64:$GL$64)</f>
        <v>0</v>
      </c>
      <c r="Q7" s="300" t="e">
        <f>(O7-P7)/P7</f>
        <v>#DIV/0!</v>
      </c>
      <c r="R7" s="301">
        <f>O7/$O$33</f>
        <v>3.5994702418239488E-2</v>
      </c>
    </row>
    <row r="8" spans="1:18" x14ac:dyDescent="0.2">
      <c r="A8" s="31"/>
      <c r="B8" s="33"/>
      <c r="C8" s="365"/>
      <c r="D8" s="365"/>
      <c r="E8" s="367"/>
      <c r="F8" s="448"/>
      <c r="G8" s="365"/>
      <c r="H8" s="367"/>
      <c r="I8" s="58"/>
      <c r="J8" s="368"/>
      <c r="K8" s="33"/>
      <c r="L8" s="365"/>
      <c r="N8" s="58"/>
      <c r="O8" s="369"/>
      <c r="R8" s="33"/>
    </row>
    <row r="9" spans="1:18" ht="14.1" customHeight="1" x14ac:dyDescent="0.2">
      <c r="A9" s="238" t="s">
        <v>232</v>
      </c>
      <c r="B9" s="33"/>
      <c r="C9" s="454">
        <f>SUM(C10:C16)</f>
        <v>128</v>
      </c>
      <c r="D9" s="454">
        <f>SUM(D10:D16)</f>
        <v>126</v>
      </c>
      <c r="E9" s="451">
        <f>(C9-D9)/D9</f>
        <v>1.5873015873015872E-2</v>
      </c>
      <c r="F9" s="454">
        <f>SUM(F10:F16)</f>
        <v>1437</v>
      </c>
      <c r="G9" s="454">
        <f>SUM(G10:G16)</f>
        <v>1406</v>
      </c>
      <c r="H9" s="455">
        <f>(F9-G9)/G9</f>
        <v>2.2048364153627313E-2</v>
      </c>
      <c r="I9" s="451">
        <f>+F9/$F$33</f>
        <v>0.10698332340678976</v>
      </c>
      <c r="J9" s="238" t="s">
        <v>232</v>
      </c>
      <c r="K9" s="33"/>
      <c r="L9" s="454">
        <f>SUM(L10:L16)</f>
        <v>1174946</v>
      </c>
      <c r="M9" s="454">
        <f>SUM(M10:M16)</f>
        <v>1175047</v>
      </c>
      <c r="N9" s="451">
        <f t="shared" ref="N9:N16" si="0">(L9-M9)/M9</f>
        <v>-8.5954008648164715E-5</v>
      </c>
      <c r="O9" s="450">
        <f>SUM(O10:O16)</f>
        <v>15153372</v>
      </c>
      <c r="P9" s="450">
        <f>SUM(P10:P16)</f>
        <v>14978527</v>
      </c>
      <c r="Q9" s="452">
        <f t="shared" ref="Q9:Q16" si="1">(O9-P9)/P9</f>
        <v>1.1673043684469107E-2</v>
      </c>
      <c r="R9" s="451">
        <f t="shared" ref="R9:R16" si="2">O9/$O$33</f>
        <v>4.2532794981795678E-2</v>
      </c>
    </row>
    <row r="10" spans="1:18" ht="14.1" customHeight="1" x14ac:dyDescent="0.2">
      <c r="A10" s="238"/>
      <c r="B10" s="295" t="s">
        <v>240</v>
      </c>
      <c r="C10" s="299">
        <f>+[3]Airborne!$GZ$19</f>
        <v>0</v>
      </c>
      <c r="D10" s="193">
        <f>+[3]Airborne!$GL$19</f>
        <v>0</v>
      </c>
      <c r="E10" s="301" t="e">
        <f>(C10-D10)/D10</f>
        <v>#DIV/0!</v>
      </c>
      <c r="F10" s="299">
        <f>+SUM([3]Airborne!$GP$19:$GZ$19)</f>
        <v>0</v>
      </c>
      <c r="G10" s="193">
        <f>+SUM([3]Airborne!$GB$19:$GL$19)</f>
        <v>3</v>
      </c>
      <c r="H10" s="300">
        <f>(F10-G10)/G10</f>
        <v>-1</v>
      </c>
      <c r="I10" s="301">
        <f t="shared" ref="I10" si="3">+F10/$F$33</f>
        <v>0</v>
      </c>
      <c r="J10" s="238"/>
      <c r="K10" s="295" t="s">
        <v>240</v>
      </c>
      <c r="L10" s="299">
        <f>+[3]Airborne!$GZ$64</f>
        <v>0</v>
      </c>
      <c r="M10" s="193">
        <f>+[3]Airborne!$GL$64</f>
        <v>0</v>
      </c>
      <c r="N10" s="301" t="e">
        <f t="shared" si="0"/>
        <v>#DIV/0!</v>
      </c>
      <c r="O10" s="299">
        <f>+SUM([3]Airborne!$GP$64:$GZ$64)</f>
        <v>0</v>
      </c>
      <c r="P10" s="193">
        <f>+SUM([3]Airborne!$GB$64:$GL$64)</f>
        <v>43352</v>
      </c>
      <c r="Q10" s="300">
        <f t="shared" si="1"/>
        <v>-1</v>
      </c>
      <c r="R10" s="301">
        <f t="shared" si="2"/>
        <v>0</v>
      </c>
    </row>
    <row r="11" spans="1:18" ht="14.1" customHeight="1" x14ac:dyDescent="0.2">
      <c r="A11" s="238"/>
      <c r="B11" s="33" t="s">
        <v>233</v>
      </c>
      <c r="C11" s="299">
        <f>+[3]DHL_Atlas!$GZ$19</f>
        <v>0</v>
      </c>
      <c r="D11" s="456">
        <f>+[3]DHL_Atlas!$GL$19</f>
        <v>2</v>
      </c>
      <c r="E11" s="301">
        <f t="shared" ref="E11" si="4">(C11-D11)/D11</f>
        <v>-1</v>
      </c>
      <c r="F11" s="299">
        <f>+SUM([3]DHL_Atlas!$GP$19:$GZ$19)</f>
        <v>6</v>
      </c>
      <c r="G11" s="193">
        <f>+SUM([3]DHL_Atlas!$GB$19:$GL$19)</f>
        <v>14</v>
      </c>
      <c r="H11" s="300">
        <f t="shared" ref="H11" si="5">(F11-G11)/G11</f>
        <v>-0.5714285714285714</v>
      </c>
      <c r="I11" s="301">
        <f>+F11/$F$33</f>
        <v>4.4669446098868372E-4</v>
      </c>
      <c r="J11" s="238"/>
      <c r="K11" s="33" t="s">
        <v>233</v>
      </c>
      <c r="L11" s="299">
        <f>+[3]DHL_Atlas!$GZ$64</f>
        <v>0</v>
      </c>
      <c r="M11" s="193">
        <f>+[3]DHL_Atlas!$GL$64</f>
        <v>53287</v>
      </c>
      <c r="N11" s="301">
        <f t="shared" si="0"/>
        <v>-1</v>
      </c>
      <c r="O11" s="299">
        <f>+SUM([3]DHL_Atlas!$GP$64:$GZ$64)</f>
        <v>186366</v>
      </c>
      <c r="P11" s="193">
        <f>+SUM([3]DHL_Atlas!$GB$64:$GL$64)</f>
        <v>290322</v>
      </c>
      <c r="Q11" s="300">
        <f t="shared" si="1"/>
        <v>-0.35807138280943229</v>
      </c>
      <c r="R11" s="301">
        <f t="shared" si="2"/>
        <v>5.2309590694251643E-4</v>
      </c>
    </row>
    <row r="12" spans="1:18" ht="14.1" customHeight="1" x14ac:dyDescent="0.2">
      <c r="A12" s="238"/>
      <c r="B12" s="33" t="s">
        <v>237</v>
      </c>
      <c r="C12" s="299">
        <f>+[3]DHL!$GZ$19</f>
        <v>0</v>
      </c>
      <c r="D12" s="193">
        <f>+[3]DHL!$GL$19</f>
        <v>0</v>
      </c>
      <c r="E12" s="301" t="e">
        <f t="shared" ref="E12:E13" si="6">(C12-D12)/D12</f>
        <v>#DIV/0!</v>
      </c>
      <c r="F12" s="299">
        <f>+SUM([3]DHL!$GP$19:$GZ$19)</f>
        <v>163</v>
      </c>
      <c r="G12" s="193">
        <f>+SUM([3]DHL!$GB$19:$GL$19)</f>
        <v>0</v>
      </c>
      <c r="H12" s="300" t="e">
        <f t="shared" ref="H12:H13" si="7">(F12-G12)/G12</f>
        <v>#DIV/0!</v>
      </c>
      <c r="I12" s="301">
        <f>+F12/$F$33</f>
        <v>1.2135199523525908E-2</v>
      </c>
      <c r="J12" s="238"/>
      <c r="K12" s="33" t="s">
        <v>237</v>
      </c>
      <c r="L12" s="299">
        <f>+[3]DHL!$GZ$64</f>
        <v>0</v>
      </c>
      <c r="M12" s="193">
        <f>+[3]DHL!$GL$64</f>
        <v>0</v>
      </c>
      <c r="N12" s="301" t="e">
        <f t="shared" si="0"/>
        <v>#DIV/0!</v>
      </c>
      <c r="O12" s="299">
        <f>+SUM([3]DHL!$GP$64:$GZ$64)</f>
        <v>5299897</v>
      </c>
      <c r="P12" s="193">
        <f>+SUM([3]DHL!$GB$64:$GL$64)</f>
        <v>0</v>
      </c>
      <c r="Q12" s="300" t="e">
        <f t="shared" si="1"/>
        <v>#DIV/0!</v>
      </c>
      <c r="R12" s="301">
        <f t="shared" si="2"/>
        <v>1.4875859480360805E-2</v>
      </c>
    </row>
    <row r="13" spans="1:18" ht="14.1" customHeight="1" x14ac:dyDescent="0.2">
      <c r="A13" s="238"/>
      <c r="B13" s="33" t="s">
        <v>210</v>
      </c>
      <c r="C13" s="299">
        <f>+[3]Encore!$GZ$19+[3]DHL_Encore!$GZ$12</f>
        <v>82</v>
      </c>
      <c r="D13" s="456">
        <f>+[3]Encore!$GL$19+[3]DHL_Encore!$GL$19</f>
        <v>82</v>
      </c>
      <c r="E13" s="301">
        <f t="shared" si="6"/>
        <v>0</v>
      </c>
      <c r="F13" s="299">
        <f>+SUM([3]Encore!$GP$19:$GZ$19)+SUM([3]DHL_Encore!$GP$19:$GZ$19)</f>
        <v>940</v>
      </c>
      <c r="G13" s="193">
        <f>+SUM([3]Encore!$GB$19:$GL$19)+SUM([3]DHL_Encore!$GB$19:$GL$19)</f>
        <v>933</v>
      </c>
      <c r="H13" s="300">
        <f t="shared" si="7"/>
        <v>7.502679528403001E-3</v>
      </c>
      <c r="I13" s="301">
        <f t="shared" ref="I13:I16" si="8">+F13/$F$33</f>
        <v>6.9982132221560453E-2</v>
      </c>
      <c r="J13" s="238"/>
      <c r="K13" s="33" t="s">
        <v>210</v>
      </c>
      <c r="L13" s="299">
        <f>+[3]Encore!$GZ$64+[3]DHL_Encore!$GZ$64</f>
        <v>122215</v>
      </c>
      <c r="M13" s="456">
        <f>+[3]Encore!$GL$64+[3]DHL_Encore!$GL$64</f>
        <v>125040</v>
      </c>
      <c r="N13" s="301">
        <f t="shared" si="0"/>
        <v>-2.2592770313499679E-2</v>
      </c>
      <c r="O13" s="299">
        <f>+SUM([3]Encore!$GP$64:$GZ$64)+SUM([3]DHL_Encore!$GP$64:$GZ$64)</f>
        <v>1320270</v>
      </c>
      <c r="P13" s="193">
        <f>+SUM([3]Encore!$GB$64:$GL$64)+SUM([3]DHL_Encore!$GB$64:$GL$64)</f>
        <v>1099764</v>
      </c>
      <c r="Q13" s="300">
        <f t="shared" si="1"/>
        <v>0.20050301701092235</v>
      </c>
      <c r="R13" s="301">
        <f t="shared" si="2"/>
        <v>3.7057608848126596E-3</v>
      </c>
    </row>
    <row r="14" spans="1:18" ht="14.1" customHeight="1" x14ac:dyDescent="0.2">
      <c r="A14" s="238"/>
      <c r="B14" s="33" t="s">
        <v>234</v>
      </c>
      <c r="C14" s="299">
        <f>+[3]DHL_Kalitta!$GZ$19</f>
        <v>2</v>
      </c>
      <c r="D14" s="456">
        <f>+[3]DHL_Kalitta!$GL$19</f>
        <v>42</v>
      </c>
      <c r="E14" s="301">
        <f t="shared" ref="E14:E16" si="9">(C14-D14)/D14</f>
        <v>-0.95238095238095233</v>
      </c>
      <c r="F14" s="299">
        <f>+SUM([3]DHL_Kalitta!$GP$19:$GZ$19)</f>
        <v>38</v>
      </c>
      <c r="G14" s="193">
        <f>+SUM([3]DHL_Kalitta!$GB$19:$GL$19)</f>
        <v>456</v>
      </c>
      <c r="H14" s="300">
        <f t="shared" ref="H14:H16" si="10">(F14-G14)/G14</f>
        <v>-0.91666666666666663</v>
      </c>
      <c r="I14" s="301">
        <f>+F14/$F$33</f>
        <v>2.829064919594997E-3</v>
      </c>
      <c r="J14" s="238"/>
      <c r="K14" s="33" t="s">
        <v>234</v>
      </c>
      <c r="L14" s="299">
        <f>+[3]DHL_Kalitta!$GZ$64</f>
        <v>48267</v>
      </c>
      <c r="M14" s="193">
        <f>+[3]DHL_Kalitta!$GL$64</f>
        <v>996720</v>
      </c>
      <c r="N14" s="301">
        <f t="shared" si="0"/>
        <v>-0.95157416325547795</v>
      </c>
      <c r="O14" s="299">
        <f>+SUM([3]DHL_Kalitta!$GP$64:$GZ$64)</f>
        <v>921087</v>
      </c>
      <c r="P14" s="193">
        <f>+SUM([3]DHL_Kalitta!$GB$64:$GL$64)</f>
        <v>13545089</v>
      </c>
      <c r="Q14" s="300">
        <f t="shared" si="1"/>
        <v>-0.93199845346161991</v>
      </c>
      <c r="R14" s="301">
        <f t="shared" si="2"/>
        <v>2.5853258622171513E-3</v>
      </c>
    </row>
    <row r="15" spans="1:18" ht="14.1" customHeight="1" x14ac:dyDescent="0.2">
      <c r="A15" s="238"/>
      <c r="B15" s="33" t="s">
        <v>235</v>
      </c>
      <c r="C15" s="299">
        <f>+[3]DHL_Southair!$GZ$19</f>
        <v>0</v>
      </c>
      <c r="D15" s="193">
        <f>+[3]DHL_Southair!$GL$19</f>
        <v>0</v>
      </c>
      <c r="E15" s="301" t="e">
        <f t="shared" si="9"/>
        <v>#DIV/0!</v>
      </c>
      <c r="F15" s="299">
        <f>+SUM([3]DHL_Southair!$GP$19:$GZ$19)</f>
        <v>4</v>
      </c>
      <c r="G15" s="193">
        <f>+SUM([3]DHL_Southair!$GB$19:$GL$19)</f>
        <v>0</v>
      </c>
      <c r="H15" s="300" t="e">
        <f t="shared" si="10"/>
        <v>#DIV/0!</v>
      </c>
      <c r="I15" s="301">
        <f>+F15/$F$33</f>
        <v>2.9779630732578919E-4</v>
      </c>
      <c r="J15" s="238"/>
      <c r="K15" s="33" t="s">
        <v>235</v>
      </c>
      <c r="L15" s="299">
        <f>+[3]DHL_Southair!$GZ$64</f>
        <v>0</v>
      </c>
      <c r="M15" s="193">
        <f>+[3]DHL_Southair!$GL$64</f>
        <v>0</v>
      </c>
      <c r="N15" s="301" t="e">
        <f t="shared" si="0"/>
        <v>#DIV/0!</v>
      </c>
      <c r="O15" s="299">
        <f>+SUM([3]DHL_Southair!$GP$64:$GZ$64)</f>
        <v>46833</v>
      </c>
      <c r="P15" s="193">
        <f>+SUM([3]DHL_Southair!$GB$64:$GL$64)</f>
        <v>0</v>
      </c>
      <c r="Q15" s="300" t="e">
        <f t="shared" si="1"/>
        <v>#DIV/0!</v>
      </c>
      <c r="R15" s="301">
        <f t="shared" si="2"/>
        <v>1.314518238833203E-4</v>
      </c>
    </row>
    <row r="16" spans="1:18" ht="14.1" customHeight="1" x14ac:dyDescent="0.2">
      <c r="A16" s="238"/>
      <c r="B16" s="33" t="s">
        <v>236</v>
      </c>
      <c r="C16" s="299">
        <f>+[3]DHL_Swift!$GZ$19</f>
        <v>44</v>
      </c>
      <c r="D16" s="193">
        <f>+[3]DHL_Swift!$GL$19</f>
        <v>0</v>
      </c>
      <c r="E16" s="301" t="e">
        <f t="shared" si="9"/>
        <v>#DIV/0!</v>
      </c>
      <c r="F16" s="299">
        <f>+SUM([3]DHL_Swift!$GP$19:$GZ$19)</f>
        <v>286</v>
      </c>
      <c r="G16" s="193">
        <f>+SUM([3]DHL_Swift!$GB$19:$GL$19)</f>
        <v>0</v>
      </c>
      <c r="H16" s="300" t="e">
        <f t="shared" si="10"/>
        <v>#DIV/0!</v>
      </c>
      <c r="I16" s="301">
        <f t="shared" si="8"/>
        <v>2.1292435973793926E-2</v>
      </c>
      <c r="J16" s="238"/>
      <c r="K16" s="33" t="s">
        <v>236</v>
      </c>
      <c r="L16" s="299">
        <f>+[3]DHL_Swift!$GZ$64</f>
        <v>1004464</v>
      </c>
      <c r="M16" s="193">
        <f>+[3]DHL_Swift!$GL$64</f>
        <v>0</v>
      </c>
      <c r="N16" s="301" t="e">
        <f t="shared" si="0"/>
        <v>#DIV/0!</v>
      </c>
      <c r="O16" s="299">
        <f>+SUM([3]DHL_Swift!$GP$64:$GZ$64)</f>
        <v>7378919</v>
      </c>
      <c r="P16" s="193">
        <f>+SUM([3]DHL_Swift!$GB$64:$GL$64)</f>
        <v>0</v>
      </c>
      <c r="Q16" s="300" t="e">
        <f t="shared" si="1"/>
        <v>#DIV/0!</v>
      </c>
      <c r="R16" s="301">
        <f t="shared" si="2"/>
        <v>2.0711301023579227E-2</v>
      </c>
    </row>
    <row r="17" spans="1:19" ht="14.1" customHeight="1" x14ac:dyDescent="0.2">
      <c r="A17" s="238"/>
      <c r="B17" s="33"/>
      <c r="C17" s="239"/>
      <c r="D17" s="115"/>
      <c r="E17" s="241"/>
      <c r="F17" s="239"/>
      <c r="G17" s="115"/>
      <c r="H17" s="240"/>
      <c r="I17" s="241"/>
      <c r="J17" s="238"/>
      <c r="K17" s="33"/>
      <c r="L17" s="242"/>
      <c r="N17" s="58"/>
      <c r="O17" s="242"/>
      <c r="P17" s="115"/>
      <c r="Q17" s="3"/>
      <c r="R17" s="58"/>
    </row>
    <row r="18" spans="1:19" ht="14.1" customHeight="1" x14ac:dyDescent="0.2">
      <c r="A18" s="238" t="s">
        <v>185</v>
      </c>
      <c r="B18" s="33"/>
      <c r="C18" s="453">
        <f>SUM(C19:C22)</f>
        <v>334</v>
      </c>
      <c r="D18" s="454">
        <f>SUM(D19:D22)</f>
        <v>302</v>
      </c>
      <c r="E18" s="451">
        <f>(C18-D18)/D18</f>
        <v>0.10596026490066225</v>
      </c>
      <c r="F18" s="453">
        <f>SUM(F19:F22)</f>
        <v>3555</v>
      </c>
      <c r="G18" s="454">
        <f>SUM(G19:G22)</f>
        <v>3594</v>
      </c>
      <c r="H18" s="452">
        <f t="shared" ref="H18" si="11">(F18-G18)/G18</f>
        <v>-1.0851419031719533E-2</v>
      </c>
      <c r="I18" s="451">
        <f>+F18/$F$33</f>
        <v>0.26466646813579514</v>
      </c>
      <c r="J18" s="238" t="s">
        <v>185</v>
      </c>
      <c r="K18" s="33"/>
      <c r="L18" s="453">
        <f>SUM(L19:L22)</f>
        <v>16279968</v>
      </c>
      <c r="M18" s="454">
        <f>SUM(M19:M22)</f>
        <v>15977131</v>
      </c>
      <c r="N18" s="451">
        <f>(L18-M18)/M18</f>
        <v>1.8954404266948804E-2</v>
      </c>
      <c r="O18" s="453">
        <f>SUM(O19:O22)</f>
        <v>177587657</v>
      </c>
      <c r="P18" s="454">
        <f>SUM(P19:P22)</f>
        <v>168424690</v>
      </c>
      <c r="Q18" s="452">
        <f t="shared" ref="Q18" si="12">(O18-P18)/P18</f>
        <v>5.44039416073736E-2</v>
      </c>
      <c r="R18" s="451">
        <f>O18/$O$33</f>
        <v>0.49845667396527005</v>
      </c>
    </row>
    <row r="19" spans="1:19" x14ac:dyDescent="0.2">
      <c r="A19" s="31"/>
      <c r="B19" s="295" t="s">
        <v>185</v>
      </c>
      <c r="C19" s="299">
        <f>+[3]FedEx!$GZ$19</f>
        <v>264</v>
      </c>
      <c r="D19" s="456">
        <f>+[3]FedEx!$GL$19</f>
        <v>240</v>
      </c>
      <c r="E19" s="301">
        <f>(C19-D19)/D19</f>
        <v>0.1</v>
      </c>
      <c r="F19" s="299">
        <f>+SUM([3]FedEx!$GP$19:$GZ$19)</f>
        <v>2730</v>
      </c>
      <c r="G19" s="193">
        <f>+SUM([3]FedEx!$GB$19:$GL$19)</f>
        <v>2826</v>
      </c>
      <c r="H19" s="300">
        <f t="shared" ref="H19" si="13">(F19-G19)/G19</f>
        <v>-3.3970276008492568E-2</v>
      </c>
      <c r="I19" s="301">
        <f>+F19/$F$33</f>
        <v>0.20324597974985109</v>
      </c>
      <c r="J19" s="238"/>
      <c r="K19" s="295" t="s">
        <v>185</v>
      </c>
      <c r="L19" s="299">
        <f>+[3]FedEx!$GZ$64</f>
        <v>16095059</v>
      </c>
      <c r="M19" s="456">
        <f>+[3]FedEx!$GL$64</f>
        <v>15792730</v>
      </c>
      <c r="N19" s="301">
        <f>(L19-M19)/M19</f>
        <v>1.9143555294113178E-2</v>
      </c>
      <c r="O19" s="299">
        <f>+SUM([3]FedEx!$GP$64:$GZ$64)</f>
        <v>174689045</v>
      </c>
      <c r="P19" s="193">
        <f>+SUM([3]FedEx!$GB$64:$GL$64)</f>
        <v>166663466</v>
      </c>
      <c r="Q19" s="300">
        <f t="shared" ref="Q19:Q20" si="14">(O19-P19)/P19</f>
        <v>4.8154398757073731E-2</v>
      </c>
      <c r="R19" s="301">
        <f>O19/$O$33</f>
        <v>0.49032079041883742</v>
      </c>
    </row>
    <row r="20" spans="1:19" x14ac:dyDescent="0.2">
      <c r="A20" s="31"/>
      <c r="B20" s="295" t="s">
        <v>239</v>
      </c>
      <c r="C20" s="299">
        <f>+'[3]Mountain Cargo'!$GZ$19</f>
        <v>38</v>
      </c>
      <c r="D20" s="456">
        <f>+'[3]Mountain Cargo'!$GL$19</f>
        <v>34</v>
      </c>
      <c r="E20" s="301">
        <f>(C20-D20)/D20</f>
        <v>0.11764705882352941</v>
      </c>
      <c r="F20" s="299">
        <f>+SUM('[3]Mountain Cargo'!$GP$19:$GZ$19)</f>
        <v>470</v>
      </c>
      <c r="G20" s="193">
        <f>+SUM('[3]Mountain Cargo'!$GB$19:$GL$19)</f>
        <v>404</v>
      </c>
      <c r="H20" s="300">
        <f>(F20-G20)/G20</f>
        <v>0.16336633663366337</v>
      </c>
      <c r="I20" s="301">
        <f>+F20/$F$33</f>
        <v>3.4991066110780226E-2</v>
      </c>
      <c r="J20" s="368"/>
      <c r="K20" s="295" t="s">
        <v>239</v>
      </c>
      <c r="L20" s="299">
        <f>+'[3]Mountain Cargo'!$GZ$64</f>
        <v>127926</v>
      </c>
      <c r="M20" s="456">
        <f>+'[3]Mountain Cargo'!$GL$64</f>
        <v>146213</v>
      </c>
      <c r="N20" s="301">
        <f>(L20-M20)/M20</f>
        <v>-0.12507095812273875</v>
      </c>
      <c r="O20" s="299">
        <f>+SUM('[3]Mountain Cargo'!$GP$64:$GZ$64)</f>
        <v>2306462</v>
      </c>
      <c r="P20" s="193">
        <f>+SUM('[3]Mountain Cargo'!$GB$64:$GL$64)</f>
        <v>1435796</v>
      </c>
      <c r="Q20" s="300">
        <f t="shared" si="14"/>
        <v>0.60639951636583467</v>
      </c>
      <c r="R20" s="301">
        <f>O20/$O$33</f>
        <v>6.4738247948577009E-3</v>
      </c>
    </row>
    <row r="21" spans="1:19" x14ac:dyDescent="0.2">
      <c r="A21" s="31"/>
      <c r="B21" s="295" t="s">
        <v>178</v>
      </c>
      <c r="C21" s="299">
        <f>+[3]IFL!$GZ$19</f>
        <v>32</v>
      </c>
      <c r="D21" s="456">
        <f>+[3]IFL!$GL$19</f>
        <v>28</v>
      </c>
      <c r="E21" s="301">
        <f>(C21-D21)/D21</f>
        <v>0.14285714285714285</v>
      </c>
      <c r="F21" s="299">
        <f>+SUM([3]IFL!$GP$19:$GZ$19)</f>
        <v>355</v>
      </c>
      <c r="G21" s="193">
        <f>+SUM([3]IFL!$GB$19:$GL$19)</f>
        <v>355</v>
      </c>
      <c r="H21" s="300">
        <f>(F21-G21)/G21</f>
        <v>0</v>
      </c>
      <c r="I21" s="301">
        <f>+F21/$F$33</f>
        <v>2.6429422275163789E-2</v>
      </c>
      <c r="J21" s="368"/>
      <c r="K21" s="295" t="s">
        <v>178</v>
      </c>
      <c r="L21" s="299">
        <f>+[3]IFL!$GZ$64</f>
        <v>56983</v>
      </c>
      <c r="M21" s="456">
        <f>+[3]IFL!$GL$64</f>
        <v>38188</v>
      </c>
      <c r="N21" s="301">
        <f>(L21-M21)/M21</f>
        <v>0.49217031528228761</v>
      </c>
      <c r="O21" s="299">
        <f>+SUM([3]IFL!$GP$64:$GZ$64)</f>
        <v>592150</v>
      </c>
      <c r="P21" s="193">
        <f>+SUM([3]IFL!$GB$64:$GL$64)</f>
        <v>315742</v>
      </c>
      <c r="Q21" s="300">
        <f>(O21-P21)/P21</f>
        <v>0.8754236053486707</v>
      </c>
      <c r="R21" s="301">
        <f>O21/$O$33</f>
        <v>1.6620587515749174E-3</v>
      </c>
    </row>
    <row r="22" spans="1:19" ht="14.1" customHeight="1" x14ac:dyDescent="0.2">
      <c r="A22" s="238"/>
      <c r="B22" s="295" t="s">
        <v>85</v>
      </c>
      <c r="C22" s="299">
        <f>+'[3]CSA Air'!$GZ$19</f>
        <v>0</v>
      </c>
      <c r="D22" s="193">
        <f>+'[3]CSA Air'!$GL$19</f>
        <v>0</v>
      </c>
      <c r="E22" s="301" t="e">
        <f>(C22-D22)/D22</f>
        <v>#DIV/0!</v>
      </c>
      <c r="F22" s="299">
        <f>+SUM('[3]CSA Air'!$GP$19:$GZ$19)</f>
        <v>0</v>
      </c>
      <c r="G22" s="193">
        <f>+SUM('[3]CSA Air'!$GB$19:$GL$19)</f>
        <v>9</v>
      </c>
      <c r="H22" s="300">
        <f t="shared" ref="H22" si="15">(F22-G22)/G22</f>
        <v>-1</v>
      </c>
      <c r="I22" s="301">
        <f>+F22/$F$33</f>
        <v>0</v>
      </c>
      <c r="J22" s="238"/>
      <c r="K22" s="295" t="s">
        <v>85</v>
      </c>
      <c r="L22" s="299">
        <f>+'[3]CSA Air'!$GZ$64</f>
        <v>0</v>
      </c>
      <c r="M22" s="193">
        <f>+'[3]CSA Air'!$GL$64</f>
        <v>0</v>
      </c>
      <c r="N22" s="301" t="e">
        <f>(L22-M22)/M22</f>
        <v>#DIV/0!</v>
      </c>
      <c r="O22" s="299">
        <f>+SUM('[3]CSA Air'!$GP$64:$GZ$64)</f>
        <v>0</v>
      </c>
      <c r="P22" s="193">
        <f>+SUM('[3]CSA Air'!$GB$64:$GL$64)</f>
        <v>9686</v>
      </c>
      <c r="Q22" s="300">
        <f t="shared" ref="Q22" si="16">(O22-P22)/P22</f>
        <v>-1</v>
      </c>
      <c r="R22" s="301">
        <f>O22/$O$33</f>
        <v>0</v>
      </c>
    </row>
    <row r="23" spans="1:19" ht="14.1" customHeight="1" x14ac:dyDescent="0.2">
      <c r="A23" s="238"/>
      <c r="B23" s="33"/>
      <c r="C23" s="239"/>
      <c r="D23" s="115"/>
      <c r="E23" s="241"/>
      <c r="F23" s="239"/>
      <c r="G23" s="115"/>
      <c r="H23" s="240"/>
      <c r="I23" s="241"/>
      <c r="J23" s="238"/>
      <c r="K23" s="33"/>
      <c r="L23" s="242"/>
      <c r="N23" s="58"/>
      <c r="O23" s="242"/>
      <c r="P23" s="115"/>
      <c r="Q23" s="3"/>
      <c r="R23" s="58"/>
    </row>
    <row r="24" spans="1:19" ht="14.1" customHeight="1" x14ac:dyDescent="0.2">
      <c r="A24" s="238"/>
      <c r="B24" s="33"/>
      <c r="C24" s="239"/>
      <c r="D24" s="115"/>
      <c r="E24" s="241"/>
      <c r="F24" s="239"/>
      <c r="G24" s="115"/>
      <c r="H24" s="240"/>
      <c r="I24" s="241"/>
      <c r="J24" s="238"/>
      <c r="K24" s="33"/>
      <c r="L24" s="242"/>
      <c r="N24" s="58"/>
      <c r="O24" s="242"/>
      <c r="P24" s="2"/>
      <c r="Q24" s="3"/>
      <c r="R24" s="58"/>
    </row>
    <row r="25" spans="1:19" ht="14.1" customHeight="1" x14ac:dyDescent="0.2">
      <c r="A25" s="238" t="s">
        <v>83</v>
      </c>
      <c r="B25" s="33"/>
      <c r="C25" s="450">
        <f>SUM(C26:C27)</f>
        <v>696</v>
      </c>
      <c r="D25" s="450">
        <f>SUM(D26:D27)</f>
        <v>696</v>
      </c>
      <c r="E25" s="451">
        <f>(C25-D25)/D25</f>
        <v>0</v>
      </c>
      <c r="F25" s="450">
        <f>SUM(F26:F27)</f>
        <v>7424</v>
      </c>
      <c r="G25" s="450">
        <f>SUM(G26:G27)</f>
        <v>7354</v>
      </c>
      <c r="H25" s="452">
        <f>(F25-G25)/G25</f>
        <v>9.5186293173782979E-3</v>
      </c>
      <c r="I25" s="451">
        <f>+F25/$F$33</f>
        <v>0.55270994639666471</v>
      </c>
      <c r="J25" s="238" t="s">
        <v>83</v>
      </c>
      <c r="K25" s="33"/>
      <c r="L25" s="450">
        <f>SUM(L26:L27)</f>
        <v>13697504</v>
      </c>
      <c r="M25" s="450">
        <f>SUM(M26:M27)</f>
        <v>13696517</v>
      </c>
      <c r="N25" s="451">
        <f>(L25-M25)/M25</f>
        <v>7.2062116229987524E-5</v>
      </c>
      <c r="O25" s="450">
        <f>SUM(O26:O27)</f>
        <v>137891539</v>
      </c>
      <c r="P25" s="450">
        <f>SUM(P26:P27)</f>
        <v>137380116</v>
      </c>
      <c r="Q25" s="452">
        <f>(O25-P25)/P25</f>
        <v>3.7226857487876919E-3</v>
      </c>
      <c r="R25" s="451">
        <f>O25/$O$33</f>
        <v>0.38703679669523611</v>
      </c>
    </row>
    <row r="26" spans="1:19" ht="14.1" customHeight="1" x14ac:dyDescent="0.2">
      <c r="A26" s="238"/>
      <c r="B26" s="295" t="s">
        <v>83</v>
      </c>
      <c r="C26" s="299">
        <f>+[3]UPS!$GZ$19</f>
        <v>290</v>
      </c>
      <c r="D26" s="456">
        <f>+[3]UPS!$GL$19</f>
        <v>264</v>
      </c>
      <c r="E26" s="301">
        <f>(C26-D26)/D26</f>
        <v>9.8484848484848481E-2</v>
      </c>
      <c r="F26" s="299">
        <f>+SUM([3]UPS!$GP$19:$GZ$19)</f>
        <v>3072</v>
      </c>
      <c r="G26" s="193">
        <f>+SUM([3]UPS!$GB$19:$GL$19)</f>
        <v>3010</v>
      </c>
      <c r="H26" s="300">
        <f>(F26-G26)/G26</f>
        <v>2.0598006644518274E-2</v>
      </c>
      <c r="I26" s="301">
        <f>+F26/$F$33</f>
        <v>0.22870756402620607</v>
      </c>
      <c r="J26" s="238"/>
      <c r="K26" s="295" t="s">
        <v>83</v>
      </c>
      <c r="L26" s="299">
        <f>+[3]UPS!$GZ$64</f>
        <v>13697504</v>
      </c>
      <c r="M26" s="456">
        <f>+[3]UPS!$GL$64</f>
        <v>13696517</v>
      </c>
      <c r="N26" s="301">
        <f>(L26-M26)/M26</f>
        <v>7.2062116229987524E-5</v>
      </c>
      <c r="O26" s="299">
        <f>+SUM([3]UPS!$GP$64:$GZ$64)</f>
        <v>137891539</v>
      </c>
      <c r="P26" s="193">
        <f>+SUM([3]UPS!$GB$64:$GL$64)</f>
        <v>137380116</v>
      </c>
      <c r="Q26" s="300">
        <f>(O26-P26)/P26</f>
        <v>3.7226857487876919E-3</v>
      </c>
      <c r="R26" s="301">
        <f>O26/$O$33</f>
        <v>0.38703679669523611</v>
      </c>
    </row>
    <row r="27" spans="1:19" ht="14.1" customHeight="1" x14ac:dyDescent="0.2">
      <c r="A27" s="238"/>
      <c r="B27" s="295" t="s">
        <v>84</v>
      </c>
      <c r="C27" s="299">
        <f>+[3]Bemidji!$GZ$19</f>
        <v>406</v>
      </c>
      <c r="D27" s="456">
        <f>+[3]Bemidji!$GL$19</f>
        <v>432</v>
      </c>
      <c r="E27" s="301">
        <f>(C27-D27)/D27</f>
        <v>-6.0185185185185182E-2</v>
      </c>
      <c r="F27" s="299">
        <f>+SUM([3]Bemidji!$GP$19:$GZ$19)</f>
        <v>4352</v>
      </c>
      <c r="G27" s="193">
        <f>+SUM([3]Bemidji!$GB$19:$GL$19)</f>
        <v>4344</v>
      </c>
      <c r="H27" s="300">
        <f t="shared" ref="H27" si="17">(F27-G27)/G27</f>
        <v>1.841620626151013E-3</v>
      </c>
      <c r="I27" s="301">
        <f>+F27/$F$33</f>
        <v>0.32400238237045859</v>
      </c>
      <c r="J27" s="238"/>
      <c r="K27" s="295" t="s">
        <v>84</v>
      </c>
      <c r="L27" s="484" t="s">
        <v>188</v>
      </c>
      <c r="M27" s="485"/>
      <c r="N27" s="485"/>
      <c r="O27" s="485"/>
      <c r="P27" s="485"/>
      <c r="Q27" s="485"/>
      <c r="R27" s="486"/>
    </row>
    <row r="28" spans="1:19" ht="14.1" customHeight="1" x14ac:dyDescent="0.2">
      <c r="A28" s="31"/>
      <c r="B28" s="33"/>
      <c r="C28" s="239"/>
      <c r="E28" s="58"/>
      <c r="F28" s="242"/>
      <c r="I28" s="58"/>
      <c r="J28" s="31"/>
      <c r="K28" s="33"/>
      <c r="L28" s="242"/>
      <c r="N28" s="58"/>
      <c r="O28" s="242"/>
      <c r="P28" s="2"/>
      <c r="Q28" s="3"/>
      <c r="R28" s="58"/>
    </row>
    <row r="29" spans="1:19" ht="14.1" customHeight="1" x14ac:dyDescent="0.2">
      <c r="A29" s="238" t="s">
        <v>128</v>
      </c>
      <c r="B29" s="33"/>
      <c r="C29" s="453">
        <f>+'[3]Misc Cargo'!$GZ$19</f>
        <v>1</v>
      </c>
      <c r="D29" s="454">
        <f>+'[3]Misc Cargo'!$GL$19</f>
        <v>0</v>
      </c>
      <c r="E29" s="451" t="e">
        <f>(C29-D29)/D29</f>
        <v>#DIV/0!</v>
      </c>
      <c r="F29" s="453">
        <f>+SUM('[3]Misc Cargo'!$GP$19:$GZ$19)</f>
        <v>16</v>
      </c>
      <c r="G29" s="454">
        <f>+SUM('[3]Misc Cargo'!$GB$19:$GL$19)</f>
        <v>5</v>
      </c>
      <c r="H29" s="452">
        <f>(F29-G29)/G29</f>
        <v>2.2000000000000002</v>
      </c>
      <c r="I29" s="451">
        <f>+F29/$F$33</f>
        <v>1.1911852293031567E-3</v>
      </c>
      <c r="J29" s="238" t="s">
        <v>128</v>
      </c>
      <c r="K29" s="33"/>
      <c r="L29" s="453">
        <f>+'[3]Misc Cargo'!$GZ$64</f>
        <v>2580</v>
      </c>
      <c r="M29" s="454">
        <f>+'[3]Misc Cargo'!$GL$64</f>
        <v>0</v>
      </c>
      <c r="N29" s="451" t="e">
        <f>(L29-M29)/M29</f>
        <v>#DIV/0!</v>
      </c>
      <c r="O29" s="453">
        <f>+SUM('[3]Misc Cargo'!$GP$64:$GZ$64)</f>
        <v>274341</v>
      </c>
      <c r="P29" s="454">
        <f>+SUM('[3]Misc Cargo'!$GB$64:$GL$64)</f>
        <v>33217</v>
      </c>
      <c r="Q29" s="452">
        <f>(O29-P29)/P29</f>
        <v>7.2590540988048291</v>
      </c>
      <c r="R29" s="451">
        <f>O29/$O$33</f>
        <v>7.7002593931573828E-4</v>
      </c>
      <c r="S29" s="323"/>
    </row>
    <row r="30" spans="1:19" ht="14.1" customHeight="1" x14ac:dyDescent="0.2">
      <c r="A30" s="31"/>
      <c r="B30" s="33"/>
      <c r="C30" s="239"/>
      <c r="E30" s="58"/>
      <c r="F30" s="242"/>
      <c r="I30" s="58"/>
      <c r="J30" s="31"/>
      <c r="K30" s="33"/>
      <c r="L30" s="242"/>
      <c r="N30" s="58"/>
      <c r="O30" s="242"/>
      <c r="P30" s="2"/>
      <c r="Q30" s="3"/>
      <c r="R30" s="58"/>
    </row>
    <row r="31" spans="1:19" ht="14.1" customHeight="1" thickBot="1" x14ac:dyDescent="0.25">
      <c r="A31" s="324"/>
      <c r="B31" s="325"/>
      <c r="C31" s="326"/>
      <c r="D31" s="328"/>
      <c r="E31" s="329"/>
      <c r="F31" s="326"/>
      <c r="G31" s="328"/>
      <c r="H31" s="327"/>
      <c r="I31" s="329"/>
      <c r="J31" s="238"/>
      <c r="K31" s="33"/>
      <c r="L31" s="245"/>
      <c r="M31" s="247"/>
      <c r="N31" s="248"/>
      <c r="O31" s="245"/>
      <c r="P31" s="247"/>
      <c r="Q31" s="246"/>
      <c r="R31" s="325"/>
      <c r="S31" s="323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0" t="s">
        <v>186</v>
      </c>
      <c r="C33" s="331">
        <f>+C29+C25+C18+C9+C5</f>
        <v>1228</v>
      </c>
      <c r="D33" s="331">
        <f>+D29+D25+D18+D9+D5</f>
        <v>1182</v>
      </c>
      <c r="E33" s="332">
        <f>(C33-D33)/D33</f>
        <v>3.8917089678510999E-2</v>
      </c>
      <c r="F33" s="331">
        <f>+F29+F25+F18+F9+F5</f>
        <v>13432</v>
      </c>
      <c r="G33" s="331">
        <f>+G29+G25+G18+G9+G5</f>
        <v>13027</v>
      </c>
      <c r="H33" s="333">
        <f>(F33-G33)/G33</f>
        <v>3.1089276118830122E-2</v>
      </c>
      <c r="I33" s="345"/>
      <c r="J33"/>
      <c r="K33" s="330" t="s">
        <v>186</v>
      </c>
      <c r="L33" s="331">
        <f>+L29+L25+L18+L9+L5</f>
        <v>32547942</v>
      </c>
      <c r="M33" s="331">
        <f>+M29+M25+M18+M9+M5</f>
        <v>33059108</v>
      </c>
      <c r="N33" s="334">
        <f>(L33-M33)/M33</f>
        <v>-1.5462183674163259E-2</v>
      </c>
      <c r="O33" s="331">
        <f>+O29+O25+O18+O9+O5</f>
        <v>356275011</v>
      </c>
      <c r="P33" s="331">
        <f>+P29+P25+P18+P9+P5</f>
        <v>346569540</v>
      </c>
      <c r="Q33" s="333">
        <f t="shared" ref="Q33" si="18">(O33-P33)/P33</f>
        <v>2.8004397039624429E-2</v>
      </c>
      <c r="R33" s="345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13"/>
      <c r="F35"/>
      <c r="G35"/>
      <c r="H35"/>
      <c r="I35"/>
      <c r="J35"/>
      <c r="K35"/>
      <c r="L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3"/>
      <c r="K103"/>
    </row>
    <row r="104" spans="4:14" x14ac:dyDescent="0.2">
      <c r="F104" s="143"/>
      <c r="K104"/>
    </row>
    <row r="105" spans="4:14" x14ac:dyDescent="0.2">
      <c r="F105" s="143"/>
      <c r="K105"/>
    </row>
    <row r="106" spans="4:14" x14ac:dyDescent="0.2">
      <c r="F106" s="143"/>
      <c r="K106"/>
    </row>
    <row r="107" spans="4:14" x14ac:dyDescent="0.2">
      <c r="F107" s="143"/>
      <c r="K107"/>
    </row>
    <row r="108" spans="4:14" x14ac:dyDescent="0.2">
      <c r="F108" s="143"/>
      <c r="K108"/>
    </row>
    <row r="109" spans="4:14" x14ac:dyDescent="0.2">
      <c r="F109" s="143"/>
      <c r="K109"/>
    </row>
    <row r="110" spans="4:14" x14ac:dyDescent="0.2">
      <c r="F110" s="143"/>
      <c r="K110"/>
    </row>
    <row r="111" spans="4:14" x14ac:dyDescent="0.2">
      <c r="F111" s="143"/>
      <c r="K111"/>
    </row>
    <row r="112" spans="4:14" x14ac:dyDescent="0.2">
      <c r="F112" s="143"/>
      <c r="K112"/>
    </row>
    <row r="113" spans="6:11" x14ac:dyDescent="0.2">
      <c r="F113" s="143"/>
      <c r="K113"/>
    </row>
    <row r="114" spans="6:11" x14ac:dyDescent="0.2">
      <c r="F114" s="143"/>
      <c r="K114"/>
    </row>
    <row r="115" spans="6:11" x14ac:dyDescent="0.2">
      <c r="F115" s="143"/>
      <c r="K115"/>
    </row>
    <row r="116" spans="6:11" x14ac:dyDescent="0.2">
      <c r="F116" s="143"/>
      <c r="K116"/>
    </row>
    <row r="117" spans="6:11" x14ac:dyDescent="0.2">
      <c r="F117" s="143"/>
      <c r="K117"/>
    </row>
    <row r="118" spans="6:11" x14ac:dyDescent="0.2">
      <c r="F118" s="143"/>
      <c r="K118"/>
    </row>
    <row r="119" spans="6:11" x14ac:dyDescent="0.2">
      <c r="F119" s="143"/>
      <c r="K119"/>
    </row>
    <row r="120" spans="6:11" x14ac:dyDescent="0.2">
      <c r="F120" s="143"/>
      <c r="K120"/>
    </row>
    <row r="121" spans="6:11" x14ac:dyDescent="0.2">
      <c r="F121" s="143"/>
      <c r="K121"/>
    </row>
    <row r="122" spans="6:11" x14ac:dyDescent="0.2">
      <c r="F122" s="143"/>
      <c r="K122"/>
    </row>
    <row r="123" spans="6:11" x14ac:dyDescent="0.2">
      <c r="F123" s="143"/>
      <c r="K123"/>
    </row>
    <row r="124" spans="6:11" x14ac:dyDescent="0.2">
      <c r="F124" s="143"/>
      <c r="K124"/>
    </row>
    <row r="125" spans="6:11" x14ac:dyDescent="0.2">
      <c r="F125" s="143"/>
      <c r="K125"/>
    </row>
    <row r="126" spans="6:11" x14ac:dyDescent="0.2">
      <c r="F126" s="143"/>
      <c r="K126"/>
    </row>
    <row r="127" spans="6:11" x14ac:dyDescent="0.2">
      <c r="F127" s="143"/>
      <c r="K127"/>
    </row>
    <row r="128" spans="6:11" x14ac:dyDescent="0.2">
      <c r="F128" s="143"/>
      <c r="K128"/>
    </row>
    <row r="129" spans="6:11" x14ac:dyDescent="0.2">
      <c r="F129" s="143"/>
      <c r="K129"/>
    </row>
    <row r="130" spans="6:11" x14ac:dyDescent="0.2">
      <c r="F130" s="143"/>
      <c r="K130"/>
    </row>
    <row r="131" spans="6:11" x14ac:dyDescent="0.2">
      <c r="F131" s="143"/>
      <c r="K131"/>
    </row>
    <row r="132" spans="6:11" x14ac:dyDescent="0.2">
      <c r="F132" s="143"/>
      <c r="K132"/>
    </row>
    <row r="133" spans="6:11" x14ac:dyDescent="0.2">
      <c r="F133" s="143"/>
      <c r="K133"/>
    </row>
    <row r="134" spans="6:11" x14ac:dyDescent="0.2">
      <c r="F134" s="143"/>
      <c r="K134"/>
    </row>
    <row r="135" spans="6:11" x14ac:dyDescent="0.2">
      <c r="F135" s="143"/>
      <c r="K135"/>
    </row>
    <row r="136" spans="6:11" x14ac:dyDescent="0.2">
      <c r="F136" s="143"/>
      <c r="K136"/>
    </row>
    <row r="137" spans="6:11" x14ac:dyDescent="0.2">
      <c r="F137" s="143"/>
      <c r="K137"/>
    </row>
    <row r="138" spans="6:11" x14ac:dyDescent="0.2">
      <c r="F138" s="143"/>
      <c r="K138"/>
    </row>
    <row r="139" spans="6:11" x14ac:dyDescent="0.2">
      <c r="F139" s="143"/>
      <c r="K139"/>
    </row>
    <row r="140" spans="6:11" x14ac:dyDescent="0.2">
      <c r="F140" s="143"/>
      <c r="K140"/>
    </row>
    <row r="141" spans="6:11" x14ac:dyDescent="0.2">
      <c r="F141" s="143"/>
      <c r="K141"/>
    </row>
    <row r="142" spans="6:11" x14ac:dyDescent="0.2">
      <c r="F142" s="143"/>
      <c r="K142"/>
    </row>
    <row r="143" spans="6:11" x14ac:dyDescent="0.2">
      <c r="F143" s="143"/>
      <c r="K143"/>
    </row>
    <row r="144" spans="6:11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</sheetData>
  <mergeCells count="7">
    <mergeCell ref="L3:R3"/>
    <mergeCell ref="L27:R2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November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C22" sqref="C22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7">
        <v>44136</v>
      </c>
      <c r="B1" s="304" t="s">
        <v>18</v>
      </c>
      <c r="C1" s="303" t="s">
        <v>195</v>
      </c>
      <c r="D1" s="370" t="s">
        <v>158</v>
      </c>
      <c r="E1" s="303" t="s">
        <v>164</v>
      </c>
      <c r="F1" s="303" t="s">
        <v>163</v>
      </c>
      <c r="G1" s="303" t="s">
        <v>49</v>
      </c>
      <c r="H1" s="303" t="s">
        <v>114</v>
      </c>
      <c r="I1" s="303" t="s">
        <v>194</v>
      </c>
      <c r="J1" s="303" t="s">
        <v>191</v>
      </c>
      <c r="K1" s="303" t="s">
        <v>196</v>
      </c>
      <c r="L1" s="303" t="s">
        <v>162</v>
      </c>
      <c r="M1" s="303" t="s">
        <v>211</v>
      </c>
      <c r="N1" s="303" t="s">
        <v>157</v>
      </c>
      <c r="O1" s="303" t="s">
        <v>140</v>
      </c>
      <c r="P1" s="303" t="s">
        <v>21</v>
      </c>
    </row>
    <row r="2" spans="1:16" ht="15" x14ac:dyDescent="0.25">
      <c r="A2" s="494" t="s">
        <v>141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6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[3]Delta!$GZ$32</f>
        <v>3014</v>
      </c>
      <c r="C4" s="12">
        <f>'[3]Atlantic Southeast'!$GZ$32</f>
        <v>0</v>
      </c>
      <c r="D4" s="12">
        <f>[3]Pinnacle!$GZ$32</f>
        <v>0</v>
      </c>
      <c r="E4" s="12">
        <f>'[3]Sky West'!$GZ$32</f>
        <v>1086</v>
      </c>
      <c r="F4" s="12">
        <f>'[3]Go Jet'!$GZ$32</f>
        <v>0</v>
      </c>
      <c r="G4" s="12">
        <f>'[3]Sun Country'!$GZ$32</f>
        <v>1987</v>
      </c>
      <c r="H4" s="12">
        <f>[3]Icelandair!$GZ$32</f>
        <v>0</v>
      </c>
      <c r="I4" s="12">
        <f>[3]KLM!$GZ$32</f>
        <v>0</v>
      </c>
      <c r="J4" s="12">
        <f>'[3]Air Georgian'!$GZ$32</f>
        <v>0</v>
      </c>
      <c r="K4" s="12">
        <f>'[3]Sky Regional'!$GZ$32</f>
        <v>0</v>
      </c>
      <c r="L4" s="12">
        <f>[3]Condor!$GZ$32</f>
        <v>0</v>
      </c>
      <c r="M4" s="12">
        <f>'[3]Aer Lingus'!$GZ$32</f>
        <v>0</v>
      </c>
      <c r="N4" s="12">
        <f>'[3]Air France'!$GZ$32</f>
        <v>0</v>
      </c>
      <c r="O4" s="12">
        <f>'[3]Charter Misc'!$GZ$32+[3]Ryan!$GZ$32+[3]Omni!$GZ$32</f>
        <v>0</v>
      </c>
      <c r="P4" s="372">
        <f>SUM(B4:O4)</f>
        <v>6087</v>
      </c>
    </row>
    <row r="5" spans="1:16" x14ac:dyDescent="0.2">
      <c r="A5" s="38" t="s">
        <v>31</v>
      </c>
      <c r="B5" s="7">
        <f>[3]Delta!$GZ$33</f>
        <v>4068</v>
      </c>
      <c r="C5" s="7">
        <f>'[3]Atlantic Southeast'!$GZ$33</f>
        <v>0</v>
      </c>
      <c r="D5" s="7">
        <f>[3]Pinnacle!$GZ$33</f>
        <v>0</v>
      </c>
      <c r="E5" s="7">
        <f>'[3]Sky West'!$GZ$33</f>
        <v>991</v>
      </c>
      <c r="F5" s="7">
        <f>'[3]Go Jet'!$GZ$33</f>
        <v>0</v>
      </c>
      <c r="G5" s="7">
        <f>'[3]Sun Country'!$GZ$33</f>
        <v>2741</v>
      </c>
      <c r="H5" s="7">
        <f>[3]Icelandair!$GZ$33</f>
        <v>0</v>
      </c>
      <c r="I5" s="7">
        <f>[3]KLM!$GZ$33</f>
        <v>0</v>
      </c>
      <c r="J5" s="7">
        <f>'[3]Air Georgian'!$GZ$33</f>
        <v>0</v>
      </c>
      <c r="K5" s="7">
        <f>'[3]Sky Regional'!$GZ$33</f>
        <v>0</v>
      </c>
      <c r="L5" s="7">
        <f>[3]Condor!$GZ$33</f>
        <v>0</v>
      </c>
      <c r="M5" s="7">
        <f>'[3]Aer Lingus'!$GZ$33</f>
        <v>0</v>
      </c>
      <c r="N5" s="7">
        <f>'[3]Air France'!$GZ$33</f>
        <v>0</v>
      </c>
      <c r="O5" s="7">
        <f>'[3]Charter Misc'!$GZ$33++[3]Ryan!$GZ$33+[3]Omni!$GZ$33</f>
        <v>24</v>
      </c>
      <c r="P5" s="373">
        <f>SUM(B5:O5)</f>
        <v>7824</v>
      </c>
    </row>
    <row r="6" spans="1:16" ht="15" x14ac:dyDescent="0.25">
      <c r="A6" s="36" t="s">
        <v>7</v>
      </c>
      <c r="B6" s="18">
        <f t="shared" ref="B6:O6" si="0">SUM(B4:B5)</f>
        <v>7082</v>
      </c>
      <c r="C6" s="18">
        <f t="shared" si="0"/>
        <v>0</v>
      </c>
      <c r="D6" s="18">
        <f t="shared" si="0"/>
        <v>0</v>
      </c>
      <c r="E6" s="18">
        <f t="shared" si="0"/>
        <v>2077</v>
      </c>
      <c r="F6" s="18">
        <f t="shared" ref="F6" si="1">SUM(F4:F5)</f>
        <v>0</v>
      </c>
      <c r="G6" s="18">
        <f t="shared" si="0"/>
        <v>4728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24</v>
      </c>
      <c r="P6" s="374">
        <f>SUM(B6:O6)</f>
        <v>13911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2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2">
        <f>SUM(B8:O8)</f>
        <v>0</v>
      </c>
    </row>
    <row r="9" spans="1:16" x14ac:dyDescent="0.2">
      <c r="A9" s="38" t="s">
        <v>30</v>
      </c>
      <c r="B9" s="12">
        <f>[3]Delta!$GZ$37</f>
        <v>157</v>
      </c>
      <c r="C9" s="12">
        <f>'[3]Atlantic Southeast'!$GZ$37</f>
        <v>0</v>
      </c>
      <c r="D9" s="12">
        <f>[3]Pinnacle!$GZ$37</f>
        <v>0</v>
      </c>
      <c r="E9" s="12">
        <f>'[3]Sky West'!$GZ$37</f>
        <v>6</v>
      </c>
      <c r="F9" s="12">
        <f>'[3]Go Jet'!$GZ$37</f>
        <v>0</v>
      </c>
      <c r="G9" s="12">
        <f>'[3]Sun Country'!$GZ$37</f>
        <v>18</v>
      </c>
      <c r="H9" s="12">
        <f>[3]Icelandair!$GZ$37</f>
        <v>0</v>
      </c>
      <c r="I9" s="12">
        <f>[3]KLM!$GZ$37</f>
        <v>0</v>
      </c>
      <c r="J9" s="12">
        <f>'[3]Air Georgian'!$GZ$37</f>
        <v>0</v>
      </c>
      <c r="K9" s="12">
        <f>'[3]Sky Regional'!$GZ$37</f>
        <v>0</v>
      </c>
      <c r="L9" s="12">
        <f>[3]Condor!$GZ$37</f>
        <v>0</v>
      </c>
      <c r="M9" s="12">
        <f>'[3]Aer Lingus'!$GZ$37</f>
        <v>0</v>
      </c>
      <c r="N9" s="12">
        <f>'[3]Air France'!$GZ$37</f>
        <v>0</v>
      </c>
      <c r="O9" s="12">
        <f>'[3]Charter Misc'!$GZ$37+[3]Ryan!$GZ$37+[3]Omni!$GZ$37</f>
        <v>0</v>
      </c>
      <c r="P9" s="372">
        <f>SUM(B9:O9)</f>
        <v>181</v>
      </c>
    </row>
    <row r="10" spans="1:16" x14ac:dyDescent="0.2">
      <c r="A10" s="38" t="s">
        <v>33</v>
      </c>
      <c r="B10" s="7">
        <f>[3]Delta!$GZ$38</f>
        <v>182</v>
      </c>
      <c r="C10" s="7">
        <f>'[3]Atlantic Southeast'!$GZ$38</f>
        <v>0</v>
      </c>
      <c r="D10" s="7">
        <f>[3]Pinnacle!$GZ$38</f>
        <v>0</v>
      </c>
      <c r="E10" s="7">
        <f>'[3]Sky West'!$GZ$38</f>
        <v>4</v>
      </c>
      <c r="F10" s="7">
        <f>'[3]Go Jet'!$GZ$38</f>
        <v>0</v>
      </c>
      <c r="G10" s="7">
        <f>'[3]Sun Country'!$GZ$38</f>
        <v>70</v>
      </c>
      <c r="H10" s="7">
        <f>[3]Icelandair!$GZ$38</f>
        <v>0</v>
      </c>
      <c r="I10" s="7">
        <f>[3]KLM!$GZ$38</f>
        <v>0</v>
      </c>
      <c r="J10" s="7">
        <f>'[3]Air Georgian'!$GZ$38</f>
        <v>0</v>
      </c>
      <c r="K10" s="7">
        <f>'[3]Sky Regional'!$GZ$38</f>
        <v>0</v>
      </c>
      <c r="L10" s="7">
        <f>[3]Condor!$GZ$38</f>
        <v>0</v>
      </c>
      <c r="M10" s="7">
        <f>'[3]Aer Lingus'!$GZ$38</f>
        <v>0</v>
      </c>
      <c r="N10" s="7">
        <f>'[3]Air France'!$GZ$38</f>
        <v>0</v>
      </c>
      <c r="O10" s="7">
        <f>'[3]Charter Misc'!$GZ$38+[3]Ryan!$GZ$38+[3]Omni!$GZ$38</f>
        <v>0</v>
      </c>
      <c r="P10" s="373">
        <f>SUM(B10:O10)</f>
        <v>256</v>
      </c>
    </row>
    <row r="11" spans="1:16" ht="15.75" thickBot="1" x14ac:dyDescent="0.3">
      <c r="A11" s="39" t="s">
        <v>34</v>
      </c>
      <c r="B11" s="187">
        <f t="shared" ref="B11:G11" si="5">SUM(B9:B10)</f>
        <v>339</v>
      </c>
      <c r="C11" s="187">
        <f t="shared" si="5"/>
        <v>0</v>
      </c>
      <c r="D11" s="187">
        <f t="shared" si="5"/>
        <v>0</v>
      </c>
      <c r="E11" s="187">
        <f t="shared" si="5"/>
        <v>10</v>
      </c>
      <c r="F11" s="187">
        <f t="shared" ref="F11" si="6">SUM(F9:F10)</f>
        <v>0</v>
      </c>
      <c r="G11" s="187">
        <f t="shared" si="5"/>
        <v>88</v>
      </c>
      <c r="H11" s="187">
        <f t="shared" ref="H11:O11" si="7">SUM(H9:H10)</f>
        <v>0</v>
      </c>
      <c r="I11" s="187">
        <f t="shared" ref="I11" si="8">SUM(I9:I10)</f>
        <v>0</v>
      </c>
      <c r="J11" s="187">
        <f t="shared" si="7"/>
        <v>0</v>
      </c>
      <c r="K11" s="187">
        <f t="shared" ref="K11" si="9">SUM(K9:K10)</f>
        <v>0</v>
      </c>
      <c r="L11" s="187">
        <f t="shared" si="7"/>
        <v>0</v>
      </c>
      <c r="M11" s="187">
        <f t="shared" ref="M11" si="10">SUM(M9:M10)</f>
        <v>0</v>
      </c>
      <c r="N11" s="187">
        <f t="shared" si="7"/>
        <v>0</v>
      </c>
      <c r="O11" s="187">
        <f t="shared" si="7"/>
        <v>0</v>
      </c>
      <c r="P11" s="375">
        <f>SUM(B11:O11)</f>
        <v>437</v>
      </c>
    </row>
    <row r="12" spans="1:16" ht="15" x14ac:dyDescent="0.25">
      <c r="A12" s="261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9"/>
    </row>
    <row r="13" spans="1:16" ht="39" thickBot="1" x14ac:dyDescent="0.25">
      <c r="B13" s="304" t="s">
        <v>18</v>
      </c>
      <c r="C13" s="303" t="s">
        <v>195</v>
      </c>
      <c r="D13" s="370" t="s">
        <v>158</v>
      </c>
      <c r="E13" s="303" t="s">
        <v>164</v>
      </c>
      <c r="F13" s="303" t="s">
        <v>163</v>
      </c>
      <c r="G13" s="303" t="s">
        <v>49</v>
      </c>
      <c r="H13" s="303" t="s">
        <v>114</v>
      </c>
      <c r="I13" s="303" t="s">
        <v>194</v>
      </c>
      <c r="J13" s="303" t="s">
        <v>191</v>
      </c>
      <c r="K13" s="303" t="s">
        <v>196</v>
      </c>
      <c r="L13" s="303" t="s">
        <v>162</v>
      </c>
      <c r="M13" s="303" t="s">
        <v>211</v>
      </c>
      <c r="N13" s="303" t="s">
        <v>157</v>
      </c>
      <c r="O13" s="303" t="s">
        <v>140</v>
      </c>
      <c r="P13" s="303" t="s">
        <v>21</v>
      </c>
    </row>
    <row r="14" spans="1:16" ht="15" x14ac:dyDescent="0.25">
      <c r="A14" s="497" t="s">
        <v>142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9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SUM([3]Delta!$GP$32:$GZ$32)</f>
        <v>244572</v>
      </c>
      <c r="C16" s="12">
        <f>SUM('[3]Atlantic Southeast'!$GP$32:$GZ$32)</f>
        <v>0</v>
      </c>
      <c r="D16" s="12">
        <f>SUM([3]Pinnacle!$GP$32:$GZ$32)</f>
        <v>11430</v>
      </c>
      <c r="E16" s="12">
        <f>SUM('[3]Sky West'!$GP$32:$GZ$32)</f>
        <v>46092</v>
      </c>
      <c r="F16" s="12">
        <f>SUM('[3]Go Jet'!$GP$32:$GZ$32)</f>
        <v>0</v>
      </c>
      <c r="G16" s="12">
        <f>SUM('[3]Sun Country'!$GP$32:$GZ$32)</f>
        <v>89834</v>
      </c>
      <c r="H16" s="12">
        <f>SUM([3]Icelandair!$GP$32:$GZ$32)</f>
        <v>1011</v>
      </c>
      <c r="I16" s="12">
        <f>SUM([3]KLM!$GP$32:$GZ$32)</f>
        <v>9290</v>
      </c>
      <c r="J16" s="12">
        <f>SUM('[3]Air Georgian'!$GP$32:$GZ$32)</f>
        <v>0</v>
      </c>
      <c r="K16" s="12">
        <f>SUM('[3]Sky Regional'!$GP$32:$GZ$32)</f>
        <v>8489</v>
      </c>
      <c r="L16" s="12">
        <f>SUM([3]Condor!$GP$32:$GZ$32)</f>
        <v>0</v>
      </c>
      <c r="M16" s="12">
        <f>SUM('[3]Aer Lingus'!$GP$32:$GZ$32)</f>
        <v>5028</v>
      </c>
      <c r="N16" s="12">
        <f>SUM('[3]Air France'!$GP$32:$GZ$32)</f>
        <v>0</v>
      </c>
      <c r="O16" s="12">
        <f>SUM('[3]Charter Misc'!$GP$32:$GZ$32)+SUM([3]Ryan!$GP$32:$GZ$32)+SUM([3]Omni!$GP$32:$GZ$32)</f>
        <v>79</v>
      </c>
      <c r="P16" s="372">
        <f>SUM(B16:O16)</f>
        <v>415825</v>
      </c>
    </row>
    <row r="17" spans="1:19" x14ac:dyDescent="0.2">
      <c r="A17" s="38" t="s">
        <v>31</v>
      </c>
      <c r="B17" s="7">
        <f>SUM([3]Delta!$GP$33:$GZ$33)</f>
        <v>225942</v>
      </c>
      <c r="C17" s="7">
        <f>SUM('[3]Atlantic Southeast'!$GP$33:$GZ$33)</f>
        <v>0</v>
      </c>
      <c r="D17" s="7">
        <f>SUM([3]Pinnacle!$GP$33:$GZ$33)</f>
        <v>12177</v>
      </c>
      <c r="E17" s="7">
        <f>SUM('[3]Sky West'!$GP$33:$GZ$33)</f>
        <v>46382</v>
      </c>
      <c r="F17" s="7">
        <f>SUM('[3]Go Jet'!$GP$33:$GZ$33)</f>
        <v>0</v>
      </c>
      <c r="G17" s="7">
        <f>SUM('[3]Sun Country'!$GP$33:$GZ$33)</f>
        <v>83778</v>
      </c>
      <c r="H17" s="7">
        <f>SUM([3]Icelandair!$GP$33:$GZ$33)</f>
        <v>1047</v>
      </c>
      <c r="I17" s="7">
        <f>SUM([3]KLM!$GP$33:$GZ$33)</f>
        <v>6678</v>
      </c>
      <c r="J17" s="7">
        <f>SUM('[3]Air Georgian'!$GP$33:$GZ$33)</f>
        <v>0</v>
      </c>
      <c r="K17" s="7">
        <f>SUM('[3]Sky Regional'!$GP$33:$GZ$33)</f>
        <v>8452</v>
      </c>
      <c r="L17" s="7">
        <f>SUM([3]Condor!$GP$33:$GZ$33)</f>
        <v>0</v>
      </c>
      <c r="M17" s="7">
        <f>SUM('[3]Aer Lingus'!$GP$33:$GZ$33)</f>
        <v>4594</v>
      </c>
      <c r="N17" s="7">
        <f>SUM('[3]Air France'!$GP$33:$GZ$33)</f>
        <v>0</v>
      </c>
      <c r="O17" s="7">
        <f>SUM('[3]Charter Misc'!$GP$33:$GZ$33)++SUM([3]Ryan!$GP$33:$GZ$33)+SUM([3]Omni!$GP$33:$GZ$33)</f>
        <v>24</v>
      </c>
      <c r="P17" s="373">
        <f>SUM(B17:O17)</f>
        <v>389074</v>
      </c>
    </row>
    <row r="18" spans="1:19" ht="15" x14ac:dyDescent="0.25">
      <c r="A18" s="36" t="s">
        <v>7</v>
      </c>
      <c r="B18" s="18">
        <f t="shared" ref="B18:O18" si="11">SUM(B16:B17)</f>
        <v>470514</v>
      </c>
      <c r="C18" s="18">
        <f t="shared" si="11"/>
        <v>0</v>
      </c>
      <c r="D18" s="18">
        <f t="shared" si="11"/>
        <v>23607</v>
      </c>
      <c r="E18" s="18">
        <f t="shared" si="11"/>
        <v>92474</v>
      </c>
      <c r="F18" s="18">
        <f t="shared" ref="F18" si="12">SUM(F16:F17)</f>
        <v>0</v>
      </c>
      <c r="G18" s="18">
        <f t="shared" si="11"/>
        <v>173612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103</v>
      </c>
      <c r="P18" s="374">
        <f>SUM(B18:O18)</f>
        <v>804899</v>
      </c>
      <c r="S18" s="204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2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2">
        <f>SUM(B20:O20)</f>
        <v>0</v>
      </c>
    </row>
    <row r="21" spans="1:19" x14ac:dyDescent="0.2">
      <c r="A21" s="38" t="s">
        <v>30</v>
      </c>
      <c r="B21" s="12">
        <f>SUM([3]Delta!$GP$37:$GZ$37)</f>
        <v>6718</v>
      </c>
      <c r="C21" s="12">
        <f>SUM('[3]Atlantic Southeast'!$GP$37:$GZ$37)</f>
        <v>0</v>
      </c>
      <c r="D21" s="12">
        <f>SUM([3]Pinnacle!$GP$37:$GZ$37)</f>
        <v>265</v>
      </c>
      <c r="E21" s="12">
        <f>SUM('[3]Sky West'!$GP$37:$GZ$37)</f>
        <v>543</v>
      </c>
      <c r="F21" s="12">
        <f>SUM('[3]Go Jet'!$GP$37:$GZ$37)</f>
        <v>0</v>
      </c>
      <c r="G21" s="12">
        <f>SUM('[3]Sun Country'!$GP$37:$GZ$37)</f>
        <v>1073</v>
      </c>
      <c r="H21" s="12">
        <f>SUM([3]Icelandair!$GP$37:$GZ$37)</f>
        <v>22</v>
      </c>
      <c r="I21" s="12">
        <f>SUM([3]KLM!$GP$37:$GZ$37)</f>
        <v>35</v>
      </c>
      <c r="J21" s="12">
        <f>SUM('[3]Air Georgian'!$GP$37:$GZ$37)</f>
        <v>0</v>
      </c>
      <c r="K21" s="12">
        <f>SUM('[3]Sky Regional'!$GP$37:$GZ$37)</f>
        <v>116</v>
      </c>
      <c r="L21" s="12">
        <f>SUM([3]Condor!$GP$37:$GZ$37)</f>
        <v>0</v>
      </c>
      <c r="M21" s="12">
        <f>SUM('[3]Aer Lingus'!$GP$37:$GZ$37)</f>
        <v>35</v>
      </c>
      <c r="N21" s="12">
        <f>SUM('[3]Air France'!$GP$37:$GZ$37)</f>
        <v>0</v>
      </c>
      <c r="O21" s="12">
        <f>SUM('[3]Charter Misc'!$GP$37:$GZ$37)++SUM([3]Ryan!$GP$37:$GZ$37)+SUM([3]Omni!$GP$37:$GZ$37)</f>
        <v>0</v>
      </c>
      <c r="P21" s="372">
        <f>SUM(B21:O21)</f>
        <v>8807</v>
      </c>
    </row>
    <row r="22" spans="1:19" x14ac:dyDescent="0.2">
      <c r="A22" s="38" t="s">
        <v>33</v>
      </c>
      <c r="B22" s="7">
        <f>SUM([3]Delta!$GP$38:$GZ$38)</f>
        <v>5934</v>
      </c>
      <c r="C22" s="7">
        <f>SUM('[3]Atlantic Southeast'!$GP$38:$GZ$38)</f>
        <v>0</v>
      </c>
      <c r="D22" s="7">
        <f>SUM([3]Pinnacle!$GP$38:$GZ$38)</f>
        <v>142</v>
      </c>
      <c r="E22" s="7">
        <f>SUM('[3]Sky West'!$GP$38:$GZ$38)</f>
        <v>528</v>
      </c>
      <c r="F22" s="7">
        <f>SUM('[3]Go Jet'!$GP$38:$GZ$38)</f>
        <v>0</v>
      </c>
      <c r="G22" s="7">
        <f>SUM('[3]Sun Country'!$GP$38:$GZ$38)</f>
        <v>1082</v>
      </c>
      <c r="H22" s="7">
        <f>SUM([3]Icelandair!$GP$38:$GZ$38)</f>
        <v>20</v>
      </c>
      <c r="I22" s="7">
        <f>SUM([3]KLM!$GP$38:$GZ$38)</f>
        <v>26</v>
      </c>
      <c r="J22" s="7">
        <f>SUM('[3]Air Georgian'!$GP$38:$GZ$38)</f>
        <v>0</v>
      </c>
      <c r="K22" s="7">
        <f>SUM('[3]Sky Regional'!$GP$38:$GZ$38)</f>
        <v>116</v>
      </c>
      <c r="L22" s="7">
        <f>SUM([3]Condor!$GP$38:$GZ$38)</f>
        <v>0</v>
      </c>
      <c r="M22" s="7">
        <f>SUM('[3]Aer Lingus'!$GP$38:$GZ$38)</f>
        <v>37</v>
      </c>
      <c r="N22" s="7">
        <f>SUM('[3]Air France'!$GP$38:$GZ$38)</f>
        <v>0</v>
      </c>
      <c r="O22" s="7">
        <f>SUM('[3]Charter Misc'!$GP$38:$GZ$38)++SUM([3]Ryan!$GP$38:$GZ$38)+SUM([3]Omni!$GP$38:$GZ$38)</f>
        <v>0</v>
      </c>
      <c r="P22" s="373">
        <f>SUM(B22:O22)</f>
        <v>7885</v>
      </c>
    </row>
    <row r="23" spans="1:19" ht="15.75" thickBot="1" x14ac:dyDescent="0.3">
      <c r="A23" s="39" t="s">
        <v>34</v>
      </c>
      <c r="B23" s="187">
        <f t="shared" ref="B23:O23" si="16">SUM(B21:B22)</f>
        <v>12652</v>
      </c>
      <c r="C23" s="187">
        <f t="shared" si="16"/>
        <v>0</v>
      </c>
      <c r="D23" s="187">
        <f t="shared" si="16"/>
        <v>407</v>
      </c>
      <c r="E23" s="187">
        <f t="shared" si="16"/>
        <v>1071</v>
      </c>
      <c r="F23" s="187">
        <f t="shared" ref="F23" si="17">SUM(F21:F22)</f>
        <v>0</v>
      </c>
      <c r="G23" s="187">
        <f t="shared" si="16"/>
        <v>2155</v>
      </c>
      <c r="H23" s="187">
        <f t="shared" si="16"/>
        <v>42</v>
      </c>
      <c r="I23" s="187">
        <f t="shared" ref="I23" si="18">SUM(I21:I22)</f>
        <v>61</v>
      </c>
      <c r="J23" s="187">
        <f t="shared" si="16"/>
        <v>0</v>
      </c>
      <c r="K23" s="187">
        <f t="shared" ref="K23" si="19">SUM(K21:K22)</f>
        <v>232</v>
      </c>
      <c r="L23" s="187">
        <f t="shared" ref="L23:M23" si="20">SUM(L21:L22)</f>
        <v>0</v>
      </c>
      <c r="M23" s="187">
        <f t="shared" si="20"/>
        <v>72</v>
      </c>
      <c r="N23" s="187">
        <f t="shared" si="16"/>
        <v>0</v>
      </c>
      <c r="O23" s="187">
        <f t="shared" si="16"/>
        <v>0</v>
      </c>
      <c r="P23" s="375">
        <f>SUM(B23:O23)</f>
        <v>16692</v>
      </c>
    </row>
    <row r="25" spans="1:19" ht="39" thickBot="1" x14ac:dyDescent="0.25">
      <c r="B25" s="304" t="s">
        <v>18</v>
      </c>
      <c r="C25" s="303" t="s">
        <v>195</v>
      </c>
      <c r="D25" s="370" t="s">
        <v>158</v>
      </c>
      <c r="E25" s="303" t="s">
        <v>164</v>
      </c>
      <c r="F25" s="303" t="s">
        <v>163</v>
      </c>
      <c r="G25" s="303" t="s">
        <v>49</v>
      </c>
      <c r="H25" s="303" t="s">
        <v>114</v>
      </c>
      <c r="I25" s="303" t="s">
        <v>194</v>
      </c>
      <c r="J25" s="303" t="s">
        <v>191</v>
      </c>
      <c r="K25" s="303" t="s">
        <v>196</v>
      </c>
      <c r="L25" s="303" t="s">
        <v>162</v>
      </c>
      <c r="M25" s="303" t="s">
        <v>211</v>
      </c>
      <c r="N25" s="303" t="s">
        <v>157</v>
      </c>
      <c r="O25" s="303" t="s">
        <v>140</v>
      </c>
      <c r="P25" s="303" t="s">
        <v>21</v>
      </c>
    </row>
    <row r="26" spans="1:19" ht="15" x14ac:dyDescent="0.25">
      <c r="A26" s="500" t="s">
        <v>143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2"/>
    </row>
    <row r="27" spans="1:19" x14ac:dyDescent="0.2">
      <c r="A27" s="38" t="s">
        <v>22</v>
      </c>
      <c r="B27" s="12">
        <f>[3]Delta!$GZ$15</f>
        <v>49</v>
      </c>
      <c r="C27" s="12">
        <f>'[3]Atlantic Southeast'!$GZ$15</f>
        <v>0</v>
      </c>
      <c r="D27" s="12">
        <f>[3]Pinnacle!$GZ$15</f>
        <v>0</v>
      </c>
      <c r="E27" s="12">
        <f>'[3]Sky West'!$GZ$15</f>
        <v>24</v>
      </c>
      <c r="F27" s="12">
        <f>'[3]Go Jet'!$GZ$15</f>
        <v>0</v>
      </c>
      <c r="G27" s="12">
        <f>'[3]Sun Country'!$GZ$15</f>
        <v>24</v>
      </c>
      <c r="H27" s="12">
        <f>[3]Icelandair!$GZ$15</f>
        <v>0</v>
      </c>
      <c r="I27" s="12">
        <f>[3]KLM!$GZ$15</f>
        <v>0</v>
      </c>
      <c r="J27" s="12">
        <f>'[3]Air Georgian'!$GZ$15</f>
        <v>0</v>
      </c>
      <c r="K27" s="12">
        <f>'[3]Sky Regional'!$GZ$15</f>
        <v>0</v>
      </c>
      <c r="L27" s="12">
        <f>[3]Condor!$GZ$15</f>
        <v>0</v>
      </c>
      <c r="M27" s="12"/>
      <c r="N27" s="12">
        <f>'[3]Air France'!$GZ$15</f>
        <v>0</v>
      </c>
      <c r="O27" s="12">
        <f>'[3]Charter Misc'!$GZ$15+[3]Ryan!$GZ$15+[3]Omni!$GZ$15</f>
        <v>0</v>
      </c>
      <c r="P27" s="372">
        <f>SUM(B27:O27)</f>
        <v>97</v>
      </c>
    </row>
    <row r="28" spans="1:19" x14ac:dyDescent="0.2">
      <c r="A28" s="38" t="s">
        <v>23</v>
      </c>
      <c r="B28" s="12">
        <f>[3]Delta!$GZ$16</f>
        <v>51</v>
      </c>
      <c r="C28" s="12">
        <f>'[3]Atlantic Southeast'!$GZ$16</f>
        <v>0</v>
      </c>
      <c r="D28" s="12">
        <f>[3]Pinnacle!$GZ$16</f>
        <v>0</v>
      </c>
      <c r="E28" s="12">
        <f>'[3]Sky West'!$GZ$16</f>
        <v>25</v>
      </c>
      <c r="F28" s="12">
        <f>'[3]Go Jet'!$GZ$16</f>
        <v>0</v>
      </c>
      <c r="G28" s="12">
        <f>'[3]Sun Country'!$GZ$16</f>
        <v>26</v>
      </c>
      <c r="H28" s="12">
        <f>[3]Icelandair!$GZ$16</f>
        <v>0</v>
      </c>
      <c r="I28" s="12">
        <f>[3]KLM!$GZ$16</f>
        <v>0</v>
      </c>
      <c r="J28" s="12">
        <f>'[3]Air Georgian'!$GZ$16</f>
        <v>0</v>
      </c>
      <c r="K28" s="12">
        <f>'[3]Sky Regional'!$GZ$16</f>
        <v>0</v>
      </c>
      <c r="L28" s="12">
        <f>[3]Condor!$GZ$16</f>
        <v>0</v>
      </c>
      <c r="M28" s="12">
        <f>'[3]Aer Lingus'!$GZ$16</f>
        <v>0</v>
      </c>
      <c r="N28" s="12">
        <f>'[3]Air France'!$GZ$16</f>
        <v>0</v>
      </c>
      <c r="O28" s="12">
        <f>'[3]Charter Misc'!$GZ$16+[3]Ryan!$GZ$16+[3]Omni!$GZ$16</f>
        <v>1</v>
      </c>
      <c r="P28" s="372">
        <f>SUM(B28:O28)</f>
        <v>103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2"/>
    </row>
    <row r="30" spans="1:19" ht="15.75" thickBot="1" x14ac:dyDescent="0.3">
      <c r="A30" s="39" t="s">
        <v>28</v>
      </c>
      <c r="B30" s="260">
        <f t="shared" ref="B30:J30" si="21">SUM(B27:B28)</f>
        <v>100</v>
      </c>
      <c r="C30" s="260">
        <f t="shared" si="21"/>
        <v>0</v>
      </c>
      <c r="D30" s="260">
        <f t="shared" si="21"/>
        <v>0</v>
      </c>
      <c r="E30" s="260">
        <f>SUM(E27:E28)</f>
        <v>49</v>
      </c>
      <c r="F30" s="260">
        <f>SUM(F27:F28)</f>
        <v>0</v>
      </c>
      <c r="G30" s="260">
        <f t="shared" si="21"/>
        <v>50</v>
      </c>
      <c r="H30" s="260">
        <f t="shared" si="21"/>
        <v>0</v>
      </c>
      <c r="I30" s="260">
        <f t="shared" ref="I30" si="22">SUM(I27:I28)</f>
        <v>0</v>
      </c>
      <c r="J30" s="260">
        <f t="shared" si="21"/>
        <v>0</v>
      </c>
      <c r="K30" s="260">
        <f t="shared" ref="K30" si="23">SUM(K27:K28)</f>
        <v>0</v>
      </c>
      <c r="L30" s="260">
        <f>SUM(L27:L28)</f>
        <v>0</v>
      </c>
      <c r="M30" s="260">
        <f>SUM(M27:M28)</f>
        <v>0</v>
      </c>
      <c r="N30" s="260">
        <f>SUM(N27:N28)</f>
        <v>0</v>
      </c>
      <c r="O30" s="260">
        <f>SUM(O27:O28)</f>
        <v>1</v>
      </c>
      <c r="P30" s="418">
        <f>SUM(B30:O30)</f>
        <v>200</v>
      </c>
    </row>
    <row r="31" spans="1:19" ht="15" x14ac:dyDescent="0.25">
      <c r="A31" s="261"/>
    </row>
    <row r="32" spans="1:19" ht="39" thickBot="1" x14ac:dyDescent="0.25">
      <c r="B32" s="304" t="s">
        <v>18</v>
      </c>
      <c r="C32" s="303" t="s">
        <v>195</v>
      </c>
      <c r="D32" s="370" t="s">
        <v>158</v>
      </c>
      <c r="E32" s="303" t="s">
        <v>164</v>
      </c>
      <c r="F32" s="303" t="s">
        <v>163</v>
      </c>
      <c r="G32" s="303" t="s">
        <v>49</v>
      </c>
      <c r="H32" s="303" t="s">
        <v>114</v>
      </c>
      <c r="I32" s="303" t="s">
        <v>194</v>
      </c>
      <c r="J32" s="303" t="s">
        <v>191</v>
      </c>
      <c r="K32" s="303" t="s">
        <v>196</v>
      </c>
      <c r="L32" s="303" t="s">
        <v>162</v>
      </c>
      <c r="M32" s="303" t="s">
        <v>211</v>
      </c>
      <c r="N32" s="303" t="s">
        <v>157</v>
      </c>
      <c r="O32" s="303" t="s">
        <v>140</v>
      </c>
      <c r="P32" s="303" t="s">
        <v>21</v>
      </c>
    </row>
    <row r="33" spans="1:16" ht="15" x14ac:dyDescent="0.25">
      <c r="A33" s="503" t="s">
        <v>144</v>
      </c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5"/>
    </row>
    <row r="34" spans="1:16" x14ac:dyDescent="0.2">
      <c r="A34" s="38" t="s">
        <v>22</v>
      </c>
      <c r="B34" s="12">
        <f>SUM([3]Delta!$GP$15:$GZ$15)</f>
        <v>1699</v>
      </c>
      <c r="C34" s="12">
        <f>SUM('[3]Atlantic Southeast'!$GP$15:$GZ$15)</f>
        <v>0</v>
      </c>
      <c r="D34" s="12">
        <f>SUM([3]Pinnacle!$GP$15:$GZ$15)</f>
        <v>233</v>
      </c>
      <c r="E34" s="12">
        <f>SUM('[3]Sky West'!$GP$15:$GZ$15)</f>
        <v>1058</v>
      </c>
      <c r="F34" s="12">
        <f>SUM('[3]Go Jet'!$GP$15:$GZ$15)</f>
        <v>0</v>
      </c>
      <c r="G34" s="12">
        <f>SUM('[3]Sun Country'!$GP$15:$GZ$15)</f>
        <v>663</v>
      </c>
      <c r="H34" s="12">
        <f>SUM([3]Icelandair!$GP$15:$GZ$15)</f>
        <v>9</v>
      </c>
      <c r="I34" s="12">
        <f>SUM([3]KLM!$GP$15:$GZ$15)</f>
        <v>40</v>
      </c>
      <c r="J34" s="12">
        <f>SUM('[3]Air Georgian'!$GP$15:$GZ$15)</f>
        <v>0</v>
      </c>
      <c r="K34" s="12">
        <f>SUM('[3]Sky Regional'!$GP$15:$GZ$15)</f>
        <v>195</v>
      </c>
      <c r="L34" s="12">
        <f>SUM([3]Condor!$GP$15:$GZ$15)</f>
        <v>0</v>
      </c>
      <c r="M34" s="12">
        <f>SUM('[3]Aer Lingus'!$GP$15:$GZ$15)</f>
        <v>44</v>
      </c>
      <c r="N34" s="12">
        <f>SUM('[3]Air France'!$GP$15:$GZ$15)</f>
        <v>0</v>
      </c>
      <c r="O34" s="12">
        <f>SUM('[3]Charter Misc'!$GP$15:$GZ$15)+SUM([3]Ryan!$GP$15:$GZ$15)+SUM([3]Omni!$GP$15:$GZ$15)</f>
        <v>2</v>
      </c>
      <c r="P34" s="372">
        <f>SUM(B34:O34)</f>
        <v>3943</v>
      </c>
    </row>
    <row r="35" spans="1:16" x14ac:dyDescent="0.2">
      <c r="A35" s="38" t="s">
        <v>23</v>
      </c>
      <c r="B35" s="12">
        <f>SUM([3]Delta!$GP$16:$GZ$16)</f>
        <v>1681</v>
      </c>
      <c r="C35" s="12">
        <f>SUM('[3]Atlantic Southeast'!$GP$16:$GZ$16)</f>
        <v>0</v>
      </c>
      <c r="D35" s="12">
        <f>SUM([3]Pinnacle!$GP$16:$GZ$16)</f>
        <v>223</v>
      </c>
      <c r="E35" s="12">
        <f>SUM('[3]Sky West'!$GP$16:$GZ$16)</f>
        <v>1058</v>
      </c>
      <c r="F35" s="12">
        <f>SUM('[3]Go Jet'!$GP$16:$GZ$16)</f>
        <v>0</v>
      </c>
      <c r="G35" s="12">
        <f>SUM('[3]Sun Country'!$GP$16:$GZ$16)</f>
        <v>664</v>
      </c>
      <c r="H35" s="12">
        <f>SUM([3]Icelandair!$GP$16:$GZ$16)</f>
        <v>9</v>
      </c>
      <c r="I35" s="12">
        <f>SUM([3]KLM!$GP$16:$GZ$16)</f>
        <v>40</v>
      </c>
      <c r="J35" s="12">
        <f>SUM('[3]Air Georgian'!$GP$16:$GZ$16)</f>
        <v>0</v>
      </c>
      <c r="K35" s="12">
        <f>SUM('[3]Sky Regional'!$GP$16:$GZ$16)</f>
        <v>195</v>
      </c>
      <c r="L35" s="12">
        <f>SUM([3]Condor!$GP$16:$GZ$16)</f>
        <v>0</v>
      </c>
      <c r="M35" s="12">
        <f>SUM('[3]Aer Lingus'!$GP$16:$GZ$16)</f>
        <v>44</v>
      </c>
      <c r="N35" s="12">
        <f>SUM('[3]Air France'!$GP$16:$GZ$16)</f>
        <v>0</v>
      </c>
      <c r="O35" s="12">
        <f>SUM('[3]Charter Misc'!$GP$16:$GZ$16)+SUM([3]Ryan!$GP$16:$GZ$16)+SUM([3]Omni!$GP$16:$GZ$16)</f>
        <v>1</v>
      </c>
      <c r="P35" s="372">
        <f>SUM(B35:O35)</f>
        <v>3915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2"/>
    </row>
    <row r="37" spans="1:16" ht="15.75" thickBot="1" x14ac:dyDescent="0.3">
      <c r="A37" s="39" t="s">
        <v>28</v>
      </c>
      <c r="B37" s="260">
        <f t="shared" ref="B37:J37" si="24">+SUM(B34:B35)</f>
        <v>3380</v>
      </c>
      <c r="C37" s="260">
        <f t="shared" si="24"/>
        <v>0</v>
      </c>
      <c r="D37" s="260">
        <f t="shared" si="24"/>
        <v>456</v>
      </c>
      <c r="E37" s="260">
        <f>+SUM(E34:E35)</f>
        <v>2116</v>
      </c>
      <c r="F37" s="260">
        <f>+SUM(F34:F35)</f>
        <v>0</v>
      </c>
      <c r="G37" s="260">
        <f t="shared" si="24"/>
        <v>1327</v>
      </c>
      <c r="H37" s="260">
        <f t="shared" si="24"/>
        <v>18</v>
      </c>
      <c r="I37" s="260">
        <f t="shared" ref="I37" si="25">+SUM(I34:I35)</f>
        <v>80</v>
      </c>
      <c r="J37" s="260">
        <f t="shared" si="24"/>
        <v>0</v>
      </c>
      <c r="K37" s="260">
        <f t="shared" ref="K37" si="26">+SUM(K34:K35)</f>
        <v>390</v>
      </c>
      <c r="L37" s="260">
        <f>+SUM(L34:L35)</f>
        <v>0</v>
      </c>
      <c r="M37" s="260">
        <f>+SUM(M34:M35)</f>
        <v>88</v>
      </c>
      <c r="N37" s="260">
        <f>+SUM(N34:N35)</f>
        <v>0</v>
      </c>
      <c r="O37" s="260">
        <f>+SUM(O34:O35)</f>
        <v>3</v>
      </c>
      <c r="P37" s="418">
        <f>SUM(B37:O37)</f>
        <v>7858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&amp;"Arial,Bold"November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4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4" bestFit="1" customWidth="1"/>
    <col min="12" max="13" width="14" style="2" bestFit="1" customWidth="1"/>
    <col min="14" max="14" width="11.7109375" style="3" customWidth="1"/>
    <col min="15" max="15" width="10.855468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10.85546875" bestFit="1" customWidth="1"/>
    <col min="22" max="22" width="10.7109375" bestFit="1" customWidth="1"/>
    <col min="24" max="24" width="11.85546875" bestFit="1" customWidth="1"/>
    <col min="25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6" t="s">
        <v>133</v>
      </c>
      <c r="B1" s="517"/>
      <c r="C1" s="363" t="s">
        <v>217</v>
      </c>
      <c r="D1" s="364" t="s">
        <v>205</v>
      </c>
      <c r="E1" s="176" t="s">
        <v>96</v>
      </c>
      <c r="F1" s="175" t="s">
        <v>218</v>
      </c>
      <c r="G1" s="364" t="s">
        <v>206</v>
      </c>
      <c r="H1" s="174" t="s">
        <v>97</v>
      </c>
      <c r="I1" s="176" t="s">
        <v>221</v>
      </c>
      <c r="J1" s="522" t="s">
        <v>137</v>
      </c>
      <c r="K1" s="523"/>
      <c r="L1" s="361" t="s">
        <v>219</v>
      </c>
      <c r="M1" s="362" t="s">
        <v>207</v>
      </c>
      <c r="N1" s="230" t="s">
        <v>97</v>
      </c>
      <c r="O1" s="340" t="s">
        <v>220</v>
      </c>
      <c r="P1" s="177" t="s">
        <v>208</v>
      </c>
      <c r="Q1" s="337" t="s">
        <v>97</v>
      </c>
      <c r="R1" s="341" t="s">
        <v>221</v>
      </c>
      <c r="S1" s="506" t="s">
        <v>223</v>
      </c>
      <c r="T1" s="507"/>
      <c r="U1" s="434" t="s">
        <v>219</v>
      </c>
      <c r="V1" s="435" t="s">
        <v>207</v>
      </c>
      <c r="W1" s="436" t="s">
        <v>97</v>
      </c>
      <c r="X1" s="437" t="s">
        <v>220</v>
      </c>
      <c r="Y1" s="438" t="s">
        <v>208</v>
      </c>
      <c r="Z1" s="439" t="s">
        <v>97</v>
      </c>
      <c r="AA1" s="440" t="s">
        <v>221</v>
      </c>
    </row>
    <row r="2" spans="1:27" s="9" customFormat="1" ht="13.5" customHeight="1" thickBot="1" x14ac:dyDescent="0.25">
      <c r="A2" s="518">
        <v>44136</v>
      </c>
      <c r="B2" s="519"/>
      <c r="C2" s="520" t="s">
        <v>9</v>
      </c>
      <c r="D2" s="521"/>
      <c r="E2" s="521"/>
      <c r="F2" s="521"/>
      <c r="G2" s="521"/>
      <c r="H2" s="521"/>
      <c r="I2" s="310"/>
      <c r="J2" s="518">
        <f>+A2</f>
        <v>44136</v>
      </c>
      <c r="K2" s="519"/>
      <c r="L2" s="513" t="s">
        <v>139</v>
      </c>
      <c r="M2" s="514"/>
      <c r="N2" s="514"/>
      <c r="O2" s="514"/>
      <c r="P2" s="514"/>
      <c r="Q2" s="514"/>
      <c r="R2" s="515"/>
      <c r="S2" s="508">
        <f>+J2</f>
        <v>44136</v>
      </c>
      <c r="T2" s="509"/>
      <c r="U2" s="510" t="s">
        <v>222</v>
      </c>
      <c r="V2" s="511"/>
      <c r="W2" s="511"/>
      <c r="X2" s="511"/>
      <c r="Y2" s="511"/>
      <c r="Z2" s="511"/>
      <c r="AA2" s="512"/>
    </row>
    <row r="3" spans="1:27" x14ac:dyDescent="0.2">
      <c r="A3" s="231"/>
      <c r="B3" s="232"/>
      <c r="C3" s="233"/>
      <c r="D3" s="234"/>
      <c r="E3" s="235"/>
      <c r="F3" s="287"/>
      <c r="G3" s="234"/>
      <c r="H3" s="335"/>
      <c r="I3" s="235"/>
      <c r="J3" s="236"/>
      <c r="K3" s="232"/>
      <c r="L3" s="242"/>
      <c r="N3" s="58"/>
      <c r="O3" s="231"/>
      <c r="P3" s="237"/>
      <c r="Q3" s="237"/>
      <c r="R3" s="232"/>
      <c r="S3" s="236"/>
      <c r="T3" s="232"/>
      <c r="U3" s="242"/>
      <c r="V3" s="2"/>
      <c r="W3" s="58"/>
      <c r="X3" s="231"/>
      <c r="Y3" s="237"/>
      <c r="Z3" s="237"/>
      <c r="AA3" s="232"/>
    </row>
    <row r="4" spans="1:27" x14ac:dyDescent="0.2">
      <c r="A4" s="238" t="s">
        <v>211</v>
      </c>
      <c r="B4" s="33"/>
      <c r="C4" s="239">
        <f>'[3]Aer Lingus'!$GZ$19</f>
        <v>0</v>
      </c>
      <c r="D4" s="115">
        <f>'[3]Aer Lingus'!$GL$19</f>
        <v>60</v>
      </c>
      <c r="E4" s="241">
        <f>(C4-D4)/D4</f>
        <v>-1</v>
      </c>
      <c r="F4" s="115">
        <f>SUM('[3]Aer Lingus'!$GP$19:$GZ$19)</f>
        <v>88</v>
      </c>
      <c r="G4" s="115">
        <f>SUM('[3]Aer Lingus'!$GB$19:$GL$19)</f>
        <v>288</v>
      </c>
      <c r="H4" s="240">
        <f>(F4-G4)/G4</f>
        <v>-0.69444444444444442</v>
      </c>
      <c r="I4" s="241">
        <f>F4/$F$70</f>
        <v>4.4286756749955966E-4</v>
      </c>
      <c r="J4" s="238" t="s">
        <v>211</v>
      </c>
      <c r="K4" s="33"/>
      <c r="L4" s="239">
        <f>'[3]Aer Lingus'!$GZ$41</f>
        <v>0</v>
      </c>
      <c r="M4" s="115">
        <f>'[3]Aer Lingus'!$GL$41</f>
        <v>5874</v>
      </c>
      <c r="N4" s="241">
        <f>(L4-M4)/M4</f>
        <v>-1</v>
      </c>
      <c r="O4" s="239">
        <f>SUM('[3]Aer Lingus'!$GP$41:$GZ$41)</f>
        <v>9622</v>
      </c>
      <c r="P4" s="115">
        <f>SUM('[3]Aer Lingus'!$GB$41:$GL$41)</f>
        <v>38304</v>
      </c>
      <c r="Q4" s="240">
        <f>(O4-P4)/P4</f>
        <v>-0.74879908103592319</v>
      </c>
      <c r="R4" s="241">
        <f>O4/$O$70</f>
        <v>7.2803894213868518E-4</v>
      </c>
      <c r="S4" s="238" t="s">
        <v>211</v>
      </c>
      <c r="T4" s="33"/>
      <c r="U4" s="239">
        <f>'[3]Aer Lingus'!$GZ$64</f>
        <v>0</v>
      </c>
      <c r="V4" s="115">
        <f>'[3]Aer Lingus'!$GL$64</f>
        <v>0</v>
      </c>
      <c r="W4" s="241" t="e">
        <f>(U4-V4)/V4</f>
        <v>#DIV/0!</v>
      </c>
      <c r="X4" s="239">
        <f>SUM('[3]Aer Lingus'!$GP$64:$GZ$64)</f>
        <v>10341</v>
      </c>
      <c r="Y4" s="115">
        <f>SUM('[3]Aer Lingus'!$GB$64:$GL$64)</f>
        <v>23107</v>
      </c>
      <c r="Z4" s="240">
        <f>(X4-Y4)/Y4</f>
        <v>-0.55247327649629985</v>
      </c>
      <c r="AA4" s="241">
        <f>X4/$X$70</f>
        <v>2.1783155042601329E-4</v>
      </c>
    </row>
    <row r="5" spans="1:27" x14ac:dyDescent="0.2">
      <c r="A5" s="31"/>
      <c r="B5" s="33"/>
      <c r="C5" s="242"/>
      <c r="D5" s="365"/>
      <c r="E5" s="58"/>
      <c r="F5" s="366"/>
      <c r="G5" s="365"/>
      <c r="H5" s="367"/>
      <c r="I5" s="58"/>
      <c r="J5" s="368"/>
      <c r="K5" s="33"/>
      <c r="L5" s="242"/>
      <c r="N5" s="58"/>
      <c r="O5" s="31"/>
      <c r="P5" s="369"/>
      <c r="Q5" s="369"/>
      <c r="R5" s="33"/>
      <c r="S5" s="368"/>
      <c r="T5" s="33"/>
      <c r="U5" s="242"/>
      <c r="V5" s="2"/>
      <c r="W5" s="58"/>
      <c r="X5" s="31"/>
      <c r="Y5" s="369"/>
      <c r="Z5" s="369"/>
      <c r="AA5" s="33"/>
    </row>
    <row r="6" spans="1:27" ht="14.1" customHeight="1" x14ac:dyDescent="0.2">
      <c r="A6" s="238" t="s">
        <v>99</v>
      </c>
      <c r="B6" s="33"/>
      <c r="C6" s="239">
        <f>SUM(C7:C9)</f>
        <v>0</v>
      </c>
      <c r="D6" s="115">
        <f>SUM(D7:D9)</f>
        <v>172</v>
      </c>
      <c r="E6" s="241">
        <f>(C6-D6)/D6</f>
        <v>-1</v>
      </c>
      <c r="F6" s="239">
        <f>SUM(F7:F9)</f>
        <v>390</v>
      </c>
      <c r="G6" s="115">
        <f>SUM(G7:G9)</f>
        <v>1980</v>
      </c>
      <c r="H6" s="240">
        <f>(F6-G6)/G6</f>
        <v>-0.80303030303030298</v>
      </c>
      <c r="I6" s="241">
        <f>F6/$F$70</f>
        <v>1.9627085377821392E-3</v>
      </c>
      <c r="J6" s="238" t="s">
        <v>99</v>
      </c>
      <c r="K6" s="33"/>
      <c r="L6" s="239">
        <f>SUM(L7:L9)</f>
        <v>0</v>
      </c>
      <c r="M6" s="115">
        <f>SUM(M7:M9)</f>
        <v>8426</v>
      </c>
      <c r="N6" s="241">
        <f>(L6-M6)/M6</f>
        <v>-1</v>
      </c>
      <c r="O6" s="239">
        <f>SUM(O7:O9)</f>
        <v>16941</v>
      </c>
      <c r="P6" s="115">
        <f>SUM(P7:P9)</f>
        <v>110613</v>
      </c>
      <c r="Q6" s="240">
        <f>(O6-P6)/P6</f>
        <v>-0.84684440346071443</v>
      </c>
      <c r="R6" s="241">
        <f>O6/$O$70</f>
        <v>1.2818237080411E-3</v>
      </c>
      <c r="S6" s="238" t="s">
        <v>99</v>
      </c>
      <c r="T6" s="33"/>
      <c r="U6" s="239">
        <f>SUM(U7:U9)</f>
        <v>0</v>
      </c>
      <c r="V6" s="115">
        <f>SUM(V7:V9)</f>
        <v>4783</v>
      </c>
      <c r="W6" s="241">
        <f>(U6-V6)/V6</f>
        <v>-1</v>
      </c>
      <c r="X6" s="239">
        <f>SUM(X7:X9)</f>
        <v>4266</v>
      </c>
      <c r="Y6" s="115">
        <f>SUM(Y7:Y9)</f>
        <v>50833</v>
      </c>
      <c r="Z6" s="240">
        <f>(X6-Y6)/Y6</f>
        <v>-0.91607813821729978</v>
      </c>
      <c r="AA6" s="241">
        <f>X6/$X$70</f>
        <v>8.9862623935535509E-5</v>
      </c>
    </row>
    <row r="7" spans="1:27" ht="14.1" customHeight="1" x14ac:dyDescent="0.2">
      <c r="A7" s="238"/>
      <c r="B7" s="295" t="s">
        <v>99</v>
      </c>
      <c r="C7" s="242">
        <f>+[3]AirCanada!$GZ$19</f>
        <v>0</v>
      </c>
      <c r="D7" s="2">
        <f>+[3]AirCanada!$GL$19</f>
        <v>0</v>
      </c>
      <c r="E7" s="58" t="e">
        <f>(C7-D7)/D7</f>
        <v>#DIV/0!</v>
      </c>
      <c r="F7" s="193">
        <f>SUM([3]AirCanada!$GP$19:$GZ$19)</f>
        <v>0</v>
      </c>
      <c r="G7" s="193">
        <f>SUM([3]AirCanada!$GB$19:$GL$19)</f>
        <v>0</v>
      </c>
      <c r="H7" s="300" t="e">
        <f>(F7-G7)/G7</f>
        <v>#DIV/0!</v>
      </c>
      <c r="I7" s="58">
        <f>F7/$F$70</f>
        <v>0</v>
      </c>
      <c r="J7" s="238"/>
      <c r="K7" s="295" t="s">
        <v>99</v>
      </c>
      <c r="L7" s="299">
        <f>+[3]AirCanada!$GZ$41</f>
        <v>0</v>
      </c>
      <c r="M7" s="193">
        <f>+[3]AirCanada!$GL$41</f>
        <v>0</v>
      </c>
      <c r="N7" s="301" t="e">
        <f>(L7-M7)/M7</f>
        <v>#DIV/0!</v>
      </c>
      <c r="O7" s="299">
        <f>SUM([3]AirCanada!$GP$41:$GZ$41)</f>
        <v>0</v>
      </c>
      <c r="P7" s="193">
        <f>SUM([3]AirCanada!$GB$41:$GL$41)</f>
        <v>0</v>
      </c>
      <c r="Q7" s="300" t="e">
        <f>(O7-P7)/P7</f>
        <v>#DIV/0!</v>
      </c>
      <c r="R7" s="301">
        <f>O7/$O$70</f>
        <v>0</v>
      </c>
      <c r="S7" s="238"/>
      <c r="T7" s="295" t="s">
        <v>99</v>
      </c>
      <c r="U7" s="299">
        <f>+[3]AirCanada!$GZ$64</f>
        <v>0</v>
      </c>
      <c r="V7" s="193">
        <f>+[3]AirCanada!$GL$64</f>
        <v>0</v>
      </c>
      <c r="W7" s="301" t="e">
        <f>(U7-V7)/V7</f>
        <v>#DIV/0!</v>
      </c>
      <c r="X7" s="299">
        <f>SUM([3]AirCanada!$GP$64:$GZ$64)</f>
        <v>0</v>
      </c>
      <c r="Y7" s="193">
        <f>SUM([3]AirCanada!$GB$64:$GL$64)</f>
        <v>0</v>
      </c>
      <c r="Z7" s="300" t="e">
        <f>(X7-Y7)/Y7</f>
        <v>#DIV/0!</v>
      </c>
      <c r="AA7" s="301">
        <f>X7/$X$70</f>
        <v>0</v>
      </c>
    </row>
    <row r="8" spans="1:27" ht="14.1" customHeight="1" x14ac:dyDescent="0.2">
      <c r="A8" s="238"/>
      <c r="B8" s="295" t="s">
        <v>165</v>
      </c>
      <c r="C8" s="242">
        <f>'[3]Air Georgian'!$GZ$19</f>
        <v>0</v>
      </c>
      <c r="D8" s="2">
        <f>'[3]Air Georgian'!$GL$19</f>
        <v>0</v>
      </c>
      <c r="E8" s="58" t="e">
        <f>(C8-D8)/D8</f>
        <v>#DIV/0!</v>
      </c>
      <c r="F8" s="193">
        <f>SUM('[3]Air Georgian'!$GP$19:$GZ$19)</f>
        <v>0</v>
      </c>
      <c r="G8" s="193">
        <f>SUM('[3]Air Georgian'!$GB$19:$GL$19)</f>
        <v>0</v>
      </c>
      <c r="H8" s="300" t="e">
        <f>(F8-G8)/G8</f>
        <v>#DIV/0!</v>
      </c>
      <c r="I8" s="58">
        <f>F8/$F$70</f>
        <v>0</v>
      </c>
      <c r="J8" s="238"/>
      <c r="K8" s="295" t="s">
        <v>165</v>
      </c>
      <c r="L8" s="242">
        <f>'[3]Air Georgian'!$GZ$41</f>
        <v>0</v>
      </c>
      <c r="M8" s="2">
        <f>'[3]Air Georgian'!$GL$41</f>
        <v>0</v>
      </c>
      <c r="N8" s="58" t="e">
        <f>(L8-M8)/M8</f>
        <v>#DIV/0!</v>
      </c>
      <c r="O8" s="242">
        <f>SUM('[3]Air Georgian'!$GP$41:$GZ$41)</f>
        <v>0</v>
      </c>
      <c r="P8" s="2">
        <f>SUM('[3]Air Georgian'!$GB$41:$GL$41)</f>
        <v>0</v>
      </c>
      <c r="Q8" s="3" t="e">
        <f>(O8-P8)/P8</f>
        <v>#DIV/0!</v>
      </c>
      <c r="R8" s="58">
        <f>O8/$O$70</f>
        <v>0</v>
      </c>
      <c r="S8" s="238"/>
      <c r="T8" s="295" t="s">
        <v>165</v>
      </c>
      <c r="U8" s="242">
        <f>'[3]Air Georgian'!$GZ$64</f>
        <v>0</v>
      </c>
      <c r="V8" s="2">
        <f>'[3]Air Georgian'!$GL$64</f>
        <v>0</v>
      </c>
      <c r="W8" s="58" t="e">
        <f>(U8-V8)/V8</f>
        <v>#DIV/0!</v>
      </c>
      <c r="X8" s="242">
        <f>SUM('[3]Air Georgian'!$GP$64:$GZ$64)</f>
        <v>0</v>
      </c>
      <c r="Y8" s="2">
        <f>SUM('[3]Air Georgian'!$GB$64:$GL$64)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8"/>
      <c r="B9" s="295" t="s">
        <v>192</v>
      </c>
      <c r="C9" s="242">
        <f>'[3]Sky Regional'!$GZ$19</f>
        <v>0</v>
      </c>
      <c r="D9" s="2">
        <f>'[3]Sky Regional'!$GL$19</f>
        <v>172</v>
      </c>
      <c r="E9" s="58">
        <f>(C9-D9)/D9</f>
        <v>-1</v>
      </c>
      <c r="F9" s="193">
        <f>SUM('[3]Sky Regional'!$GP$19:$GZ$19)</f>
        <v>390</v>
      </c>
      <c r="G9" s="193">
        <f>SUM('[3]Sky Regional'!$GB$19:$GL$19)</f>
        <v>1980</v>
      </c>
      <c r="H9" s="300">
        <f>(F9-G9)/G9</f>
        <v>-0.80303030303030298</v>
      </c>
      <c r="I9" s="58">
        <f>F9/$F$70</f>
        <v>1.9627085377821392E-3</v>
      </c>
      <c r="J9" s="238"/>
      <c r="K9" s="295" t="s">
        <v>192</v>
      </c>
      <c r="L9" s="242">
        <f>'[3]Sky Regional'!$GZ$41</f>
        <v>0</v>
      </c>
      <c r="M9" s="2">
        <f>'[3]Sky Regional'!$GL$41</f>
        <v>8426</v>
      </c>
      <c r="N9" s="58">
        <f>(L9-M9)/M9</f>
        <v>-1</v>
      </c>
      <c r="O9" s="242">
        <f>SUM('[3]Sky Regional'!$GP$41:$GZ$41)</f>
        <v>16941</v>
      </c>
      <c r="P9" s="2">
        <f>SUM('[3]Sky Regional'!$GB$41:$GL$41)</f>
        <v>110613</v>
      </c>
      <c r="Q9" s="3">
        <f>(O9-P9)/P9</f>
        <v>-0.84684440346071443</v>
      </c>
      <c r="R9" s="58">
        <f>O9/$O$70</f>
        <v>1.2818237080411E-3</v>
      </c>
      <c r="S9" s="238"/>
      <c r="T9" s="295" t="s">
        <v>192</v>
      </c>
      <c r="U9" s="242">
        <f>'[3]Sky Regional'!$GZ$64</f>
        <v>0</v>
      </c>
      <c r="V9" s="2">
        <f>'[3]Sky Regional'!$GL$64</f>
        <v>4783</v>
      </c>
      <c r="W9" s="58">
        <f>(U9-V9)/V9</f>
        <v>-1</v>
      </c>
      <c r="X9" s="242">
        <f>SUM('[3]Sky Regional'!$GP$64:$GZ$64)</f>
        <v>4266</v>
      </c>
      <c r="Y9" s="2">
        <f>SUM('[3]Sky Regional'!$GB$64:$GL$64)</f>
        <v>50833</v>
      </c>
      <c r="Z9" s="3">
        <f>(X9-Y9)/Y9</f>
        <v>-0.91607813821729978</v>
      </c>
      <c r="AA9" s="58">
        <f>X9/$X$70</f>
        <v>8.9862623935535509E-5</v>
      </c>
    </row>
    <row r="10" spans="1:27" ht="14.1" customHeight="1" x14ac:dyDescent="0.2">
      <c r="A10" s="238"/>
      <c r="B10" s="33"/>
      <c r="C10" s="239"/>
      <c r="D10" s="115"/>
      <c r="E10" s="241"/>
      <c r="F10" s="115"/>
      <c r="G10" s="115"/>
      <c r="H10" s="240"/>
      <c r="I10" s="241"/>
      <c r="J10" s="238"/>
      <c r="K10" s="33"/>
      <c r="L10" s="242"/>
      <c r="N10" s="58"/>
      <c r="O10" s="242"/>
      <c r="P10" s="2"/>
      <c r="Q10" s="3"/>
      <c r="R10" s="58"/>
      <c r="S10" s="238"/>
      <c r="T10" s="33"/>
      <c r="U10" s="242"/>
      <c r="V10" s="2"/>
      <c r="W10" s="58"/>
      <c r="X10" s="242"/>
      <c r="Y10" s="2"/>
      <c r="Z10" s="3"/>
      <c r="AA10" s="58"/>
    </row>
    <row r="11" spans="1:27" ht="14.1" customHeight="1" x14ac:dyDescent="0.2">
      <c r="A11" s="238" t="s">
        <v>179</v>
      </c>
      <c r="B11" s="33"/>
      <c r="C11" s="457">
        <f>'[3]Air Choice One'!$GZ$19</f>
        <v>132</v>
      </c>
      <c r="D11" s="115">
        <f>'[3]Air Choice One'!$GL$19</f>
        <v>196</v>
      </c>
      <c r="E11" s="241">
        <f>(C11-D11)/D11</f>
        <v>-0.32653061224489793</v>
      </c>
      <c r="F11" s="115">
        <f>SUM('[3]Air Choice One'!$GP$19:$GZ$19)</f>
        <v>1824</v>
      </c>
      <c r="G11" s="115">
        <f>SUM('[3]Air Choice One'!$GB$19:$GL$19)</f>
        <v>2220</v>
      </c>
      <c r="H11" s="240">
        <f>(F11-G11)/G11</f>
        <v>-0.17837837837837839</v>
      </c>
      <c r="I11" s="241">
        <f>F11/$F$70</f>
        <v>9.1794368536272358E-3</v>
      </c>
      <c r="J11" s="238" t="s">
        <v>179</v>
      </c>
      <c r="K11" s="33"/>
      <c r="L11" s="239">
        <f>'[3]Air Choice One'!$GZ$41</f>
        <v>217</v>
      </c>
      <c r="M11" s="115">
        <f>'[3]Air Choice One'!$GL$41</f>
        <v>772</v>
      </c>
      <c r="N11" s="241">
        <f>(L11-M11)/M11</f>
        <v>-0.7189119170984456</v>
      </c>
      <c r="O11" s="239">
        <f>SUM('[3]Air Choice One'!$GP$41:$GZ$41)</f>
        <v>3548</v>
      </c>
      <c r="P11" s="115">
        <f>SUM('[3]Air Choice One'!$GB$41:$GL$41)</f>
        <v>9425</v>
      </c>
      <c r="Q11" s="240">
        <f>(O11-P11)/P11</f>
        <v>-0.62355437665782498</v>
      </c>
      <c r="R11" s="241">
        <f>O11/$O$70</f>
        <v>2.6845584771441019E-4</v>
      </c>
      <c r="S11" s="238" t="s">
        <v>179</v>
      </c>
      <c r="T11" s="33"/>
      <c r="U11" s="239">
        <f>'[3]Air Choice One'!$GZ$64</f>
        <v>0</v>
      </c>
      <c r="V11" s="115">
        <f>'[3]Air Choice One'!$GL$64</f>
        <v>0</v>
      </c>
      <c r="W11" s="241" t="e">
        <f>(U11-V11)/V11</f>
        <v>#DIV/0!</v>
      </c>
      <c r="X11" s="239">
        <f>SUM('[3]Air Choice One'!$GP$64:$GZ$64)</f>
        <v>0</v>
      </c>
      <c r="Y11" s="115">
        <f>SUM('[3]Air Choice One'!$GB$64:$GL$64)</f>
        <v>0</v>
      </c>
      <c r="Z11" s="240" t="e">
        <f>(X11-Y11)/Y11</f>
        <v>#DIV/0!</v>
      </c>
      <c r="AA11" s="241">
        <f>X11/$X$70</f>
        <v>0</v>
      </c>
    </row>
    <row r="12" spans="1:27" ht="14.1" customHeight="1" x14ac:dyDescent="0.2">
      <c r="A12" s="238"/>
      <c r="B12" s="33"/>
      <c r="C12" s="239"/>
      <c r="D12" s="115"/>
      <c r="E12" s="241"/>
      <c r="F12" s="115"/>
      <c r="G12" s="115"/>
      <c r="H12" s="240"/>
      <c r="I12" s="241"/>
      <c r="J12" s="238"/>
      <c r="K12" s="33"/>
      <c r="L12" s="242"/>
      <c r="N12" s="58"/>
      <c r="O12" s="242"/>
      <c r="P12" s="2"/>
      <c r="Q12" s="3"/>
      <c r="R12" s="58"/>
      <c r="S12" s="238"/>
      <c r="T12" s="33"/>
      <c r="U12" s="242"/>
      <c r="V12" s="2"/>
      <c r="W12" s="58"/>
      <c r="X12" s="242"/>
      <c r="Y12" s="2"/>
      <c r="Z12" s="3"/>
      <c r="AA12" s="58"/>
    </row>
    <row r="13" spans="1:27" ht="14.1" customHeight="1" x14ac:dyDescent="0.2">
      <c r="A13" s="238" t="s">
        <v>157</v>
      </c>
      <c r="B13" s="33"/>
      <c r="C13" s="239">
        <f>'[3]Air France'!$GZ$19</f>
        <v>0</v>
      </c>
      <c r="D13" s="115">
        <f>'[3]Air France'!$GL$19</f>
        <v>0</v>
      </c>
      <c r="E13" s="241" t="e">
        <f>(C13-D13)/D13</f>
        <v>#DIV/0!</v>
      </c>
      <c r="F13" s="115">
        <f>SUM('[3]Air France'!$GP$19:$GZ$19)</f>
        <v>0</v>
      </c>
      <c r="G13" s="115">
        <f>SUM('[3]Air France'!$GB$19:$GL$19)</f>
        <v>280</v>
      </c>
      <c r="H13" s="240">
        <f>(F13-G13)/G13</f>
        <v>-1</v>
      </c>
      <c r="I13" s="241">
        <f>F13/$F$70</f>
        <v>0</v>
      </c>
      <c r="J13" s="238" t="s">
        <v>157</v>
      </c>
      <c r="K13" s="33"/>
      <c r="L13" s="239">
        <f>'[3]Air France'!$GZ$41</f>
        <v>0</v>
      </c>
      <c r="M13" s="115">
        <f>'[3]Air France'!$GL$41</f>
        <v>0</v>
      </c>
      <c r="N13" s="241" t="e">
        <f>(L13-M13)/M13</f>
        <v>#DIV/0!</v>
      </c>
      <c r="O13" s="239">
        <f>SUM('[3]Air France'!$GP$41:$GZ$41)</f>
        <v>0</v>
      </c>
      <c r="P13" s="115">
        <f>SUM('[3]Air France'!$GB$41:$GL$41)</f>
        <v>71946</v>
      </c>
      <c r="Q13" s="240">
        <f>(O13-P13)/P13</f>
        <v>-1</v>
      </c>
      <c r="R13" s="241">
        <f>O13/$O$70</f>
        <v>0</v>
      </c>
      <c r="S13" s="238" t="s">
        <v>157</v>
      </c>
      <c r="T13" s="33"/>
      <c r="U13" s="239">
        <f>'[3]Air France'!$GZ$64</f>
        <v>0</v>
      </c>
      <c r="V13" s="115">
        <f>'[3]Air France'!$GL$64</f>
        <v>0</v>
      </c>
      <c r="W13" s="241" t="e">
        <f>(U13-V13)/V13</f>
        <v>#DIV/0!</v>
      </c>
      <c r="X13" s="239">
        <f>SUM('[3]Air France'!$GP$64:$GZ$64)</f>
        <v>0</v>
      </c>
      <c r="Y13" s="115">
        <f>SUM('[3]Air France'!$GB$64:$GL$64)</f>
        <v>1394251</v>
      </c>
      <c r="Z13" s="240">
        <f>(X13-Y13)/Y13</f>
        <v>-1</v>
      </c>
      <c r="AA13" s="241">
        <f>X13/$X$70</f>
        <v>0</v>
      </c>
    </row>
    <row r="14" spans="1:27" ht="14.1" customHeight="1" x14ac:dyDescent="0.2">
      <c r="A14" s="238"/>
      <c r="B14" s="33"/>
      <c r="C14" s="239"/>
      <c r="D14" s="115"/>
      <c r="E14" s="241"/>
      <c r="F14" s="115"/>
      <c r="G14" s="115"/>
      <c r="H14" s="240"/>
      <c r="I14" s="241"/>
      <c r="J14" s="238"/>
      <c r="K14" s="33"/>
      <c r="L14" s="242"/>
      <c r="N14" s="58"/>
      <c r="O14" s="242"/>
      <c r="P14" s="2"/>
      <c r="Q14" s="3"/>
      <c r="R14" s="58"/>
      <c r="S14" s="238"/>
      <c r="T14" s="33"/>
      <c r="U14" s="242"/>
      <c r="V14" s="2"/>
      <c r="W14" s="58"/>
      <c r="X14" s="242"/>
      <c r="Y14" s="2"/>
      <c r="Z14" s="3"/>
      <c r="AA14" s="58"/>
    </row>
    <row r="15" spans="1:27" ht="14.1" customHeight="1" x14ac:dyDescent="0.2">
      <c r="A15" s="238" t="s">
        <v>129</v>
      </c>
      <c r="B15" s="33"/>
      <c r="C15" s="239">
        <f>SUM(C16:C18)</f>
        <v>119</v>
      </c>
      <c r="D15" s="115">
        <f>SUM(D16:D18)</f>
        <v>237</v>
      </c>
      <c r="E15" s="241">
        <f>(C15-D15)/D15</f>
        <v>-0.49789029535864981</v>
      </c>
      <c r="F15" s="115">
        <f>SUM(F16:F18)</f>
        <v>1495</v>
      </c>
      <c r="G15" s="115">
        <f>SUM(G16:G18)</f>
        <v>2906</v>
      </c>
      <c r="H15" s="240">
        <f>(F15-G15)/G15</f>
        <v>-0.48554714384033038</v>
      </c>
      <c r="I15" s="241">
        <f>F15/$F$70</f>
        <v>7.5237160614982012E-3</v>
      </c>
      <c r="J15" s="238" t="s">
        <v>129</v>
      </c>
      <c r="K15" s="33"/>
      <c r="L15" s="239">
        <f>SUM(L16:L18)</f>
        <v>5860</v>
      </c>
      <c r="M15" s="115">
        <f>SUM(M16:M18)</f>
        <v>22790</v>
      </c>
      <c r="N15" s="241">
        <f>(L15-M15)/M15</f>
        <v>-0.74286967968407192</v>
      </c>
      <c r="O15" s="239">
        <f>SUM(O16:O18)</f>
        <v>103075</v>
      </c>
      <c r="P15" s="115">
        <f>SUM(P16:P18)</f>
        <v>311475</v>
      </c>
      <c r="Q15" s="240">
        <f>(O15-P15)/P15</f>
        <v>-0.66907456457179548</v>
      </c>
      <c r="R15" s="241">
        <f>O15/$O$70</f>
        <v>7.7990660944652849E-3</v>
      </c>
      <c r="S15" s="238" t="s">
        <v>129</v>
      </c>
      <c r="T15" s="33"/>
      <c r="U15" s="239">
        <f>SUM(U16:U18)</f>
        <v>21335</v>
      </c>
      <c r="V15" s="115">
        <f>SUM(V16:V18)</f>
        <v>28890</v>
      </c>
      <c r="W15" s="241">
        <f>(U15-V15)/V15</f>
        <v>-0.26150917272412599</v>
      </c>
      <c r="X15" s="239">
        <f>SUM(X16:X18)</f>
        <v>340636</v>
      </c>
      <c r="Y15" s="115">
        <f>SUM(Y16:Y18)</f>
        <v>450820</v>
      </c>
      <c r="Z15" s="240">
        <f>(X15-Y15)/Y15</f>
        <v>-0.2444079677032962</v>
      </c>
      <c r="AA15" s="241">
        <f>X15/$X$70</f>
        <v>7.1754441553926566E-3</v>
      </c>
    </row>
    <row r="16" spans="1:27" ht="14.1" customHeight="1" x14ac:dyDescent="0.2">
      <c r="A16" s="238"/>
      <c r="B16" s="295" t="s">
        <v>129</v>
      </c>
      <c r="C16" s="299">
        <f>[3]Alaska!$GZ$19</f>
        <v>119</v>
      </c>
      <c r="D16" s="193">
        <f>[3]Alaska!$GL$19</f>
        <v>177</v>
      </c>
      <c r="E16" s="301">
        <f>(C16-D16)/D16</f>
        <v>-0.32768361581920902</v>
      </c>
      <c r="F16" s="193">
        <f>SUM([3]Alaska!$GP$19:$GZ$19)</f>
        <v>1271</v>
      </c>
      <c r="G16" s="193">
        <f>SUM([3]Alaska!$GB$19:$GL$19)</f>
        <v>2108</v>
      </c>
      <c r="H16" s="300">
        <f>(F16-G16)/G16</f>
        <v>-0.39705882352941174</v>
      </c>
      <c r="I16" s="301">
        <f>F16/$F$70</f>
        <v>6.3964167987720488E-3</v>
      </c>
      <c r="J16" s="238"/>
      <c r="K16" s="295" t="s">
        <v>129</v>
      </c>
      <c r="L16" s="299">
        <f>[3]Alaska!$GZ$41</f>
        <v>5860</v>
      </c>
      <c r="M16" s="193">
        <f>[3]Alaska!$GL$41</f>
        <v>18836</v>
      </c>
      <c r="N16" s="301">
        <f>(L16-M16)/M16</f>
        <v>-0.68889360798471011</v>
      </c>
      <c r="O16" s="299">
        <f>SUM([3]Alaska!$GP$41:$GZ$41)</f>
        <v>90716</v>
      </c>
      <c r="P16" s="193">
        <f>SUM([3]Alaska!$GB$41:$GL$41)</f>
        <v>257812</v>
      </c>
      <c r="Q16" s="300">
        <f>(O16-P16)/P16</f>
        <v>-0.64813119637565353</v>
      </c>
      <c r="R16" s="301">
        <f>O16/$O$70</f>
        <v>6.8639348030610017E-3</v>
      </c>
      <c r="S16" s="238"/>
      <c r="T16" s="295" t="s">
        <v>129</v>
      </c>
      <c r="U16" s="299">
        <f>[3]Alaska!$GZ$64</f>
        <v>21335</v>
      </c>
      <c r="V16" s="193">
        <f>[3]Alaska!$GL$64</f>
        <v>24147</v>
      </c>
      <c r="W16" s="301">
        <f>(U16-V16)/V16</f>
        <v>-0.1164533896550296</v>
      </c>
      <c r="X16" s="299">
        <f>SUM([3]Alaska!$GP$64:$GZ$64)</f>
        <v>327729</v>
      </c>
      <c r="Y16" s="193">
        <f>SUM([3]Alaska!$GB$64:$GL$64)</f>
        <v>400376</v>
      </c>
      <c r="Z16" s="300">
        <f>(X16-Y16)/Y16</f>
        <v>-0.18144693987651608</v>
      </c>
      <c r="AA16" s="301">
        <f>X16/$X$70</f>
        <v>6.9035602156045754E-3</v>
      </c>
    </row>
    <row r="17" spans="1:27" ht="14.1" customHeight="1" x14ac:dyDescent="0.2">
      <c r="A17" s="238"/>
      <c r="B17" s="295" t="s">
        <v>98</v>
      </c>
      <c r="C17" s="242">
        <f>'[3]Sky West_AS'!$GZ$19</f>
        <v>0</v>
      </c>
      <c r="D17" s="2">
        <f>'[3]Sky West_AS'!$GL$19</f>
        <v>8</v>
      </c>
      <c r="E17" s="58">
        <f>(C17-D17)/D17</f>
        <v>-1</v>
      </c>
      <c r="F17" s="2">
        <f>SUM('[3]Sky West_AS'!$GP$19:$GZ$19)</f>
        <v>40</v>
      </c>
      <c r="G17" s="2">
        <f>SUM('[3]Sky West_AS'!$GB$19:$GL$19)</f>
        <v>734</v>
      </c>
      <c r="H17" s="3">
        <f>(F17-G17)/G17</f>
        <v>-0.94550408719346046</v>
      </c>
      <c r="I17" s="58">
        <f>F17/$F$70</f>
        <v>2.013034397725271E-4</v>
      </c>
      <c r="J17" s="238"/>
      <c r="K17" s="295" t="s">
        <v>98</v>
      </c>
      <c r="L17" s="242">
        <f>'[3]Sky West_AS'!$GZ$41</f>
        <v>0</v>
      </c>
      <c r="M17" s="2">
        <f>'[3]Sky West_AS'!$GL$41</f>
        <v>555</v>
      </c>
      <c r="N17" s="58">
        <f>(L17-M17)/M17</f>
        <v>-1</v>
      </c>
      <c r="O17" s="242">
        <f>SUM('[3]Sky West_AS'!$GP$41:$GZ$41)</f>
        <v>1379</v>
      </c>
      <c r="P17" s="2">
        <f>SUM('[3]Sky West_AS'!$GB$41:$GL$41)</f>
        <v>49445</v>
      </c>
      <c r="Q17" s="3">
        <f>(O17-P17)/P17</f>
        <v>-0.97211042572555362</v>
      </c>
      <c r="R17" s="301">
        <f>O17/$O$70</f>
        <v>1.0434064656092774E-4</v>
      </c>
      <c r="S17" s="238"/>
      <c r="T17" s="295" t="s">
        <v>98</v>
      </c>
      <c r="U17" s="242">
        <f>'[3]Sky West_AS'!$GZ$64</f>
        <v>0</v>
      </c>
      <c r="V17" s="2">
        <f>'[3]Sky West_AS'!$GL$64</f>
        <v>391</v>
      </c>
      <c r="W17" s="58">
        <f>(U17-V17)/V17</f>
        <v>-1</v>
      </c>
      <c r="X17" s="242">
        <f>SUM('[3]Sky West_AS'!$GP$64:$GZ$64)</f>
        <v>286</v>
      </c>
      <c r="Y17" s="2">
        <f>SUM('[3]Sky West_AS'!$GB$64:$GL$64)</f>
        <v>45094</v>
      </c>
      <c r="Z17" s="3">
        <f>(X17-Y17)/Y17</f>
        <v>-0.99365769281944383</v>
      </c>
      <c r="AA17" s="301">
        <f>X17/$X$70</f>
        <v>6.0245453458891603E-6</v>
      </c>
    </row>
    <row r="18" spans="1:27" ht="14.1" customHeight="1" x14ac:dyDescent="0.2">
      <c r="A18" s="238"/>
      <c r="B18" s="295" t="s">
        <v>193</v>
      </c>
      <c r="C18" s="242">
        <f>[3]Horizon_AS!$GZ$19</f>
        <v>0</v>
      </c>
      <c r="D18" s="2">
        <f>[3]Horizon_AS!$GL$19</f>
        <v>52</v>
      </c>
      <c r="E18" s="58">
        <f>(C18-D18)/D18</f>
        <v>-1</v>
      </c>
      <c r="F18" s="2">
        <f>SUM([3]Horizon_AS!$GP$19:$GZ$19)</f>
        <v>184</v>
      </c>
      <c r="G18" s="2">
        <f>SUM([3]Horizon_AS!$GB$19:$GL$19)</f>
        <v>64</v>
      </c>
      <c r="H18" s="3">
        <f>(F18-G18)/G18</f>
        <v>1.875</v>
      </c>
      <c r="I18" s="58">
        <f>F18/$F$70</f>
        <v>9.2599582295362472E-4</v>
      </c>
      <c r="J18" s="238"/>
      <c r="K18" s="295" t="s">
        <v>193</v>
      </c>
      <c r="L18" s="242">
        <f>[3]Horizon_AS!$GZ$41</f>
        <v>0</v>
      </c>
      <c r="M18" s="2">
        <f>[3]Horizon_AS!$GL$41</f>
        <v>3399</v>
      </c>
      <c r="N18" s="58">
        <f>(L18-M18)/M18</f>
        <v>-1</v>
      </c>
      <c r="O18" s="242">
        <f>SUM([3]Horizon_AS!$GP$41:$GZ$41)</f>
        <v>10980</v>
      </c>
      <c r="P18" s="2">
        <f>SUM([3]Horizon_AS!$GB$41:$GL$41)</f>
        <v>4218</v>
      </c>
      <c r="Q18" s="3">
        <f>(O18-P18)/P18</f>
        <v>1.6031294452347085</v>
      </c>
      <c r="R18" s="301">
        <f>O18/$O$70</f>
        <v>8.3079064484335512E-4</v>
      </c>
      <c r="S18" s="238"/>
      <c r="T18" s="295" t="s">
        <v>193</v>
      </c>
      <c r="U18" s="242">
        <f>[3]Horizon_AS!$GZ$64</f>
        <v>0</v>
      </c>
      <c r="V18" s="2">
        <f>[3]Horizon_AS!$GL$64</f>
        <v>4352</v>
      </c>
      <c r="W18" s="58">
        <f>(U18-V18)/V18</f>
        <v>-1</v>
      </c>
      <c r="X18" s="242">
        <f>SUM([3]Horizon_AS!$GP$64:$GZ$64)</f>
        <v>12621</v>
      </c>
      <c r="Y18" s="2">
        <f>SUM([3]Horizon_AS!$GB$64:$GL$64)</f>
        <v>5350</v>
      </c>
      <c r="Z18" s="3">
        <f>(X18-Y18)/Y18</f>
        <v>1.3590654205607478</v>
      </c>
      <c r="AA18" s="301">
        <f>X18/$X$70</f>
        <v>2.6585939444219263E-4</v>
      </c>
    </row>
    <row r="19" spans="1:27" ht="14.1" customHeight="1" x14ac:dyDescent="0.2">
      <c r="A19" s="238"/>
      <c r="B19" s="33"/>
      <c r="C19" s="239"/>
      <c r="D19" s="125"/>
      <c r="E19" s="241"/>
      <c r="F19" s="125"/>
      <c r="G19" s="125"/>
      <c r="H19" s="240"/>
      <c r="I19" s="241"/>
      <c r="J19" s="238"/>
      <c r="K19" s="33"/>
      <c r="L19" s="108"/>
      <c r="M19" s="83"/>
      <c r="N19" s="58"/>
      <c r="O19" s="108"/>
      <c r="P19" s="83"/>
      <c r="Q19" s="3"/>
      <c r="R19" s="58"/>
      <c r="S19" s="238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8" t="s">
        <v>17</v>
      </c>
      <c r="B20" s="243"/>
      <c r="C20" s="239">
        <f>SUM(C21:C27)</f>
        <v>740</v>
      </c>
      <c r="D20" s="115">
        <f>SUM(D21:D27)</f>
        <v>1545</v>
      </c>
      <c r="E20" s="241">
        <f t="shared" ref="E20:E27" si="0">(C20-D20)/D20</f>
        <v>-0.52103559870550165</v>
      </c>
      <c r="F20" s="239">
        <f>SUM(F21:F27)</f>
        <v>10189</v>
      </c>
      <c r="G20" s="115">
        <f>SUM(G21:G27)</f>
        <v>17915</v>
      </c>
      <c r="H20" s="240">
        <f t="shared" ref="H20:H27" si="1">(F20-G20)/G20</f>
        <v>-0.43125872174155733</v>
      </c>
      <c r="I20" s="241">
        <f t="shared" ref="I20:I27" si="2">F20/$F$70</f>
        <v>5.127701869605697E-2</v>
      </c>
      <c r="J20" s="238" t="s">
        <v>17</v>
      </c>
      <c r="K20" s="243"/>
      <c r="L20" s="239">
        <f>SUM(L21:L27)</f>
        <v>60550</v>
      </c>
      <c r="M20" s="115">
        <f>SUM(M21:M27)</f>
        <v>159456</v>
      </c>
      <c r="N20" s="241">
        <f t="shared" ref="N20:N27" si="3">(L20-M20)/M20</f>
        <v>-0.62027142283764802</v>
      </c>
      <c r="O20" s="239">
        <f>SUM(O21:O27)</f>
        <v>842580</v>
      </c>
      <c r="P20" s="115">
        <f>SUM(P21:P27)</f>
        <v>1888431</v>
      </c>
      <c r="Q20" s="240">
        <f t="shared" ref="Q20:Q27" si="4">(O20-P20)/P20</f>
        <v>-0.55382007603137207</v>
      </c>
      <c r="R20" s="241">
        <f t="shared" ref="R20:R27" si="5">O20/$O$70</f>
        <v>6.3752967352651568E-2</v>
      </c>
      <c r="S20" s="238" t="s">
        <v>17</v>
      </c>
      <c r="T20" s="243"/>
      <c r="U20" s="239">
        <f>SUM(U21:U27)</f>
        <v>110790</v>
      </c>
      <c r="V20" s="115">
        <f>SUM(V21:V27)</f>
        <v>90448</v>
      </c>
      <c r="W20" s="241">
        <f t="shared" ref="W20:W24" si="6">(U20-V20)/V20</f>
        <v>0.22490270652750752</v>
      </c>
      <c r="X20" s="239">
        <f>SUM(X21:X27)</f>
        <v>1953288</v>
      </c>
      <c r="Y20" s="115">
        <f>SUM(Y21:Y27)</f>
        <v>1380088</v>
      </c>
      <c r="Z20" s="240">
        <f t="shared" ref="Z20:Z24" si="7">(X20-Y20)/Y20</f>
        <v>0.41533583365698418</v>
      </c>
      <c r="AA20" s="241">
        <f t="shared" ref="AA20:AA27" si="8">X20/$X$70</f>
        <v>4.114570674678722E-2</v>
      </c>
    </row>
    <row r="21" spans="1:27" ht="14.1" customHeight="1" x14ac:dyDescent="0.2">
      <c r="A21" s="31"/>
      <c r="B21" s="33" t="s">
        <v>17</v>
      </c>
      <c r="C21" s="242">
        <f>[3]American!$GZ$19</f>
        <v>410</v>
      </c>
      <c r="D21" s="2">
        <f>[3]American!$GL$19</f>
        <v>1087</v>
      </c>
      <c r="E21" s="58">
        <f t="shared" si="0"/>
        <v>-0.62281508739650415</v>
      </c>
      <c r="F21" s="2">
        <f>SUM([3]American!$GP$19:$GZ$19)</f>
        <v>6327</v>
      </c>
      <c r="G21" s="2">
        <f>SUM([3]American!$GB$19:$GL$19)</f>
        <v>12995</v>
      </c>
      <c r="H21" s="3">
        <f t="shared" si="1"/>
        <v>-0.51312043093497495</v>
      </c>
      <c r="I21" s="58">
        <f t="shared" si="2"/>
        <v>3.1841171586019477E-2</v>
      </c>
      <c r="J21" s="31"/>
      <c r="K21" s="33" t="s">
        <v>17</v>
      </c>
      <c r="L21" s="242">
        <f>[3]American!$GZ$41</f>
        <v>44319</v>
      </c>
      <c r="M21" s="2">
        <f>[3]American!$GL$41</f>
        <v>134668</v>
      </c>
      <c r="N21" s="58">
        <f t="shared" si="3"/>
        <v>-0.67090177324976985</v>
      </c>
      <c r="O21" s="242">
        <f>SUM([3]American!$GP$41:$GZ$41)</f>
        <v>655714</v>
      </c>
      <c r="P21" s="2">
        <f>SUM([3]American!$GB$41:$GL$41)</f>
        <v>1607512</v>
      </c>
      <c r="Q21" s="3">
        <f t="shared" si="4"/>
        <v>-0.59209386928371299</v>
      </c>
      <c r="R21" s="58">
        <f t="shared" si="5"/>
        <v>4.9613939607724568E-2</v>
      </c>
      <c r="S21" s="31"/>
      <c r="T21" s="33" t="s">
        <v>17</v>
      </c>
      <c r="U21" s="242">
        <f>[3]American!$GZ$64</f>
        <v>109623</v>
      </c>
      <c r="V21" s="2">
        <f>[3]American!$GL$64</f>
        <v>90300</v>
      </c>
      <c r="W21" s="58">
        <f t="shared" si="6"/>
        <v>0.21398671096345515</v>
      </c>
      <c r="X21" s="242">
        <f>SUM([3]American!$GP$64:$GZ$64)</f>
        <v>1938722</v>
      </c>
      <c r="Y21" s="2">
        <f>SUM([3]American!$GB$64:$GL$64)</f>
        <v>1375139</v>
      </c>
      <c r="Z21" s="3">
        <f t="shared" si="7"/>
        <v>0.40983711464804651</v>
      </c>
      <c r="AA21" s="58">
        <f t="shared" si="8"/>
        <v>4.083887623102421E-2</v>
      </c>
    </row>
    <row r="22" spans="1:27" ht="14.1" customHeight="1" x14ac:dyDescent="0.2">
      <c r="A22" s="31"/>
      <c r="B22" s="295" t="s">
        <v>166</v>
      </c>
      <c r="C22" s="242">
        <f>'[3]American Eagle'!$GZ$19</f>
        <v>120</v>
      </c>
      <c r="D22" s="2">
        <f>'[3]American Eagle'!$GL$19</f>
        <v>26</v>
      </c>
      <c r="E22" s="58">
        <f t="shared" si="0"/>
        <v>3.6153846153846154</v>
      </c>
      <c r="F22" s="2">
        <f>SUM('[3]American Eagle'!$GP$19:$GZ$19)</f>
        <v>924</v>
      </c>
      <c r="G22" s="2">
        <f>SUM('[3]American Eagle'!$GB$19:$GL$19)</f>
        <v>866</v>
      </c>
      <c r="H22" s="3">
        <f t="shared" si="1"/>
        <v>6.6974595842956119E-2</v>
      </c>
      <c r="I22" s="58">
        <f t="shared" si="2"/>
        <v>4.6501094587453762E-3</v>
      </c>
      <c r="J22" s="31"/>
      <c r="K22" s="295" t="s">
        <v>166</v>
      </c>
      <c r="L22" s="242">
        <f>'[3]American Eagle'!$GZ$41</f>
        <v>6411</v>
      </c>
      <c r="M22" s="2">
        <f>'[3]American Eagle'!$GL$41</f>
        <v>1637</v>
      </c>
      <c r="N22" s="58">
        <f t="shared" si="3"/>
        <v>2.916310323762981</v>
      </c>
      <c r="O22" s="242">
        <f>SUM('[3]American Eagle'!$GP$41:$GZ$41)</f>
        <v>52263</v>
      </c>
      <c r="P22" s="2">
        <f>SUM('[3]American Eagle'!$GB$41:$GL$41)</f>
        <v>56835</v>
      </c>
      <c r="Q22" s="3">
        <f t="shared" si="4"/>
        <v>-8.0443388756927955E-2</v>
      </c>
      <c r="R22" s="58">
        <f t="shared" si="5"/>
        <v>3.9544272742666909E-3</v>
      </c>
      <c r="S22" s="31"/>
      <c r="T22" s="295" t="s">
        <v>166</v>
      </c>
      <c r="U22" s="242">
        <f>'[3]American Eagle'!$GZ$64</f>
        <v>374</v>
      </c>
      <c r="V22" s="2">
        <f>'[3]American Eagle'!$GL$64</f>
        <v>0</v>
      </c>
      <c r="W22" s="58" t="e">
        <f t="shared" si="6"/>
        <v>#DIV/0!</v>
      </c>
      <c r="X22" s="242">
        <f>SUM('[3]American Eagle'!$GP$64:$GZ$64)</f>
        <v>6504</v>
      </c>
      <c r="Y22" s="2">
        <f>SUM('[3]American Eagle'!$GB$64:$GL$64)</f>
        <v>1314</v>
      </c>
      <c r="Z22" s="3">
        <f t="shared" si="7"/>
        <v>3.9497716894977168</v>
      </c>
      <c r="AA22" s="58">
        <f t="shared" si="8"/>
        <v>1.3700574450931154E-4</v>
      </c>
    </row>
    <row r="23" spans="1:27" ht="14.1" customHeight="1" x14ac:dyDescent="0.2">
      <c r="A23" s="31"/>
      <c r="B23" s="295" t="s">
        <v>52</v>
      </c>
      <c r="C23" s="242">
        <f>[3]Republic!$GZ$19</f>
        <v>210</v>
      </c>
      <c r="D23" s="2">
        <f>[3]Republic!$GL$19</f>
        <v>432</v>
      </c>
      <c r="E23" s="58">
        <f t="shared" si="0"/>
        <v>-0.51388888888888884</v>
      </c>
      <c r="F23" s="2">
        <f>SUM([3]Republic!$GP$19:$GZ$19)</f>
        <v>2634</v>
      </c>
      <c r="G23" s="2">
        <f>SUM([3]Republic!$GB$19:$GL$19)</f>
        <v>4052</v>
      </c>
      <c r="H23" s="3">
        <f t="shared" si="1"/>
        <v>-0.34995064165844025</v>
      </c>
      <c r="I23" s="58">
        <f t="shared" si="2"/>
        <v>1.325583150902091E-2</v>
      </c>
      <c r="J23" s="31"/>
      <c r="K23" s="244" t="s">
        <v>52</v>
      </c>
      <c r="L23" s="242">
        <f>[3]Republic!$GZ$41</f>
        <v>9820</v>
      </c>
      <c r="M23" s="2">
        <f>[3]Republic!$GL$41</f>
        <v>23151</v>
      </c>
      <c r="N23" s="58">
        <f t="shared" si="3"/>
        <v>-0.57582825795861947</v>
      </c>
      <c r="O23" s="242">
        <f>SUM([3]Republic!$GP$41:$GZ$41)</f>
        <v>118603</v>
      </c>
      <c r="P23" s="2">
        <f>SUM([3]Republic!$GB$41:$GL$41)</f>
        <v>224042</v>
      </c>
      <c r="Q23" s="3">
        <f t="shared" si="4"/>
        <v>-0.47062157988234349</v>
      </c>
      <c r="R23" s="58">
        <f t="shared" si="5"/>
        <v>8.9739765801781831E-3</v>
      </c>
      <c r="S23" s="31"/>
      <c r="T23" s="244" t="s">
        <v>52</v>
      </c>
      <c r="U23" s="242">
        <f>[3]Republic!$GZ$64</f>
        <v>793</v>
      </c>
      <c r="V23" s="2">
        <f>[3]Republic!$GL$64</f>
        <v>148</v>
      </c>
      <c r="W23" s="58">
        <f t="shared" si="6"/>
        <v>4.3581081081081079</v>
      </c>
      <c r="X23" s="242">
        <f>SUM([3]Republic!$GP$64:$GZ$64)</f>
        <v>7418</v>
      </c>
      <c r="Y23" s="2">
        <f>SUM([3]Republic!$GB$64:$GL$64)</f>
        <v>3635</v>
      </c>
      <c r="Z23" s="3">
        <f t="shared" si="7"/>
        <v>1.0407152682255847</v>
      </c>
      <c r="AA23" s="58">
        <f t="shared" si="8"/>
        <v>1.5625901180351675E-4</v>
      </c>
    </row>
    <row r="24" spans="1:27" ht="14.1" customHeight="1" x14ac:dyDescent="0.2">
      <c r="A24" s="31"/>
      <c r="B24" s="295" t="s">
        <v>182</v>
      </c>
      <c r="C24" s="242">
        <f>[3]PSA!$GZ$19</f>
        <v>0</v>
      </c>
      <c r="D24" s="2">
        <f>[3]PSA!$GL$19</f>
        <v>0</v>
      </c>
      <c r="E24" s="58" t="e">
        <f t="shared" si="0"/>
        <v>#DIV/0!</v>
      </c>
      <c r="F24" s="2">
        <f>SUM([3]PSA!$GP$19:$GZ$19)</f>
        <v>0</v>
      </c>
      <c r="G24" s="2">
        <f>SUM([3]PSA!$GB$19:$GL$19)</f>
        <v>0</v>
      </c>
      <c r="H24" s="3" t="e">
        <f t="shared" si="1"/>
        <v>#DIV/0!</v>
      </c>
      <c r="I24" s="58">
        <f t="shared" si="2"/>
        <v>0</v>
      </c>
      <c r="J24" s="31"/>
      <c r="K24" s="295" t="s">
        <v>182</v>
      </c>
      <c r="L24" s="242">
        <f>[3]PSA!$GZ$41</f>
        <v>0</v>
      </c>
      <c r="M24" s="2">
        <f>[3]PSA!$GL$41</f>
        <v>0</v>
      </c>
      <c r="N24" s="58" t="e">
        <f t="shared" si="3"/>
        <v>#DIV/0!</v>
      </c>
      <c r="O24" s="242">
        <f>SUM([3]PSA!$GP$41:$GZ$41)</f>
        <v>0</v>
      </c>
      <c r="P24" s="2">
        <f>SUM([3]PSA!$GB$41:$GL$41)</f>
        <v>0</v>
      </c>
      <c r="Q24" s="3" t="e">
        <f t="shared" si="4"/>
        <v>#DIV/0!</v>
      </c>
      <c r="R24" s="58">
        <f t="shared" si="5"/>
        <v>0</v>
      </c>
      <c r="S24" s="31"/>
      <c r="T24" s="295" t="s">
        <v>182</v>
      </c>
      <c r="U24" s="242">
        <f>[3]PSA!$GZ$64</f>
        <v>0</v>
      </c>
      <c r="V24" s="2">
        <f>[3]PSA!$GL$64</f>
        <v>0</v>
      </c>
      <c r="W24" s="58" t="e">
        <f t="shared" si="6"/>
        <v>#DIV/0!</v>
      </c>
      <c r="X24" s="242">
        <f>SUM([3]PSA!$GP$64:$GZ$64)</f>
        <v>0</v>
      </c>
      <c r="Y24" s="2">
        <f>SUM([3]PSA!$GB$64:$GL$64)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5" t="s">
        <v>98</v>
      </c>
      <c r="C25" s="242">
        <f>'[3]Sky West_AA'!$GZ$19</f>
        <v>0</v>
      </c>
      <c r="D25" s="2">
        <f>'[3]Sky West_AA'!$GL$19</f>
        <v>0</v>
      </c>
      <c r="E25" s="58" t="e">
        <f>(C25-D25)/D25</f>
        <v>#DIV/0!</v>
      </c>
      <c r="F25" s="2">
        <f>SUM('[3]Sky West_AA'!$GP$19:$GZ$19)</f>
        <v>298</v>
      </c>
      <c r="G25" s="2">
        <f>SUM('[3]Sky West_AA'!$GB$19:$GL$19)</f>
        <v>0</v>
      </c>
      <c r="H25" s="3" t="e">
        <f>(F25-G25)/G25</f>
        <v>#DIV/0!</v>
      </c>
      <c r="I25" s="58">
        <f t="shared" si="2"/>
        <v>1.4997106263053271E-3</v>
      </c>
      <c r="J25" s="31"/>
      <c r="K25" s="295" t="s">
        <v>98</v>
      </c>
      <c r="L25" s="242">
        <f>'[3]Sky West_AA'!$GZ$41</f>
        <v>0</v>
      </c>
      <c r="M25" s="2">
        <f>'[3]Sky West_AA'!$GL$41</f>
        <v>0</v>
      </c>
      <c r="N25" s="58" t="e">
        <f>(L25-M25)/M25</f>
        <v>#DIV/0!</v>
      </c>
      <c r="O25" s="242">
        <f>SUM('[3]Sky West_AA'!$GP$41:$GZ$41)</f>
        <v>15806</v>
      </c>
      <c r="P25" s="2">
        <f>SUM('[3]Sky West_AA'!$GB$41:$GL$41)</f>
        <v>0</v>
      </c>
      <c r="Q25" s="3" t="e">
        <f>(O25-P25)/P25</f>
        <v>#DIV/0!</v>
      </c>
      <c r="R25" s="301">
        <f t="shared" si="5"/>
        <v>1.1959450758100246E-3</v>
      </c>
      <c r="S25" s="31"/>
      <c r="T25" s="295" t="s">
        <v>98</v>
      </c>
      <c r="U25" s="242">
        <f>'[3]Sky West_AA'!$GZ$64</f>
        <v>0</v>
      </c>
      <c r="V25" s="2">
        <f>'[3]Sky West_AA'!$GL$64</f>
        <v>0</v>
      </c>
      <c r="W25" s="58" t="e">
        <f>(U25-V25)/V25</f>
        <v>#DIV/0!</v>
      </c>
      <c r="X25" s="242">
        <f>SUM('[3]Sky West_AA'!$GP$64:$GZ$64)</f>
        <v>644</v>
      </c>
      <c r="Y25" s="2">
        <f>SUM('[3]Sky West_AA'!$GB$64:$GL$64)</f>
        <v>0</v>
      </c>
      <c r="Z25" s="3" t="e">
        <f>(X25-Y25)/Y25</f>
        <v>#DIV/0!</v>
      </c>
      <c r="AA25" s="301">
        <f t="shared" si="8"/>
        <v>1.3565759450183982E-5</v>
      </c>
    </row>
    <row r="26" spans="1:27" ht="14.1" customHeight="1" x14ac:dyDescent="0.2">
      <c r="A26" s="31"/>
      <c r="B26" s="295" t="s">
        <v>51</v>
      </c>
      <c r="C26" s="242">
        <f>[3]MESA!$GZ$19</f>
        <v>0</v>
      </c>
      <c r="D26" s="2">
        <f>[3]MESA!$GL$19</f>
        <v>0</v>
      </c>
      <c r="E26" s="58" t="e">
        <f t="shared" si="0"/>
        <v>#DIV/0!</v>
      </c>
      <c r="F26" s="2">
        <f>SUM([3]MESA!$GP$19:$GZ$19)</f>
        <v>0</v>
      </c>
      <c r="G26" s="2">
        <f>SUM([3]MESA!$GB$19:$GL$19)</f>
        <v>0</v>
      </c>
      <c r="H26" s="3" t="e">
        <f t="shared" si="1"/>
        <v>#DIV/0!</v>
      </c>
      <c r="I26" s="58">
        <f t="shared" si="2"/>
        <v>0</v>
      </c>
      <c r="J26" s="31"/>
      <c r="K26" s="295" t="s">
        <v>51</v>
      </c>
      <c r="L26" s="242">
        <f>[3]MESA!$GZ$41</f>
        <v>0</v>
      </c>
      <c r="M26" s="2">
        <f>[3]MESA!$GL$41</f>
        <v>0</v>
      </c>
      <c r="N26" s="58" t="e">
        <f t="shared" si="3"/>
        <v>#DIV/0!</v>
      </c>
      <c r="O26" s="242">
        <f>SUM([3]MESA!$GP$41:$GZ$41)</f>
        <v>0</v>
      </c>
      <c r="P26" s="2">
        <f>SUM([3]MESA!$GB$41:$GL$41)</f>
        <v>0</v>
      </c>
      <c r="Q26" s="3" t="e">
        <f t="shared" si="4"/>
        <v>#DIV/0!</v>
      </c>
      <c r="R26" s="58">
        <f t="shared" si="5"/>
        <v>0</v>
      </c>
      <c r="S26" s="31"/>
      <c r="T26" s="295" t="s">
        <v>51</v>
      </c>
      <c r="U26" s="242">
        <f>[3]MESA!$GZ$64</f>
        <v>0</v>
      </c>
      <c r="V26" s="2">
        <f>[3]MESA!$GL$64</f>
        <v>0</v>
      </c>
      <c r="W26" s="58" t="e">
        <f t="shared" ref="W26:W27" si="9">(U26-V26)/V26</f>
        <v>#DIV/0!</v>
      </c>
      <c r="X26" s="242">
        <f>SUM([3]MESA!$GP$64:$GZ$64)</f>
        <v>0</v>
      </c>
      <c r="Y26" s="2">
        <f>SUM([3]MESA!$GB$64:$GL$64)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5" t="s">
        <v>50</v>
      </c>
      <c r="C27" s="242">
        <f>'[3]Air Wisconsin'!$GZ$19</f>
        <v>0</v>
      </c>
      <c r="D27" s="2">
        <f>'[3]Air Wisconsin'!$GL$19</f>
        <v>0</v>
      </c>
      <c r="E27" s="58" t="e">
        <f t="shared" si="0"/>
        <v>#DIV/0!</v>
      </c>
      <c r="F27" s="2">
        <f>SUM('[3]Air Wisconsin'!$GP$19:$GZ$19)</f>
        <v>6</v>
      </c>
      <c r="G27" s="2">
        <f>SUM('[3]Air Wisconsin'!$GB$19:$GL$19)</f>
        <v>2</v>
      </c>
      <c r="H27" s="283">
        <f t="shared" si="1"/>
        <v>2</v>
      </c>
      <c r="I27" s="58">
        <f t="shared" si="2"/>
        <v>3.0195515965879066E-5</v>
      </c>
      <c r="J27" s="31"/>
      <c r="K27" s="244" t="s">
        <v>50</v>
      </c>
      <c r="L27" s="242">
        <f>'[3]Air Wisconsin'!$GZ$41</f>
        <v>0</v>
      </c>
      <c r="M27" s="2">
        <f>'[3]Air Wisconsin'!$GL$41</f>
        <v>0</v>
      </c>
      <c r="N27" s="58" t="e">
        <f t="shared" si="3"/>
        <v>#DIV/0!</v>
      </c>
      <c r="O27" s="242">
        <f>SUM('[3]Air Wisconsin'!$GP$41:$GZ$41)</f>
        <v>194</v>
      </c>
      <c r="P27" s="2">
        <f>SUM('[3]Air Wisconsin'!$GB$41:$GL$41)</f>
        <v>42</v>
      </c>
      <c r="Q27" s="3">
        <f t="shared" si="4"/>
        <v>3.6190476190476191</v>
      </c>
      <c r="R27" s="58">
        <f t="shared" si="5"/>
        <v>1.4678814672095709E-5</v>
      </c>
      <c r="S27" s="31"/>
      <c r="T27" s="244" t="s">
        <v>50</v>
      </c>
      <c r="U27" s="242">
        <f>'[3]Air Wisconsin'!$GZ$64</f>
        <v>0</v>
      </c>
      <c r="V27" s="2">
        <f>'[3]Air Wisconsin'!$GL$64</f>
        <v>0</v>
      </c>
      <c r="W27" s="58" t="e">
        <f t="shared" si="9"/>
        <v>#DIV/0!</v>
      </c>
      <c r="X27" s="242">
        <f>SUM('[3]Air Wisconsin'!$GP$64:$GZ$64)</f>
        <v>0</v>
      </c>
      <c r="Y27" s="2">
        <f>SUM('[3]Air Wisconsin'!$GB$64:$GL$64)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2"/>
      <c r="E28" s="58"/>
      <c r="F28" s="2"/>
      <c r="I28" s="58"/>
      <c r="J28" s="31"/>
      <c r="K28" s="33"/>
      <c r="L28" s="242"/>
      <c r="N28" s="58"/>
      <c r="O28" s="242"/>
      <c r="P28" s="2"/>
      <c r="Q28" s="3"/>
      <c r="R28" s="58"/>
      <c r="S28" s="31"/>
      <c r="T28" s="33"/>
      <c r="U28" s="242"/>
      <c r="V28" s="2"/>
      <c r="W28" s="58"/>
      <c r="X28" s="242"/>
      <c r="Y28" s="2"/>
      <c r="Z28" s="3"/>
      <c r="AA28" s="58"/>
    </row>
    <row r="29" spans="1:27" ht="14.1" customHeight="1" x14ac:dyDescent="0.2">
      <c r="A29" s="238" t="s">
        <v>180</v>
      </c>
      <c r="B29" s="33"/>
      <c r="C29" s="239">
        <f>'[3]Boutique Air'!$GZ$19</f>
        <v>50</v>
      </c>
      <c r="D29" s="115">
        <f>'[3]Boutique Air'!$GL$19</f>
        <v>175</v>
      </c>
      <c r="E29" s="241">
        <f>(C29-D29)/D29</f>
        <v>-0.7142857142857143</v>
      </c>
      <c r="F29" s="115">
        <f>SUM('[3]Boutique Air'!$GP$19:$GZ$19)</f>
        <v>988</v>
      </c>
      <c r="G29" s="115">
        <f>SUM('[3]Boutique Air'!$GB$19:$GL$19)</f>
        <v>1674</v>
      </c>
      <c r="H29" s="240">
        <f>(F29-G29)/G29</f>
        <v>-0.40979689366786143</v>
      </c>
      <c r="I29" s="241">
        <f>F29/$F$70</f>
        <v>4.9721949623814194E-3</v>
      </c>
      <c r="J29" s="238" t="s">
        <v>180</v>
      </c>
      <c r="K29" s="33"/>
      <c r="L29" s="239">
        <f>'[3]Boutique Air'!$GZ$41</f>
        <v>105</v>
      </c>
      <c r="M29" s="115">
        <f>'[3]Boutique Air'!$GL$41</f>
        <v>950</v>
      </c>
      <c r="N29" s="241">
        <f>(L29-M29)/M29</f>
        <v>-0.88947368421052631</v>
      </c>
      <c r="O29" s="239">
        <f>SUM('[3]Boutique Air'!$GP$41:$GZ$41)</f>
        <v>2982</v>
      </c>
      <c r="P29" s="115">
        <f>SUM('[3]Boutique Air'!$GB$41:$GL$41)</f>
        <v>8830</v>
      </c>
      <c r="Q29" s="240">
        <f>(O29-P29)/P29</f>
        <v>-0.66228765571913928</v>
      </c>
      <c r="R29" s="241">
        <f>O29/$O$70</f>
        <v>2.2563002758860519E-4</v>
      </c>
      <c r="S29" s="238" t="s">
        <v>180</v>
      </c>
      <c r="T29" s="33"/>
      <c r="U29" s="239">
        <f>'[3]Boutique Air'!$GZ$64</f>
        <v>0</v>
      </c>
      <c r="V29" s="115">
        <f>'[3]Boutique Air'!$GL$64</f>
        <v>0</v>
      </c>
      <c r="W29" s="241" t="e">
        <f>(U29-V29)/V29</f>
        <v>#DIV/0!</v>
      </c>
      <c r="X29" s="239">
        <f>SUM('[3]Boutique Air'!$GP$64:$GZ$64)</f>
        <v>0</v>
      </c>
      <c r="Y29" s="115">
        <f>SUM('[3]Boutique Air'!$GB$64:$GL$64)</f>
        <v>0</v>
      </c>
      <c r="Z29" s="240" t="e">
        <f>(X29-Y29)/Y29</f>
        <v>#DIV/0!</v>
      </c>
      <c r="AA29" s="241">
        <f>X29/$X$70</f>
        <v>0</v>
      </c>
    </row>
    <row r="30" spans="1:27" ht="14.1" customHeight="1" x14ac:dyDescent="0.2">
      <c r="A30" s="31"/>
      <c r="B30" s="33"/>
      <c r="C30" s="242"/>
      <c r="E30" s="58"/>
      <c r="F30" s="2"/>
      <c r="I30" s="58"/>
      <c r="J30" s="31"/>
      <c r="K30" s="33"/>
      <c r="L30" s="242"/>
      <c r="N30" s="58"/>
      <c r="O30" s="242"/>
      <c r="P30" s="2"/>
      <c r="Q30" s="3"/>
      <c r="R30" s="58"/>
      <c r="S30" s="31"/>
      <c r="T30" s="33"/>
      <c r="U30" s="242"/>
      <c r="V30" s="2"/>
      <c r="W30" s="58"/>
      <c r="X30" s="242"/>
      <c r="Y30" s="2"/>
      <c r="Z30" s="3"/>
      <c r="AA30" s="58"/>
    </row>
    <row r="31" spans="1:27" ht="14.1" customHeight="1" x14ac:dyDescent="0.2">
      <c r="A31" s="238" t="s">
        <v>162</v>
      </c>
      <c r="B31" s="33"/>
      <c r="C31" s="239">
        <f>[3]Condor!$GZ$19</f>
        <v>0</v>
      </c>
      <c r="D31" s="115">
        <f>[3]Condor!$GL$19</f>
        <v>0</v>
      </c>
      <c r="E31" s="241" t="e">
        <f>(C31-D31)/D31</f>
        <v>#DIV/0!</v>
      </c>
      <c r="F31" s="115">
        <f>SUM([3]Condor!$GP$19:$GZ$19)</f>
        <v>0</v>
      </c>
      <c r="G31" s="115">
        <f>SUM([3]Condor!$GB$19:$GL$19)</f>
        <v>108</v>
      </c>
      <c r="H31" s="240">
        <f>(F31-G31)/G31</f>
        <v>-1</v>
      </c>
      <c r="I31" s="241">
        <f>F31/$F$70</f>
        <v>0</v>
      </c>
      <c r="J31" s="238" t="s">
        <v>162</v>
      </c>
      <c r="K31" s="33"/>
      <c r="L31" s="239">
        <f>[3]Condor!$GZ$41</f>
        <v>0</v>
      </c>
      <c r="M31" s="115">
        <f>[3]Condor!$GL$41</f>
        <v>0</v>
      </c>
      <c r="N31" s="241" t="e">
        <f>(L31-M31)/M31</f>
        <v>#DIV/0!</v>
      </c>
      <c r="O31" s="239">
        <f>SUM([3]Condor!$GP$41:$GZ$41)</f>
        <v>0</v>
      </c>
      <c r="P31" s="115">
        <f>SUM([3]Condor!$GB$41:$GL$41)</f>
        <v>26102</v>
      </c>
      <c r="Q31" s="240">
        <f>(O31-P31)/P31</f>
        <v>-1</v>
      </c>
      <c r="R31" s="241">
        <f>O31/$O$70</f>
        <v>0</v>
      </c>
      <c r="S31" s="238" t="s">
        <v>162</v>
      </c>
      <c r="T31" s="33"/>
      <c r="U31" s="239">
        <f>[3]Condor!$GZ$64</f>
        <v>0</v>
      </c>
      <c r="V31" s="115">
        <f>[3]Condor!$GL$64</f>
        <v>0</v>
      </c>
      <c r="W31" s="241" t="e">
        <f>(U31-V31)/V31</f>
        <v>#DIV/0!</v>
      </c>
      <c r="X31" s="239">
        <f>SUM([3]Condor!$GP$64:$GZ$64)</f>
        <v>0</v>
      </c>
      <c r="Y31" s="115">
        <f>SUM([3]Condor!$GB$64:$GL$64)</f>
        <v>162690</v>
      </c>
      <c r="Z31" s="240">
        <f>(X31-Y31)/Y31</f>
        <v>-1</v>
      </c>
      <c r="AA31" s="241">
        <f>X31/$X$70</f>
        <v>0</v>
      </c>
    </row>
    <row r="32" spans="1:27" ht="14.1" customHeight="1" x14ac:dyDescent="0.2">
      <c r="A32" s="31"/>
      <c r="B32" s="33"/>
      <c r="C32" s="242"/>
      <c r="E32" s="58"/>
      <c r="F32" s="2"/>
      <c r="I32" s="58"/>
      <c r="J32" s="31"/>
      <c r="K32" s="33"/>
      <c r="L32" s="242"/>
      <c r="N32" s="58"/>
      <c r="O32" s="242"/>
      <c r="P32" s="2"/>
      <c r="Q32" s="3"/>
      <c r="R32" s="58"/>
      <c r="S32" s="31"/>
      <c r="T32" s="33"/>
      <c r="U32" s="242"/>
      <c r="V32" s="2"/>
      <c r="W32" s="58"/>
      <c r="X32" s="242"/>
      <c r="Y32" s="2"/>
      <c r="Z32" s="3"/>
      <c r="AA32" s="58"/>
    </row>
    <row r="33" spans="1:27" ht="14.1" customHeight="1" x14ac:dyDescent="0.2">
      <c r="A33" s="238" t="s">
        <v>224</v>
      </c>
      <c r="B33" s="33"/>
      <c r="C33" s="239">
        <f>'[3]Denver Air'!$GZ$19</f>
        <v>106</v>
      </c>
      <c r="D33" s="115">
        <f>'[3]Denver Air'!$GL$19</f>
        <v>0</v>
      </c>
      <c r="E33" s="241" t="e">
        <f>(C33-D33)/D33</f>
        <v>#DIV/0!</v>
      </c>
      <c r="F33" s="115">
        <f>SUM('[3]Denver Air'!$GP$19:$GZ$19)</f>
        <v>634</v>
      </c>
      <c r="G33" s="115">
        <f>SUM('[3]Denver Air'!$GB$19:$GL$19)</f>
        <v>0</v>
      </c>
      <c r="H33" s="240" t="e">
        <f>(F33-G33)/G33</f>
        <v>#DIV/0!</v>
      </c>
      <c r="I33" s="241">
        <f>F33/$F$70</f>
        <v>3.1906595203945549E-3</v>
      </c>
      <c r="J33" s="238" t="s">
        <v>224</v>
      </c>
      <c r="K33" s="33"/>
      <c r="L33" s="239">
        <f>'[3]Denver Air'!$GZ$41</f>
        <v>242</v>
      </c>
      <c r="M33" s="115">
        <f>'[3]Denver Air'!$GL$41</f>
        <v>0</v>
      </c>
      <c r="N33" s="241" t="e">
        <f>(L33-M33)/M33</f>
        <v>#DIV/0!</v>
      </c>
      <c r="O33" s="239">
        <f>SUM('[3]Denver Air'!$GP$41:$GZ$41)</f>
        <v>1461</v>
      </c>
      <c r="P33" s="115">
        <f>SUM('[3]Denver Air'!$GB$41:$GL$41)</f>
        <v>0</v>
      </c>
      <c r="Q33" s="240" t="e">
        <f>(O33-P33)/P33</f>
        <v>#DIV/0!</v>
      </c>
      <c r="R33" s="241">
        <f>O33/$O$70</f>
        <v>1.1054509399964862E-4</v>
      </c>
      <c r="S33" s="238" t="s">
        <v>224</v>
      </c>
      <c r="T33" s="33"/>
      <c r="U33" s="239">
        <f>'[3]Denver Air'!$GZ$64</f>
        <v>0</v>
      </c>
      <c r="V33" s="115">
        <f>'[3]Denver Air'!$GL$64</f>
        <v>0</v>
      </c>
      <c r="W33" s="241" t="e">
        <f>(U33-V33)/V33</f>
        <v>#DIV/0!</v>
      </c>
      <c r="X33" s="239">
        <f>SUM('[3]Denver Air'!$GP$64:$GZ$64)</f>
        <v>0</v>
      </c>
      <c r="Y33" s="115">
        <f>SUM('[3]Denver Air'!$GB$64:$GL$64)</f>
        <v>0</v>
      </c>
      <c r="Z33" s="240" t="e">
        <f>(X33-Y33)/Y33</f>
        <v>#DIV/0!</v>
      </c>
      <c r="AA33" s="241">
        <f>X33/$X$70</f>
        <v>0</v>
      </c>
    </row>
    <row r="34" spans="1:27" ht="14.1" customHeight="1" x14ac:dyDescent="0.2">
      <c r="A34" s="31"/>
      <c r="B34" s="33"/>
      <c r="C34" s="242"/>
      <c r="E34" s="58"/>
      <c r="F34" s="2"/>
      <c r="I34" s="58"/>
      <c r="J34" s="31"/>
      <c r="K34" s="33"/>
      <c r="L34" s="242"/>
      <c r="N34" s="58"/>
      <c r="O34" s="242"/>
      <c r="P34" s="2"/>
      <c r="Q34" s="3"/>
      <c r="R34" s="58"/>
      <c r="S34" s="31"/>
      <c r="T34" s="33"/>
      <c r="U34" s="242"/>
      <c r="V34" s="2"/>
      <c r="W34" s="58"/>
      <c r="X34" s="242"/>
      <c r="Y34" s="2"/>
      <c r="Z34" s="3"/>
      <c r="AA34" s="58"/>
    </row>
    <row r="35" spans="1:27" ht="14.1" customHeight="1" x14ac:dyDescent="0.2">
      <c r="A35" s="238" t="s">
        <v>18</v>
      </c>
      <c r="B35" s="243"/>
      <c r="C35" s="239">
        <f>SUM(C36:C42)</f>
        <v>14983</v>
      </c>
      <c r="D35" s="115">
        <f>SUM(D36:D42)</f>
        <v>21171</v>
      </c>
      <c r="E35" s="241">
        <f t="shared" ref="E35:E42" si="11">(C35-D35)/D35</f>
        <v>-0.29228661848755372</v>
      </c>
      <c r="F35" s="125">
        <f>SUM(F36:F42)</f>
        <v>149165</v>
      </c>
      <c r="G35" s="125">
        <f>SUM(G36:G42)</f>
        <v>251561</v>
      </c>
      <c r="H35" s="240">
        <f>(F35-G35)/G35</f>
        <v>-0.40704242708527949</v>
      </c>
      <c r="I35" s="241">
        <f t="shared" ref="I35:I42" si="12">F35/$F$70</f>
        <v>0.75068568984172512</v>
      </c>
      <c r="J35" s="238" t="s">
        <v>18</v>
      </c>
      <c r="K35" s="243"/>
      <c r="L35" s="239">
        <f>SUM(L36:L42)</f>
        <v>654884</v>
      </c>
      <c r="M35" s="115">
        <f>SUM(M36:M42)</f>
        <v>2065602</v>
      </c>
      <c r="N35" s="241">
        <f t="shared" ref="N35:N42" si="13">(L35-M35)/M35</f>
        <v>-0.68295731704365115</v>
      </c>
      <c r="O35" s="239">
        <f>SUM(O36:O42)</f>
        <v>9091111</v>
      </c>
      <c r="P35" s="115">
        <f>SUM(P36:P42)</f>
        <v>25090868</v>
      </c>
      <c r="Q35" s="240">
        <f t="shared" ref="Q35:Q42" si="14">(O35-P35)/P35</f>
        <v>-0.63767251894195132</v>
      </c>
      <c r="R35" s="241">
        <f t="shared" ref="R35:R42" si="15">O35/$O$70</f>
        <v>0.68786976047655002</v>
      </c>
      <c r="S35" s="238" t="s">
        <v>18</v>
      </c>
      <c r="T35" s="243"/>
      <c r="U35" s="239">
        <f>SUM(U36:U42)</f>
        <v>1889719</v>
      </c>
      <c r="V35" s="115">
        <f>SUM(V36:V42)</f>
        <v>7224778</v>
      </c>
      <c r="W35" s="241">
        <f t="shared" ref="W35:W42" si="16">(U35-V35)/V35</f>
        <v>-0.73843916034513446</v>
      </c>
      <c r="X35" s="239">
        <f>SUM(X36:X42)</f>
        <v>37249366</v>
      </c>
      <c r="Y35" s="115">
        <f>SUM(Y36:Y42)</f>
        <v>88937513</v>
      </c>
      <c r="Z35" s="240">
        <f t="shared" ref="Z35:Z38" si="17">(X35-Y35)/Y35</f>
        <v>-0.58117373936462557</v>
      </c>
      <c r="AA35" s="241">
        <f t="shared" ref="AA35:AA42" si="18">X35/$X$70</f>
        <v>0.78465207892525146</v>
      </c>
    </row>
    <row r="36" spans="1:27" ht="14.1" customHeight="1" x14ac:dyDescent="0.2">
      <c r="A36" s="31"/>
      <c r="B36" s="33" t="s">
        <v>18</v>
      </c>
      <c r="C36" s="242">
        <f>[3]Delta!$GZ$19</f>
        <v>6293</v>
      </c>
      <c r="D36" s="2">
        <f>[3]Delta!$GL$19</f>
        <v>12203</v>
      </c>
      <c r="E36" s="58">
        <f t="shared" si="11"/>
        <v>-0.48430713758911742</v>
      </c>
      <c r="F36" s="2">
        <f>SUM([3]Delta!$GP$19:$GZ$19)</f>
        <v>69555</v>
      </c>
      <c r="G36" s="2">
        <f>SUM([3]Delta!$GB$19:$GL$19)</f>
        <v>138733</v>
      </c>
      <c r="H36" s="3">
        <f t="shared" ref="H36:H42" si="19">(F36-G36)/G36</f>
        <v>-0.49864127496702298</v>
      </c>
      <c r="I36" s="58">
        <f t="shared" si="12"/>
        <v>0.35004151883445306</v>
      </c>
      <c r="J36" s="31"/>
      <c r="K36" s="33" t="s">
        <v>18</v>
      </c>
      <c r="L36" s="242">
        <f>[3]Delta!$GZ$41</f>
        <v>422283</v>
      </c>
      <c r="M36" s="2">
        <f>[3]Delta!$GL$41</f>
        <v>1603565</v>
      </c>
      <c r="N36" s="58">
        <f t="shared" si="13"/>
        <v>-0.73665987970553115</v>
      </c>
      <c r="O36" s="242">
        <f>SUM([3]Delta!$GP$41:$GZ$41)</f>
        <v>6463121</v>
      </c>
      <c r="P36" s="2">
        <f>SUM([3]Delta!$GB$41:$GL$41)</f>
        <v>19241762</v>
      </c>
      <c r="Q36" s="3">
        <f t="shared" si="14"/>
        <v>-0.66410971095058757</v>
      </c>
      <c r="R36" s="58">
        <f t="shared" si="15"/>
        <v>0.48902554310479329</v>
      </c>
      <c r="S36" s="31"/>
      <c r="T36" s="33" t="s">
        <v>18</v>
      </c>
      <c r="U36" s="242">
        <f>[3]Delta!$GZ$64</f>
        <v>1889719</v>
      </c>
      <c r="V36" s="2">
        <f>[3]Delta!$GL$64</f>
        <v>7224778</v>
      </c>
      <c r="W36" s="58">
        <f t="shared" si="16"/>
        <v>-0.73843916034513446</v>
      </c>
      <c r="X36" s="242">
        <f>SUM([3]Delta!$GP$64:$GZ$64)</f>
        <v>37249366</v>
      </c>
      <c r="Y36" s="2">
        <f>SUM([3]Delta!$GB$64:$GL$64)</f>
        <v>88936806</v>
      </c>
      <c r="Z36" s="3">
        <f t="shared" si="17"/>
        <v>-0.58117040992005042</v>
      </c>
      <c r="AA36" s="58">
        <f t="shared" si="18"/>
        <v>0.78465207892525146</v>
      </c>
    </row>
    <row r="37" spans="1:27" ht="14.1" customHeight="1" x14ac:dyDescent="0.2">
      <c r="A37" s="31"/>
      <c r="B37" s="244" t="s">
        <v>118</v>
      </c>
      <c r="C37" s="242">
        <f>[3]Compass!$GZ$19</f>
        <v>0</v>
      </c>
      <c r="D37" s="2">
        <f>[3]Compass!$GL$19</f>
        <v>0</v>
      </c>
      <c r="E37" s="58" t="e">
        <f t="shared" si="11"/>
        <v>#DIV/0!</v>
      </c>
      <c r="F37" s="2">
        <f>SUM([3]Compass!$GP$19:$GZ$19)</f>
        <v>0</v>
      </c>
      <c r="G37" s="2">
        <f>SUM([3]Compass!$GB$19:$GL$19)</f>
        <v>0</v>
      </c>
      <c r="H37" s="3" t="e">
        <f t="shared" si="19"/>
        <v>#DIV/0!</v>
      </c>
      <c r="I37" s="58">
        <f t="shared" si="12"/>
        <v>0</v>
      </c>
      <c r="J37" s="31"/>
      <c r="K37" s="244" t="s">
        <v>118</v>
      </c>
      <c r="L37" s="242">
        <f>[3]Compass!$GZ$41</f>
        <v>0</v>
      </c>
      <c r="M37" s="2">
        <f>[3]Compass!$GL$41</f>
        <v>0</v>
      </c>
      <c r="N37" s="58" t="e">
        <f t="shared" si="13"/>
        <v>#DIV/0!</v>
      </c>
      <c r="O37" s="242">
        <f>SUM([3]Compass!$GP$41:$GZ$41)</f>
        <v>0</v>
      </c>
      <c r="P37" s="2">
        <f>SUM([3]Compass!$GB$41:$GL$41)</f>
        <v>0</v>
      </c>
      <c r="Q37" s="3" t="e">
        <f t="shared" si="14"/>
        <v>#DIV/0!</v>
      </c>
      <c r="R37" s="58">
        <f t="shared" si="15"/>
        <v>0</v>
      </c>
      <c r="S37" s="31"/>
      <c r="T37" s="244" t="s">
        <v>118</v>
      </c>
      <c r="U37" s="242">
        <f>[3]Compass!$GZ$64</f>
        <v>0</v>
      </c>
      <c r="V37" s="2">
        <f>[3]Compass!$GL$64</f>
        <v>0</v>
      </c>
      <c r="W37" s="58" t="e">
        <f t="shared" si="16"/>
        <v>#DIV/0!</v>
      </c>
      <c r="X37" s="242">
        <f>SUM([3]Compass!$GP$64:$GZ$64)</f>
        <v>0</v>
      </c>
      <c r="Y37" s="2">
        <f>SUM([3]Compass!$GB$64:$GL$64)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2">
        <f>[3]Pinnacle!$GZ$19</f>
        <v>4832</v>
      </c>
      <c r="D38" s="2">
        <f>[3]Pinnacle!$GL$19</f>
        <v>2268</v>
      </c>
      <c r="E38" s="58">
        <f t="shared" si="11"/>
        <v>1.1305114638447973</v>
      </c>
      <c r="F38" s="2">
        <f>SUM([3]Pinnacle!$GP$19:$GZ$19)</f>
        <v>32643</v>
      </c>
      <c r="G38" s="2">
        <f>SUM([3]Pinnacle!$GB$19:$GL$19)</f>
        <v>24564</v>
      </c>
      <c r="H38" s="3">
        <f t="shared" si="19"/>
        <v>0.32889594528578409</v>
      </c>
      <c r="I38" s="58">
        <f t="shared" si="12"/>
        <v>0.16427870461236507</v>
      </c>
      <c r="J38" s="31"/>
      <c r="K38" s="33" t="s">
        <v>159</v>
      </c>
      <c r="L38" s="242">
        <f>[3]Pinnacle!$GZ$41</f>
        <v>134376</v>
      </c>
      <c r="M38" s="2">
        <f>[3]Pinnacle!$GL$41</f>
        <v>133545</v>
      </c>
      <c r="N38" s="58">
        <f t="shared" si="13"/>
        <v>6.2226215882286873E-3</v>
      </c>
      <c r="O38" s="242">
        <f>SUM([3]Pinnacle!$GP$41:$GZ$41)</f>
        <v>1093541</v>
      </c>
      <c r="P38" s="2">
        <f>SUM([3]Pinnacle!$GB$41:$GL$41)</f>
        <v>1500378</v>
      </c>
      <c r="Q38" s="3">
        <f t="shared" si="14"/>
        <v>-0.27115633527017857</v>
      </c>
      <c r="R38" s="58">
        <f t="shared" si="15"/>
        <v>8.274167873885678E-2</v>
      </c>
      <c r="S38" s="31"/>
      <c r="T38" s="33" t="s">
        <v>159</v>
      </c>
      <c r="U38" s="242">
        <f>[3]Pinnacle!$GZ$64</f>
        <v>0</v>
      </c>
      <c r="V38" s="2">
        <f>[3]Pinnacle!$GL$64</f>
        <v>0</v>
      </c>
      <c r="W38" s="58" t="e">
        <f t="shared" si="16"/>
        <v>#DIV/0!</v>
      </c>
      <c r="X38" s="242">
        <f>SUM([3]Pinnacle!$GP$64:$GZ$64)</f>
        <v>0</v>
      </c>
      <c r="Y38" s="2">
        <f>SUM([3]Pinnacle!$GB$64:$GL$64)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2">
        <f>'[3]Go Jet'!$GZ$19</f>
        <v>0</v>
      </c>
      <c r="D39" s="2">
        <f>'[3]Go Jet'!$GL$19</f>
        <v>4</v>
      </c>
      <c r="E39" s="58">
        <f t="shared" si="11"/>
        <v>-1</v>
      </c>
      <c r="F39" s="2">
        <f>SUM('[3]Go Jet'!$GP$19:$GZ$19)</f>
        <v>44</v>
      </c>
      <c r="G39" s="2">
        <f>SUM('[3]Go Jet'!$GB$19:$GL$19)</f>
        <v>1712</v>
      </c>
      <c r="H39" s="3">
        <f>(F39-G39)/G39</f>
        <v>-0.97429906542056077</v>
      </c>
      <c r="I39" s="58">
        <f t="shared" si="12"/>
        <v>2.2143378374977983E-4</v>
      </c>
      <c r="J39" s="31"/>
      <c r="K39" s="33" t="s">
        <v>155</v>
      </c>
      <c r="L39" s="242">
        <f>'[3]Go Jet'!$GZ$41</f>
        <v>0</v>
      </c>
      <c r="M39" s="2">
        <f>'[3]Go Jet'!$GL$41</f>
        <v>242</v>
      </c>
      <c r="N39" s="58">
        <f t="shared" si="13"/>
        <v>-1</v>
      </c>
      <c r="O39" s="242">
        <f>SUM('[3]Go Jet'!$GP$41:$GZ$41)</f>
        <v>2644</v>
      </c>
      <c r="P39" s="2">
        <f>SUM('[3]Go Jet'!$GB$41:$GL$41)</f>
        <v>99656</v>
      </c>
      <c r="Q39" s="3">
        <f>(O39-P39)/P39</f>
        <v>-0.9734687324395922</v>
      </c>
      <c r="R39" s="58">
        <f t="shared" si="15"/>
        <v>2.0005559790217038E-4</v>
      </c>
      <c r="S39" s="31"/>
      <c r="T39" s="33" t="s">
        <v>155</v>
      </c>
      <c r="U39" s="242">
        <f>'[3]Go Jet'!$GZ$64</f>
        <v>0</v>
      </c>
      <c r="V39" s="2">
        <f>'[3]Go Jet'!$GL$64</f>
        <v>0</v>
      </c>
      <c r="W39" s="58" t="e">
        <f t="shared" si="16"/>
        <v>#DIV/0!</v>
      </c>
      <c r="X39" s="242">
        <f>SUM('[3]Go Jet'!$GP$64:$GZ$64)</f>
        <v>0</v>
      </c>
      <c r="Y39" s="2">
        <f>SUM('[3]Go Jet'!$GB$64:$GL$64)</f>
        <v>570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2">
        <f>'[3]Sky West'!$GZ$19</f>
        <v>3858</v>
      </c>
      <c r="D40" s="2">
        <f>'[3]Sky West'!$GL$19</f>
        <v>6696</v>
      </c>
      <c r="E40" s="58">
        <f t="shared" si="11"/>
        <v>-0.42383512544802865</v>
      </c>
      <c r="F40" s="2">
        <f>SUM('[3]Sky West'!$GP$19:$GZ$19)</f>
        <v>46923</v>
      </c>
      <c r="G40" s="2">
        <f>SUM('[3]Sky West'!$GB$19:$GL$19)</f>
        <v>86230</v>
      </c>
      <c r="H40" s="3">
        <f t="shared" si="19"/>
        <v>-0.45583903513858287</v>
      </c>
      <c r="I40" s="58">
        <f t="shared" si="12"/>
        <v>0.23614403261115724</v>
      </c>
      <c r="J40" s="31"/>
      <c r="K40" s="33" t="s">
        <v>98</v>
      </c>
      <c r="L40" s="242">
        <f>'[3]Sky West'!$GZ$41</f>
        <v>98225</v>
      </c>
      <c r="M40" s="2">
        <f>'[3]Sky West'!$GL$41</f>
        <v>328250</v>
      </c>
      <c r="N40" s="58">
        <f t="shared" si="13"/>
        <v>-0.70076161462300079</v>
      </c>
      <c r="O40" s="242">
        <f>SUM('[3]Sky West'!$GP$41:$GZ$41)</f>
        <v>1531805</v>
      </c>
      <c r="P40" s="2">
        <f>SUM('[3]Sky West'!$GB$41:$GL$41)</f>
        <v>4232438</v>
      </c>
      <c r="Q40" s="3">
        <f t="shared" si="14"/>
        <v>-0.6380797545055592</v>
      </c>
      <c r="R40" s="58">
        <f t="shared" si="15"/>
        <v>0.11590248303499777</v>
      </c>
      <c r="S40" s="31"/>
      <c r="T40" s="33" t="s">
        <v>98</v>
      </c>
      <c r="U40" s="242">
        <f>'[3]Sky West'!$GZ$64</f>
        <v>0</v>
      </c>
      <c r="V40" s="2">
        <f>'[3]Sky West'!$GL$64</f>
        <v>0</v>
      </c>
      <c r="W40" s="58" t="e">
        <f t="shared" si="16"/>
        <v>#DIV/0!</v>
      </c>
      <c r="X40" s="242">
        <f>SUM('[3]Sky West'!$GP$64:$GZ$64)</f>
        <v>0</v>
      </c>
      <c r="Y40" s="2">
        <f>SUM('[3]Sky West'!$GB$64:$GL$64)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2">
        <f>'[3]Shuttle America_Delta'!$GZ$19</f>
        <v>0</v>
      </c>
      <c r="D41" s="2">
        <f>'[3]Shuttle America_Delta'!$GL$19</f>
        <v>0</v>
      </c>
      <c r="E41" s="58" t="e">
        <f t="shared" si="11"/>
        <v>#DIV/0!</v>
      </c>
      <c r="F41" s="2">
        <f>SUM('[3]Shuttle America_Delta'!$GP$19:$GZ$19)</f>
        <v>0</v>
      </c>
      <c r="G41" s="2">
        <f>SUM('[3]Shuttle America_Delta'!$GB$19:$GL$19)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2">
        <f>'[3]Shuttle America_Delta'!$GZ$41</f>
        <v>0</v>
      </c>
      <c r="M41" s="2">
        <f>'[3]Shuttle America_Delta'!$GL$41</f>
        <v>0</v>
      </c>
      <c r="N41" s="58" t="e">
        <f t="shared" si="13"/>
        <v>#DIV/0!</v>
      </c>
      <c r="O41" s="242">
        <f>SUM('[3]Shuttle America_Delta'!$GP$41:$GZ$41)</f>
        <v>0</v>
      </c>
      <c r="P41" s="2">
        <f>SUM('[3]Shuttle America_Delta'!$GB$41:$GL$41)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2">
        <f>'[3]Shuttle America_Delta'!$GZ$64</f>
        <v>0</v>
      </c>
      <c r="V41" s="2">
        <f>'[3]Shuttle America_Delta'!$GL$64</f>
        <v>0</v>
      </c>
      <c r="W41" s="58" t="e">
        <f t="shared" si="16"/>
        <v>#DIV/0!</v>
      </c>
      <c r="X41" s="242">
        <f>SUM('[3]Shuttle America_Delta'!$GP$64:$GZ$64)</f>
        <v>0</v>
      </c>
      <c r="Y41" s="2">
        <f>SUM('[3]Shuttle America_Delta'!$GB$64:$GL$64)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5" t="s">
        <v>167</v>
      </c>
      <c r="C42" s="242">
        <f>'[3]Atlantic Southeast'!$GZ$19</f>
        <v>0</v>
      </c>
      <c r="D42" s="2">
        <f>'[3]Atlantic Southeast'!$GL$19</f>
        <v>0</v>
      </c>
      <c r="E42" s="58" t="e">
        <f t="shared" si="11"/>
        <v>#DIV/0!</v>
      </c>
      <c r="F42" s="2">
        <f>SUM('[3]Atlantic Southeast'!$GP$19:$GZ$19)</f>
        <v>0</v>
      </c>
      <c r="G42" s="2">
        <f>SUM('[3]Atlantic Southeast'!$GB$19:$GL$19)</f>
        <v>0</v>
      </c>
      <c r="H42" s="3" t="e">
        <f t="shared" si="19"/>
        <v>#DIV/0!</v>
      </c>
      <c r="I42" s="58">
        <f t="shared" si="12"/>
        <v>0</v>
      </c>
      <c r="J42" s="31"/>
      <c r="K42" s="295" t="s">
        <v>167</v>
      </c>
      <c r="L42" s="242">
        <f>'[3]Atlantic Southeast'!$GZ$41</f>
        <v>0</v>
      </c>
      <c r="M42" s="2">
        <f>'[3]Atlantic Southeast'!$GL$41</f>
        <v>0</v>
      </c>
      <c r="N42" s="58" t="e">
        <f t="shared" si="13"/>
        <v>#DIV/0!</v>
      </c>
      <c r="O42" s="242">
        <f>SUM('[3]Atlantic Southeast'!$GP$41:$GZ$41)</f>
        <v>0</v>
      </c>
      <c r="P42" s="2">
        <f>SUM('[3]Atlantic Southeast'!$GB$41:$GL$41)</f>
        <v>0</v>
      </c>
      <c r="Q42" s="3" t="e">
        <f t="shared" si="14"/>
        <v>#DIV/0!</v>
      </c>
      <c r="R42" s="58">
        <f t="shared" si="15"/>
        <v>0</v>
      </c>
      <c r="S42" s="31"/>
      <c r="T42" s="295" t="s">
        <v>167</v>
      </c>
      <c r="U42" s="242">
        <f>'[3]Atlantic Southeast'!$GZ$64</f>
        <v>0</v>
      </c>
      <c r="V42" s="2">
        <f>'[3]Atlantic Southeast'!$GL$64</f>
        <v>0</v>
      </c>
      <c r="W42" s="58" t="e">
        <f t="shared" si="16"/>
        <v>#DIV/0!</v>
      </c>
      <c r="X42" s="242">
        <f>SUM('[3]Atlantic Southeast'!$GP$64:$GZ$64)</f>
        <v>0</v>
      </c>
      <c r="Y42" s="2">
        <f>SUM('[3]Atlantic Southeast'!$GB$64:$GL$64)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5"/>
      <c r="C43" s="242"/>
      <c r="E43" s="58"/>
      <c r="F43" s="2"/>
      <c r="I43" s="58"/>
      <c r="J43" s="31"/>
      <c r="K43" s="295"/>
      <c r="L43" s="242"/>
      <c r="N43" s="58"/>
      <c r="O43" s="242"/>
      <c r="P43" s="2"/>
      <c r="Q43" s="3"/>
      <c r="R43" s="58"/>
      <c r="S43" s="31"/>
      <c r="T43" s="295"/>
      <c r="U43" s="242"/>
      <c r="V43" s="2"/>
      <c r="W43" s="58"/>
      <c r="X43" s="242"/>
      <c r="Y43" s="2"/>
      <c r="Z43" s="3"/>
      <c r="AA43" s="58"/>
    </row>
    <row r="44" spans="1:27" ht="14.1" customHeight="1" x14ac:dyDescent="0.2">
      <c r="A44" s="238" t="s">
        <v>47</v>
      </c>
      <c r="B44" s="33"/>
      <c r="C44" s="239">
        <f>[3]Frontier!$GZ$19</f>
        <v>76</v>
      </c>
      <c r="D44" s="115">
        <f>[3]Frontier!$GL$19</f>
        <v>235</v>
      </c>
      <c r="E44" s="241">
        <f>(C44-D44)/D44</f>
        <v>-0.67659574468085104</v>
      </c>
      <c r="F44" s="115">
        <f>SUM([3]Frontier!$GP$19:$GZ$19)</f>
        <v>1224</v>
      </c>
      <c r="G44" s="115">
        <f>SUM([3]Frontier!$GB$19:$GL$19)</f>
        <v>2991</v>
      </c>
      <c r="H44" s="240">
        <f>(F44-G44)/G44</f>
        <v>-0.59077231695085253</v>
      </c>
      <c r="I44" s="241">
        <f>F44/$F$70</f>
        <v>6.1598852570393294E-3</v>
      </c>
      <c r="J44" s="238" t="s">
        <v>47</v>
      </c>
      <c r="K44" s="33"/>
      <c r="L44" s="239">
        <f>[3]Frontier!$GZ$41</f>
        <v>7979</v>
      </c>
      <c r="M44" s="115">
        <f>[3]Frontier!$GL$41</f>
        <v>33811</v>
      </c>
      <c r="N44" s="241">
        <f>(L44-M44)/M44</f>
        <v>-0.76401171216468011</v>
      </c>
      <c r="O44" s="239">
        <f>SUM([3]Frontier!$GP$41:$GZ$41)</f>
        <v>162841</v>
      </c>
      <c r="P44" s="115">
        <f>SUM([3]Frontier!$GB$41:$GL$41)</f>
        <v>466144</v>
      </c>
      <c r="Q44" s="240">
        <f>(O44-P44)/P44</f>
        <v>-0.65066374339259969</v>
      </c>
      <c r="R44" s="241">
        <f>O44/$O$70</f>
        <v>1.2321200309374935E-2</v>
      </c>
      <c r="S44" s="238" t="s">
        <v>47</v>
      </c>
      <c r="T44" s="33"/>
      <c r="U44" s="239">
        <f>[3]Frontier!$GZ$64</f>
        <v>0</v>
      </c>
      <c r="V44" s="115">
        <f>[3]Frontier!$GL$64</f>
        <v>0</v>
      </c>
      <c r="W44" s="241" t="e">
        <f>(U44-V44)/V44</f>
        <v>#DIV/0!</v>
      </c>
      <c r="X44" s="239">
        <f>SUM([3]Frontier!$GP$64:$GZ$64)</f>
        <v>0</v>
      </c>
      <c r="Y44" s="115">
        <f>SUM([3]Frontier!$GB$64:$GL$64)</f>
        <v>0</v>
      </c>
      <c r="Z44" s="240" t="e">
        <f>(X44-Y44)/Y44</f>
        <v>#DIV/0!</v>
      </c>
      <c r="AA44" s="241">
        <f>X44/$X$70</f>
        <v>0</v>
      </c>
    </row>
    <row r="45" spans="1:27" ht="14.1" customHeight="1" x14ac:dyDescent="0.2">
      <c r="A45" s="238"/>
      <c r="B45" s="33"/>
      <c r="C45" s="239"/>
      <c r="D45" s="115"/>
      <c r="E45" s="241"/>
      <c r="F45" s="115"/>
      <c r="G45" s="115"/>
      <c r="H45" s="240"/>
      <c r="I45" s="241"/>
      <c r="J45" s="238"/>
      <c r="K45" s="33"/>
      <c r="L45" s="242"/>
      <c r="N45" s="58"/>
      <c r="O45" s="242"/>
      <c r="P45" s="2"/>
      <c r="Q45" s="3"/>
      <c r="R45" s="58"/>
      <c r="S45" s="238"/>
      <c r="T45" s="33"/>
      <c r="U45" s="242"/>
      <c r="V45" s="2"/>
      <c r="W45" s="58"/>
      <c r="X45" s="242"/>
      <c r="Y45" s="2"/>
      <c r="Z45" s="3"/>
      <c r="AA45" s="58"/>
    </row>
    <row r="46" spans="1:27" ht="14.1" customHeight="1" x14ac:dyDescent="0.2">
      <c r="A46" s="238" t="s">
        <v>48</v>
      </c>
      <c r="B46" s="33"/>
      <c r="C46" s="239">
        <f>[3]Icelandair!$GZ$19</f>
        <v>0</v>
      </c>
      <c r="D46" s="115">
        <f>[3]Icelandair!$GL$19</f>
        <v>32</v>
      </c>
      <c r="E46" s="241">
        <f>(C46-D46)/D46</f>
        <v>-1</v>
      </c>
      <c r="F46" s="115">
        <f>SUM([3]Icelandair!$GP$19:$GZ$19)</f>
        <v>18</v>
      </c>
      <c r="G46" s="115">
        <f>SUM([3]Icelandair!$GB$19:$GL$19)</f>
        <v>474</v>
      </c>
      <c r="H46" s="240">
        <f>(F46-G46)/G46</f>
        <v>-0.96202531645569622</v>
      </c>
      <c r="I46" s="241">
        <f>F46/$F$70</f>
        <v>9.0586547897637202E-5</v>
      </c>
      <c r="J46" s="238" t="s">
        <v>48</v>
      </c>
      <c r="K46" s="33"/>
      <c r="L46" s="239">
        <f>[3]Icelandair!$GZ$41</f>
        <v>0</v>
      </c>
      <c r="M46" s="115">
        <f>[3]Icelandair!$GL$41</f>
        <v>3790</v>
      </c>
      <c r="N46" s="241">
        <f>(L46-M46)/M46</f>
        <v>-1</v>
      </c>
      <c r="O46" s="239">
        <f>SUM([3]Icelandair!$GP$41:$GZ$41)</f>
        <v>2058</v>
      </c>
      <c r="P46" s="115">
        <f>SUM([3]Icelandair!$GB$41:$GL$41)</f>
        <v>78370</v>
      </c>
      <c r="Q46" s="240">
        <f>(O46-P46)/P46</f>
        <v>-0.97373995151205817</v>
      </c>
      <c r="R46" s="241">
        <f>O46/$O$70</f>
        <v>1.5571649791326273E-4</v>
      </c>
      <c r="S46" s="238" t="s">
        <v>48</v>
      </c>
      <c r="T46" s="33"/>
      <c r="U46" s="239">
        <f>[3]Icelandair!$GZ$64</f>
        <v>0</v>
      </c>
      <c r="V46" s="115">
        <f>[3]Icelandair!$GL$64</f>
        <v>5244</v>
      </c>
      <c r="W46" s="241">
        <f>(U46-V46)/V46</f>
        <v>-1</v>
      </c>
      <c r="X46" s="239">
        <f>SUM([3]Icelandair!$GP$64:$GZ$64)</f>
        <v>2574</v>
      </c>
      <c r="Y46" s="115">
        <f>SUM([3]Icelandair!$GB$64:$GL$64)</f>
        <v>315180</v>
      </c>
      <c r="Z46" s="240">
        <f>(X46-Y46)/Y46</f>
        <v>-0.99183323814962876</v>
      </c>
      <c r="AA46" s="241">
        <f>X46/$X$70</f>
        <v>5.4220908113002438E-5</v>
      </c>
    </row>
    <row r="47" spans="1:27" ht="14.1" customHeight="1" x14ac:dyDescent="0.2">
      <c r="A47" s="238"/>
      <c r="B47" s="33"/>
      <c r="C47" s="239"/>
      <c r="D47" s="115"/>
      <c r="E47" s="241"/>
      <c r="F47" s="115"/>
      <c r="G47" s="115"/>
      <c r="H47" s="240"/>
      <c r="I47" s="241"/>
      <c r="J47" s="238"/>
      <c r="K47" s="33"/>
      <c r="L47" s="242"/>
      <c r="N47" s="58"/>
      <c r="O47" s="242"/>
      <c r="P47" s="2"/>
      <c r="Q47" s="3"/>
      <c r="R47" s="58"/>
      <c r="S47" s="238"/>
      <c r="T47" s="33"/>
      <c r="U47" s="242"/>
      <c r="V47" s="2"/>
      <c r="W47" s="58"/>
      <c r="X47" s="242"/>
      <c r="Y47" s="2"/>
      <c r="Z47" s="3"/>
      <c r="AA47" s="58"/>
    </row>
    <row r="48" spans="1:27" ht="14.1" customHeight="1" x14ac:dyDescent="0.2">
      <c r="A48" s="238" t="s">
        <v>201</v>
      </c>
      <c r="B48" s="33"/>
      <c r="C48" s="239">
        <f>'[3]Jet Blue'!$GZ$19</f>
        <v>56</v>
      </c>
      <c r="D48" s="115">
        <f>'[3]Jet Blue'!$GL$19</f>
        <v>182</v>
      </c>
      <c r="E48" s="241">
        <f>(C48-D48)/D48</f>
        <v>-0.69230769230769229</v>
      </c>
      <c r="F48" s="115">
        <f>SUM('[3]Jet Blue'!$GP$19:$GZ$19)</f>
        <v>703</v>
      </c>
      <c r="G48" s="115">
        <f>SUM('[3]Jet Blue'!$GB$19:$GL$19)</f>
        <v>1902</v>
      </c>
      <c r="H48" s="240">
        <f>(F48-G48)/G48</f>
        <v>-0.63038906414300733</v>
      </c>
      <c r="I48" s="241">
        <f>F48/$F$70</f>
        <v>3.537907954002164E-3</v>
      </c>
      <c r="J48" s="238" t="s">
        <v>201</v>
      </c>
      <c r="K48" s="33"/>
      <c r="L48" s="239">
        <f>'[3]Jet Blue'!$GZ$41</f>
        <v>1775</v>
      </c>
      <c r="M48" s="115">
        <f>'[3]Jet Blue'!$GL$41</f>
        <v>15045</v>
      </c>
      <c r="N48" s="241">
        <f>(L48-M48)/M48</f>
        <v>-0.88202060485211031</v>
      </c>
      <c r="O48" s="239">
        <f>SUM('[3]Jet Blue'!$GP$41:$GZ$41)</f>
        <v>36122</v>
      </c>
      <c r="P48" s="115">
        <f>SUM('[3]Jet Blue'!$GB$41:$GL$41)</f>
        <v>210930</v>
      </c>
      <c r="Q48" s="240">
        <f>(O48-P48)/P48</f>
        <v>-0.82874887403403974</v>
      </c>
      <c r="R48" s="241">
        <f>O48/$O$70</f>
        <v>2.7331347607496971E-3</v>
      </c>
      <c r="S48" s="238" t="s">
        <v>201</v>
      </c>
      <c r="T48" s="33"/>
      <c r="U48" s="239">
        <f>'[3]Jet Blue'!$GZ$64</f>
        <v>0</v>
      </c>
      <c r="V48" s="115">
        <f>'[3]Jet Blue'!$GL$64</f>
        <v>0</v>
      </c>
      <c r="W48" s="241" t="e">
        <f>(U48-V48)/V48</f>
        <v>#DIV/0!</v>
      </c>
      <c r="X48" s="239">
        <f>SUM('[3]Jet Blue'!$GP$64:$GZ$64)</f>
        <v>0</v>
      </c>
      <c r="Y48" s="115">
        <f>SUM('[3]Jet Blue'!$GB$64:$GL$64)</f>
        <v>0</v>
      </c>
      <c r="Z48" s="240" t="e">
        <f>(X48-Y48)/Y48</f>
        <v>#DIV/0!</v>
      </c>
      <c r="AA48" s="241">
        <f>X48/$X$70</f>
        <v>0</v>
      </c>
    </row>
    <row r="49" spans="1:27" ht="14.1" customHeight="1" x14ac:dyDescent="0.2">
      <c r="A49" s="238"/>
      <c r="B49" s="33"/>
      <c r="C49" s="239"/>
      <c r="D49" s="115"/>
      <c r="E49" s="241"/>
      <c r="F49" s="115"/>
      <c r="G49" s="115"/>
      <c r="H49" s="240"/>
      <c r="I49" s="241"/>
      <c r="J49" s="238"/>
      <c r="K49" s="33"/>
      <c r="L49" s="242"/>
      <c r="N49" s="58"/>
      <c r="O49" s="242"/>
      <c r="P49" s="2"/>
      <c r="Q49" s="3"/>
      <c r="R49" s="58"/>
      <c r="S49" s="238"/>
      <c r="T49" s="33"/>
      <c r="U49" s="242"/>
      <c r="V49" s="2"/>
      <c r="W49" s="58"/>
      <c r="X49" s="242"/>
      <c r="Y49" s="2"/>
      <c r="Z49" s="3"/>
      <c r="AA49" s="58"/>
    </row>
    <row r="50" spans="1:27" ht="14.1" customHeight="1" x14ac:dyDescent="0.2">
      <c r="A50" s="238" t="s">
        <v>194</v>
      </c>
      <c r="B50" s="33"/>
      <c r="C50" s="239">
        <f>[3]KLM!$GZ$19</f>
        <v>0</v>
      </c>
      <c r="D50" s="115">
        <f>[3]KLM!$GL$19</f>
        <v>34</v>
      </c>
      <c r="E50" s="241">
        <f>(C50-D50)/D50</f>
        <v>-1</v>
      </c>
      <c r="F50" s="115">
        <f>SUM([3]KLM!$GP$19:$GZ$19)</f>
        <v>80</v>
      </c>
      <c r="G50" s="115">
        <f>SUM([3]KLM!$GB$19:$GL$19)</f>
        <v>370</v>
      </c>
      <c r="H50" s="240">
        <f>(F50-G50)/G50</f>
        <v>-0.78378378378378377</v>
      </c>
      <c r="I50" s="241">
        <f>F50/$F$70</f>
        <v>4.0260687954505421E-4</v>
      </c>
      <c r="J50" s="238" t="s">
        <v>194</v>
      </c>
      <c r="K50" s="33"/>
      <c r="L50" s="239">
        <f>[3]KLM!$GZ$41</f>
        <v>0</v>
      </c>
      <c r="M50" s="115">
        <f>[3]KLM!$GL$41</f>
        <v>8770</v>
      </c>
      <c r="N50" s="241">
        <f>(L50-M50)/M50</f>
        <v>-1</v>
      </c>
      <c r="O50" s="239">
        <f>SUM([3]KLM!$GP$41:$GZ$41)</f>
        <v>15968</v>
      </c>
      <c r="P50" s="115">
        <f>SUM([3]KLM!$GB$41:$GL$41)</f>
        <v>88482</v>
      </c>
      <c r="Q50" s="240">
        <f>(O50-P50)/P50</f>
        <v>-0.8195339165027915</v>
      </c>
      <c r="R50" s="241">
        <f>O50/$O$70</f>
        <v>1.2082026427011562E-3</v>
      </c>
      <c r="S50" s="238" t="s">
        <v>194</v>
      </c>
      <c r="T50" s="33"/>
      <c r="U50" s="239">
        <f>[3]KLM!$GZ$64</f>
        <v>0</v>
      </c>
      <c r="V50" s="115">
        <f>[3]KLM!$GL$64</f>
        <v>303352</v>
      </c>
      <c r="W50" s="241">
        <f>(U50-V50)/V50</f>
        <v>-1</v>
      </c>
      <c r="X50" s="239">
        <f>SUM([3]KLM!$GP$64:$GZ$64)</f>
        <v>818409</v>
      </c>
      <c r="Y50" s="115">
        <f>SUM([3]KLM!$GB$64:$GL$64)</f>
        <v>5932306</v>
      </c>
      <c r="Z50" s="240">
        <f>(X50-Y50)/Y50</f>
        <v>-0.86204201199331254</v>
      </c>
      <c r="AA50" s="241">
        <f>X50/$X$70</f>
        <v>1.7239657804139167E-2</v>
      </c>
    </row>
    <row r="51" spans="1:27" ht="14.1" customHeight="1" x14ac:dyDescent="0.2">
      <c r="A51" s="238"/>
      <c r="B51" s="33"/>
      <c r="C51" s="239"/>
      <c r="D51" s="115"/>
      <c r="E51" s="241"/>
      <c r="F51" s="115"/>
      <c r="G51" s="115"/>
      <c r="H51" s="240"/>
      <c r="I51" s="241"/>
      <c r="J51" s="238"/>
      <c r="K51" s="33"/>
      <c r="L51" s="242"/>
      <c r="N51" s="58"/>
      <c r="O51" s="242"/>
      <c r="P51" s="2"/>
      <c r="Q51" s="3"/>
      <c r="R51" s="58"/>
      <c r="S51" s="238"/>
      <c r="T51" s="33"/>
      <c r="U51" s="242"/>
      <c r="V51" s="2"/>
      <c r="W51" s="58"/>
      <c r="X51" s="242"/>
      <c r="Y51" s="2"/>
      <c r="Z51" s="3"/>
      <c r="AA51" s="58"/>
    </row>
    <row r="52" spans="1:27" ht="14.1" customHeight="1" x14ac:dyDescent="0.2">
      <c r="A52" s="243" t="s">
        <v>130</v>
      </c>
      <c r="C52" s="239">
        <f>[3]Southwest!$GZ$19</f>
        <v>553</v>
      </c>
      <c r="D52" s="115">
        <f>[3]Southwest!$GL$19</f>
        <v>1021</v>
      </c>
      <c r="E52" s="241">
        <f>(C52-D52)/D52</f>
        <v>-0.4583741429970617</v>
      </c>
      <c r="F52" s="115">
        <f>SUM([3]Southwest!$GP$19:$GZ$19)</f>
        <v>7848</v>
      </c>
      <c r="G52" s="115">
        <f>SUM([3]Southwest!$GB$19:$GL$19)</f>
        <v>14537</v>
      </c>
      <c r="H52" s="240">
        <f>(F52-G52)/G52</f>
        <v>-0.46013620416867307</v>
      </c>
      <c r="I52" s="241">
        <f>F52/$F$70</f>
        <v>3.9495734883369819E-2</v>
      </c>
      <c r="J52" s="243" t="s">
        <v>130</v>
      </c>
      <c r="L52" s="239">
        <f>[3]Southwest!$GZ$41</f>
        <v>37643</v>
      </c>
      <c r="M52" s="115">
        <f>[3]Southwest!$GL$41</f>
        <v>119212</v>
      </c>
      <c r="N52" s="241">
        <f>(L52-M52)/M52</f>
        <v>-0.6842348085763178</v>
      </c>
      <c r="O52" s="239">
        <f>SUM([3]Southwest!$GP$41:$GZ$41)</f>
        <v>612421</v>
      </c>
      <c r="P52" s="115">
        <f>SUM([3]Southwest!$GB$41:$GL$41)</f>
        <v>1690202</v>
      </c>
      <c r="Q52" s="240">
        <f>(O52-P52)/P52</f>
        <v>-0.6376640188569177</v>
      </c>
      <c r="R52" s="241">
        <f>O52/$O$70</f>
        <v>4.6338218352059417E-2</v>
      </c>
      <c r="S52" s="238" t="s">
        <v>130</v>
      </c>
      <c r="T52" s="33"/>
      <c r="U52" s="239">
        <f>[3]Southwest!$GZ$64</f>
        <v>288982</v>
      </c>
      <c r="V52" s="115">
        <f>[3]Southwest!$GL$64</f>
        <v>273921</v>
      </c>
      <c r="W52" s="241">
        <f>(U52-V52)/V52</f>
        <v>5.4983006049189362E-2</v>
      </c>
      <c r="X52" s="239">
        <f>SUM([3]Southwest!$GP$64:$GZ$64)</f>
        <v>2814147</v>
      </c>
      <c r="Y52" s="115">
        <f>SUM([3]Southwest!$GB$64:$GL$64)</f>
        <v>3489029</v>
      </c>
      <c r="Z52" s="240">
        <f>(X52-Y52)/Y52</f>
        <v>-0.19342974793273429</v>
      </c>
      <c r="AA52" s="241">
        <f>X52/$X$70</f>
        <v>5.9279567173069724E-2</v>
      </c>
    </row>
    <row r="53" spans="1:27" ht="14.1" customHeight="1" x14ac:dyDescent="0.2">
      <c r="A53" s="238"/>
      <c r="B53" s="33"/>
      <c r="C53" s="239"/>
      <c r="D53" s="115"/>
      <c r="E53" s="241"/>
      <c r="F53" s="115"/>
      <c r="G53" s="115"/>
      <c r="H53" s="240"/>
      <c r="I53" s="241"/>
      <c r="J53" s="238"/>
      <c r="K53" s="33"/>
      <c r="L53" s="242"/>
      <c r="N53" s="58"/>
      <c r="O53" s="242"/>
      <c r="P53" s="2"/>
      <c r="Q53" s="3"/>
      <c r="R53" s="58"/>
      <c r="S53" s="238"/>
      <c r="T53" s="33"/>
      <c r="U53" s="242"/>
      <c r="V53" s="2"/>
      <c r="W53" s="58"/>
      <c r="X53" s="242"/>
      <c r="Y53" s="2"/>
      <c r="Z53" s="3"/>
      <c r="AA53" s="58"/>
    </row>
    <row r="54" spans="1:27" ht="14.1" customHeight="1" x14ac:dyDescent="0.2">
      <c r="A54" s="238" t="s">
        <v>156</v>
      </c>
      <c r="B54" s="33"/>
      <c r="C54" s="239">
        <f>[3]Spirit!$GZ$19</f>
        <v>230</v>
      </c>
      <c r="D54" s="115">
        <f>[3]Spirit!$GL$19</f>
        <v>642</v>
      </c>
      <c r="E54" s="241">
        <f>(C54-D54)/D54</f>
        <v>-0.64174454828660432</v>
      </c>
      <c r="F54" s="115">
        <f>SUM([3]Spirit!$GP$19:$GZ$19)</f>
        <v>3290</v>
      </c>
      <c r="G54" s="115">
        <f>SUM([3]Spirit!$GB$19:$GL$19)</f>
        <v>7034</v>
      </c>
      <c r="H54" s="240">
        <f>(F54-G54)/G54</f>
        <v>-0.53227182257605909</v>
      </c>
      <c r="I54" s="241">
        <f>F54/$F$70</f>
        <v>1.6557207921290354E-2</v>
      </c>
      <c r="J54" s="238" t="s">
        <v>156</v>
      </c>
      <c r="K54" s="33"/>
      <c r="L54" s="239">
        <f>[3]Spirit!$GZ$41</f>
        <v>27355</v>
      </c>
      <c r="M54" s="115">
        <f>[3]Spirit!$GL$41</f>
        <v>90870</v>
      </c>
      <c r="N54" s="241">
        <f>(L54-M54)/M54</f>
        <v>-0.69896555518873116</v>
      </c>
      <c r="O54" s="239">
        <f>SUM([3]Spirit!$GP$41:$GZ$41)</f>
        <v>416438</v>
      </c>
      <c r="P54" s="115">
        <f>SUM([3]Spirit!$GB$41:$GL$41)</f>
        <v>1062325</v>
      </c>
      <c r="Q54" s="240">
        <f>(O54-P54)/P54</f>
        <v>-0.60799378721201136</v>
      </c>
      <c r="R54" s="241">
        <f>O54/$O$70</f>
        <v>3.150936198153708E-2</v>
      </c>
      <c r="S54" s="238" t="s">
        <v>156</v>
      </c>
      <c r="T54" s="33"/>
      <c r="U54" s="239">
        <f>[3]Spirit!$GZ$64</f>
        <v>0</v>
      </c>
      <c r="V54" s="115">
        <f>[3]Spirit!$GL$64</f>
        <v>0</v>
      </c>
      <c r="W54" s="241" t="e">
        <f>(U54-V54)/V54</f>
        <v>#DIV/0!</v>
      </c>
      <c r="X54" s="239">
        <f>SUM([3]Spirit!$GP$64:$GZ$64)</f>
        <v>0</v>
      </c>
      <c r="Y54" s="115">
        <f>SUM([3]Spirit!$GB$64:$GL$64)</f>
        <v>0</v>
      </c>
      <c r="Z54" s="240" t="e">
        <f>(X54-Y54)/Y54</f>
        <v>#DIV/0!</v>
      </c>
      <c r="AA54" s="241">
        <f>X54/$X$70</f>
        <v>0</v>
      </c>
    </row>
    <row r="55" spans="1:27" ht="14.1" customHeight="1" x14ac:dyDescent="0.2">
      <c r="A55" s="238"/>
      <c r="B55" s="33"/>
      <c r="C55" s="239"/>
      <c r="D55" s="115"/>
      <c r="E55" s="241"/>
      <c r="F55" s="115"/>
      <c r="G55" s="115"/>
      <c r="H55" s="240"/>
      <c r="I55" s="241"/>
      <c r="J55" s="238"/>
      <c r="K55" s="33"/>
      <c r="L55" s="242"/>
      <c r="N55" s="58"/>
      <c r="O55" s="242"/>
      <c r="P55" s="2"/>
      <c r="Q55" s="3"/>
      <c r="R55" s="58"/>
      <c r="S55" s="238"/>
      <c r="T55" s="33"/>
      <c r="U55" s="242"/>
      <c r="V55" s="2"/>
      <c r="W55" s="58"/>
      <c r="X55" s="242"/>
      <c r="Y55" s="2"/>
      <c r="Z55" s="3"/>
      <c r="AA55" s="58">
        <f>X55/$X$70</f>
        <v>0</v>
      </c>
    </row>
    <row r="56" spans="1:27" ht="14.1" customHeight="1" x14ac:dyDescent="0.2">
      <c r="A56" s="238" t="s">
        <v>49</v>
      </c>
      <c r="B56" s="33"/>
      <c r="C56" s="239">
        <f>'[3]Sun Country'!$GZ$19</f>
        <v>1271</v>
      </c>
      <c r="D56" s="115">
        <f>'[3]Sun Country'!$GL$19</f>
        <v>1668</v>
      </c>
      <c r="E56" s="241">
        <f>(C56-D56)/D56</f>
        <v>-0.23800959232613908</v>
      </c>
      <c r="F56" s="115">
        <f>SUM('[3]Sun Country'!$GP$19:$GZ$19)</f>
        <v>12508</v>
      </c>
      <c r="G56" s="115">
        <f>SUM('[3]Sun Country'!$GB$19:$GL$19)</f>
        <v>19263</v>
      </c>
      <c r="H56" s="240">
        <f>(F56-G56)/G56</f>
        <v>-0.3506722732699995</v>
      </c>
      <c r="I56" s="241">
        <f>F56/$F$70</f>
        <v>6.2947585616869223E-2</v>
      </c>
      <c r="J56" s="238" t="s">
        <v>49</v>
      </c>
      <c r="K56" s="33"/>
      <c r="L56" s="239">
        <f>'[3]Sun Country'!$GZ$41</f>
        <v>119663</v>
      </c>
      <c r="M56" s="115">
        <f>'[3]Sun Country'!$GL$41</f>
        <v>220027</v>
      </c>
      <c r="N56" s="241">
        <f>(L56-M56)/M56</f>
        <v>-0.45614401868861548</v>
      </c>
      <c r="O56" s="239">
        <f>SUM('[3]Sun Country'!$GP$41:$GZ$41)</f>
        <v>1369890</v>
      </c>
      <c r="P56" s="115">
        <f>SUM('[3]Sun Country'!$GB$41:$GL$41)</f>
        <v>2592204</v>
      </c>
      <c r="Q56" s="240">
        <f>(O56-P56)/P56</f>
        <v>-0.4715346477360578</v>
      </c>
      <c r="R56" s="241">
        <f>O56/$O$70</f>
        <v>0.10365134758328449</v>
      </c>
      <c r="S56" s="238" t="s">
        <v>49</v>
      </c>
      <c r="T56" s="33"/>
      <c r="U56" s="239">
        <f>'[3]Sun Country'!$GZ$64</f>
        <v>374085</v>
      </c>
      <c r="V56" s="115">
        <f>'[3]Sun Country'!$GL$64</f>
        <v>740869</v>
      </c>
      <c r="W56" s="241">
        <f>(U56-V56)/V56</f>
        <v>-0.4950726781657756</v>
      </c>
      <c r="X56" s="239">
        <f>SUM('[3]Sun Country'!$GP$64:$GZ$64)</f>
        <v>3533425</v>
      </c>
      <c r="Y56" s="115">
        <f>SUM('[3]Sun Country'!$GB$64:$GL$64)</f>
        <v>8834129</v>
      </c>
      <c r="Z56" s="240">
        <f>(X56-Y56)/Y56</f>
        <v>-0.60002565051970602</v>
      </c>
      <c r="AA56" s="241">
        <f>X56/$X$70</f>
        <v>7.4431045939854557E-2</v>
      </c>
    </row>
    <row r="57" spans="1:27" ht="14.1" customHeight="1" x14ac:dyDescent="0.2">
      <c r="A57" s="238"/>
      <c r="B57" s="33"/>
      <c r="C57" s="239"/>
      <c r="D57" s="115"/>
      <c r="E57" s="241"/>
      <c r="F57" s="115"/>
      <c r="G57" s="115"/>
      <c r="H57" s="240"/>
      <c r="I57" s="241"/>
      <c r="J57" s="238"/>
      <c r="K57" s="33"/>
      <c r="L57" s="242"/>
      <c r="N57" s="58"/>
      <c r="O57" s="242"/>
      <c r="P57" s="2"/>
      <c r="Q57" s="3"/>
      <c r="R57" s="58"/>
      <c r="S57" s="238"/>
      <c r="T57" s="33"/>
      <c r="U57" s="242"/>
      <c r="V57" s="2"/>
      <c r="W57" s="58"/>
      <c r="X57" s="242"/>
      <c r="Y57" s="2"/>
      <c r="Z57" s="3"/>
      <c r="AA57" s="58"/>
    </row>
    <row r="58" spans="1:27" ht="14.1" customHeight="1" x14ac:dyDescent="0.2">
      <c r="A58" s="238" t="s">
        <v>19</v>
      </c>
      <c r="B58" s="243"/>
      <c r="C58" s="239">
        <f>SUM(C59:C65)</f>
        <v>680</v>
      </c>
      <c r="D58" s="115">
        <f>SUM(D59:D65)</f>
        <v>1500</v>
      </c>
      <c r="E58" s="241">
        <f t="shared" ref="E58:E65" si="21">(C58-D58)/D58</f>
        <v>-0.54666666666666663</v>
      </c>
      <c r="F58" s="115">
        <f>SUM(F59:F65)</f>
        <v>8261</v>
      </c>
      <c r="G58" s="115">
        <f>SUM(G59:G65)</f>
        <v>16398</v>
      </c>
      <c r="H58" s="240">
        <f t="shared" ref="H58:H65" si="22">(F58-G58)/G58</f>
        <v>-0.49621905110379316</v>
      </c>
      <c r="I58" s="241">
        <f t="shared" ref="I58:I65" si="23">F58/$F$70</f>
        <v>4.1574192899021159E-2</v>
      </c>
      <c r="J58" s="238" t="s">
        <v>19</v>
      </c>
      <c r="K58" s="243"/>
      <c r="L58" s="239">
        <f>SUM(L59:L65)</f>
        <v>43005</v>
      </c>
      <c r="M58" s="115">
        <f>SUM(M59:M65)</f>
        <v>120155</v>
      </c>
      <c r="N58" s="241">
        <f t="shared" ref="N58:N65" si="24">(L58-M58)/M58</f>
        <v>-0.64208730389913027</v>
      </c>
      <c r="O58" s="239">
        <f>SUM(O59:O65)</f>
        <v>529268</v>
      </c>
      <c r="P58" s="115">
        <f>SUM(P59:P65)</f>
        <v>1472959</v>
      </c>
      <c r="Q58" s="240">
        <f t="shared" ref="Q58:Q65" si="25">(O58-P58)/P58</f>
        <v>-0.64067703174358548</v>
      </c>
      <c r="R58" s="241">
        <f t="shared" ref="R58:R65" si="26">O58/$O$70</f>
        <v>4.0046530329230681E-2</v>
      </c>
      <c r="S58" s="238" t="s">
        <v>19</v>
      </c>
      <c r="T58" s="243"/>
      <c r="U58" s="239">
        <f>SUM(U59:U65)</f>
        <v>36714</v>
      </c>
      <c r="V58" s="115">
        <f>SUM(V59:V65)</f>
        <v>140898</v>
      </c>
      <c r="W58" s="241">
        <f t="shared" ref="W58:W65" si="27">(U58-V58)/V58</f>
        <v>-0.73942852276114635</v>
      </c>
      <c r="X58" s="239">
        <f>SUM(X59:X65)</f>
        <v>746010</v>
      </c>
      <c r="Y58" s="115">
        <f>SUM(Y59:Y65)</f>
        <v>1640871</v>
      </c>
      <c r="Z58" s="240">
        <f t="shared" ref="Z58:Z65" si="28">(X58-Y58)/Y58</f>
        <v>-0.54535731328056869</v>
      </c>
      <c r="AA58" s="241">
        <f t="shared" ref="AA58:AA65" si="29">X58/$X$70</f>
        <v>1.5714584173030673E-2</v>
      </c>
    </row>
    <row r="59" spans="1:27" ht="14.1" customHeight="1" x14ac:dyDescent="0.2">
      <c r="A59" s="31"/>
      <c r="B59" s="295" t="s">
        <v>19</v>
      </c>
      <c r="C59" s="242">
        <f>[3]United!$GZ$19</f>
        <v>268</v>
      </c>
      <c r="D59" s="2">
        <f>[3]United!$GL$19+[3]Continental!$GL$19</f>
        <v>498</v>
      </c>
      <c r="E59" s="58">
        <f t="shared" si="21"/>
        <v>-0.46184738955823296</v>
      </c>
      <c r="F59" s="2">
        <f>SUM([3]United!$GP$19:$GZ$19)</f>
        <v>2714</v>
      </c>
      <c r="G59" s="2">
        <f>SUM([3]United!$GB$19:$GL$19)+SUM([3]Continental!$GB$19:$GL$19)</f>
        <v>6544</v>
      </c>
      <c r="H59" s="3">
        <f t="shared" si="22"/>
        <v>-0.58526894865525669</v>
      </c>
      <c r="I59" s="58">
        <f t="shared" si="23"/>
        <v>1.3658438388565964E-2</v>
      </c>
      <c r="J59" s="31"/>
      <c r="K59" s="295" t="s">
        <v>19</v>
      </c>
      <c r="L59" s="242">
        <f>[3]United!$GZ$41</f>
        <v>24865</v>
      </c>
      <c r="M59" s="2">
        <f>[3]United!$GL$41+[3]Continental!$GL$41</f>
        <v>60611</v>
      </c>
      <c r="N59" s="58">
        <f t="shared" si="24"/>
        <v>-0.58976093448383959</v>
      </c>
      <c r="O59" s="242">
        <f>SUM([3]United!$GP$41:$GZ$41)</f>
        <v>266411</v>
      </c>
      <c r="P59" s="2">
        <f>SUM([3]United!$GB$41:$GL$41)+SUM([3]Continental!$GB$41:$GL$41)</f>
        <v>861547</v>
      </c>
      <c r="Q59" s="3">
        <f t="shared" si="25"/>
        <v>-0.69077601105917608</v>
      </c>
      <c r="R59" s="58">
        <f t="shared" si="26"/>
        <v>2.015772008045201E-2</v>
      </c>
      <c r="S59" s="31"/>
      <c r="T59" s="295" t="s">
        <v>19</v>
      </c>
      <c r="U59" s="242">
        <f>[3]United!$GZ$64</f>
        <v>36714</v>
      </c>
      <c r="V59" s="2">
        <f>[3]United!$GL$64+[3]Continental!$GL$64</f>
        <v>140898</v>
      </c>
      <c r="W59" s="58">
        <f t="shared" si="27"/>
        <v>-0.73942852276114635</v>
      </c>
      <c r="X59" s="242">
        <f>SUM([3]United!$GP$64:$GZ$64)</f>
        <v>746010</v>
      </c>
      <c r="Y59" s="2">
        <f>SUM([3]United!$GB$64:$GL$64)+SUM([3]Continental!$GB$64:$GL$64)</f>
        <v>1640871</v>
      </c>
      <c r="Z59" s="3">
        <f t="shared" si="28"/>
        <v>-0.54535731328056869</v>
      </c>
      <c r="AA59" s="58">
        <f t="shared" si="29"/>
        <v>1.5714584173030673E-2</v>
      </c>
    </row>
    <row r="60" spans="1:27" ht="14.1" customHeight="1" x14ac:dyDescent="0.2">
      <c r="A60" s="31"/>
      <c r="B60" s="295" t="s">
        <v>167</v>
      </c>
      <c r="C60" s="242">
        <f>'[3]Continental Express'!$GZ$19</f>
        <v>0</v>
      </c>
      <c r="D60" s="2">
        <f>'[3]Continental Express'!$GL$19</f>
        <v>102</v>
      </c>
      <c r="E60" s="58">
        <f t="shared" si="21"/>
        <v>-1</v>
      </c>
      <c r="F60" s="2">
        <f>SUM('[3]Continental Express'!$GP$19:$GZ$19)</f>
        <v>236</v>
      </c>
      <c r="G60" s="2">
        <f>SUM('[3]Continental Express'!$GB$19:$GL$19)</f>
        <v>602</v>
      </c>
      <c r="H60" s="3">
        <f t="shared" si="22"/>
        <v>-0.60797342192691028</v>
      </c>
      <c r="I60" s="58">
        <f t="shared" si="23"/>
        <v>1.18769029465791E-3</v>
      </c>
      <c r="J60" s="31"/>
      <c r="K60" s="295" t="s">
        <v>167</v>
      </c>
      <c r="L60" s="242">
        <f>'[3]Continental Express'!$GZ$41</f>
        <v>0</v>
      </c>
      <c r="M60" s="2">
        <f>'[3]Continental Express'!$GL$41</f>
        <v>5836</v>
      </c>
      <c r="N60" s="58">
        <f t="shared" si="24"/>
        <v>-1</v>
      </c>
      <c r="O60" s="242">
        <f>SUM('[3]Continental Express'!$GP$41:$GZ$41)</f>
        <v>10983</v>
      </c>
      <c r="P60" s="2">
        <f>SUM('[3]Continental Express'!$GB$41:$GL$41)</f>
        <v>33162</v>
      </c>
      <c r="Q60" s="3">
        <f t="shared" si="25"/>
        <v>-0.66880767143115616</v>
      </c>
      <c r="R60" s="58">
        <f t="shared" si="26"/>
        <v>8.3101763682282047E-4</v>
      </c>
      <c r="S60" s="31"/>
      <c r="T60" s="295" t="s">
        <v>167</v>
      </c>
      <c r="U60" s="242">
        <f>'[3]Continental Express'!$GZ$64</f>
        <v>0</v>
      </c>
      <c r="V60" s="2">
        <f>'[3]Continental Express'!$GL$64</f>
        <v>0</v>
      </c>
      <c r="W60" s="58" t="e">
        <f t="shared" si="27"/>
        <v>#DIV/0!</v>
      </c>
      <c r="X60" s="242">
        <f>SUM('[3]Continental Express'!$GP$64:$GZ$64)</f>
        <v>0</v>
      </c>
      <c r="Y60" s="2">
        <f>SUM('[3]Continental Express'!$GB$64:$GL$64)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2">
        <f>'[3]Go Jet_UA'!$GZ$19</f>
        <v>2</v>
      </c>
      <c r="D61" s="2">
        <f>'[3]Go Jet_UA'!$GL$19</f>
        <v>6</v>
      </c>
      <c r="E61" s="58">
        <f t="shared" si="21"/>
        <v>-0.66666666666666663</v>
      </c>
      <c r="F61" s="2">
        <f>SUM('[3]Go Jet_UA'!$GP$19:$GZ$19)</f>
        <v>4</v>
      </c>
      <c r="G61" s="2">
        <f>SUM('[3]Go Jet_UA'!$GB$19:$GL$19)</f>
        <v>86</v>
      </c>
      <c r="H61" s="3">
        <f t="shared" si="22"/>
        <v>-0.95348837209302328</v>
      </c>
      <c r="I61" s="58">
        <f t="shared" si="23"/>
        <v>2.013034397725271E-5</v>
      </c>
      <c r="J61" s="31"/>
      <c r="K61" s="33" t="s">
        <v>155</v>
      </c>
      <c r="L61" s="242">
        <f>'[3]Go Jet_UA'!$GZ$41</f>
        <v>34</v>
      </c>
      <c r="M61" s="2">
        <f>'[3]Go Jet_UA'!$GL$41</f>
        <v>324</v>
      </c>
      <c r="N61" s="58">
        <f t="shared" si="24"/>
        <v>-0.89506172839506171</v>
      </c>
      <c r="O61" s="242">
        <f>SUM('[3]Go Jet_UA'!$GP$41:$GZ$41)</f>
        <v>117</v>
      </c>
      <c r="P61" s="2">
        <f>SUM('[3]Go Jet_UA'!$GB$41:$GL$41)</f>
        <v>5282</v>
      </c>
      <c r="Q61" s="3">
        <f t="shared" si="25"/>
        <v>-0.97784929950776223</v>
      </c>
      <c r="R61" s="58">
        <f t="shared" si="26"/>
        <v>8.8526871991505057E-6</v>
      </c>
      <c r="S61" s="31"/>
      <c r="T61" s="33" t="s">
        <v>155</v>
      </c>
      <c r="U61" s="242">
        <f>'[3]Go Jet_UA'!$GZ$64</f>
        <v>0</v>
      </c>
      <c r="V61" s="2">
        <f>'[3]Go Jet_UA'!$GL$64</f>
        <v>0</v>
      </c>
      <c r="W61" s="58" t="e">
        <f t="shared" si="27"/>
        <v>#DIV/0!</v>
      </c>
      <c r="X61" s="242">
        <f>SUM('[3]Go Jet_UA'!$GP$64:$GZ$64)</f>
        <v>0</v>
      </c>
      <c r="Y61" s="2">
        <f>SUM('[3]Go Jet_UA'!$GB$64:$GL$64)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2">
        <f>[3]MESA_UA!$GZ$19</f>
        <v>117</v>
      </c>
      <c r="D62" s="2">
        <f>[3]MESA_UA!$GL$19</f>
        <v>274</v>
      </c>
      <c r="E62" s="58">
        <f t="shared" si="21"/>
        <v>-0.57299270072992703</v>
      </c>
      <c r="F62" s="2">
        <f>SUM([3]MESA_UA!$GP$19:$GZ$19)</f>
        <v>1668</v>
      </c>
      <c r="G62" s="2">
        <f>SUM([3]MESA_UA!$GB$19:$GL$19)</f>
        <v>2506</v>
      </c>
      <c r="H62" s="3">
        <f>(F62-G62)/G62</f>
        <v>-0.33439744612928968</v>
      </c>
      <c r="I62" s="58">
        <f t="shared" si="23"/>
        <v>8.3943534385143813E-3</v>
      </c>
      <c r="J62" s="31"/>
      <c r="K62" s="33" t="s">
        <v>51</v>
      </c>
      <c r="L62" s="242">
        <f>[3]MESA_UA!$GZ$41</f>
        <v>5811</v>
      </c>
      <c r="M62" s="2">
        <f>[3]MESA_UA!$GL$41</f>
        <v>15703</v>
      </c>
      <c r="N62" s="58">
        <f t="shared" si="24"/>
        <v>-0.62994332293192379</v>
      </c>
      <c r="O62" s="242">
        <f>SUM([3]MESA_UA!$GP$41:$GZ$41)</f>
        <v>80098</v>
      </c>
      <c r="P62" s="2">
        <f>SUM([3]MESA_UA!$GB$41:$GL$41)</f>
        <v>158074</v>
      </c>
      <c r="Q62" s="3">
        <f t="shared" si="25"/>
        <v>-0.49328795374318357</v>
      </c>
      <c r="R62" s="58">
        <f t="shared" si="26"/>
        <v>6.0605345237398052E-3</v>
      </c>
      <c r="S62" s="31"/>
      <c r="T62" s="33" t="s">
        <v>51</v>
      </c>
      <c r="U62" s="242">
        <f>[3]MESA_UA!$GZ$64</f>
        <v>0</v>
      </c>
      <c r="V62" s="2">
        <f>[3]MESA_UA!$GL$64</f>
        <v>0</v>
      </c>
      <c r="W62" s="58" t="e">
        <f t="shared" si="27"/>
        <v>#DIV/0!</v>
      </c>
      <c r="X62" s="242">
        <f>SUM([3]MESA_UA!$GP$64:$GZ$64)</f>
        <v>0</v>
      </c>
      <c r="Y62" s="2">
        <f>SUM([3]MESA_UA!$GB$64:$GL$64)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5" t="s">
        <v>52</v>
      </c>
      <c r="C63" s="242">
        <f>[3]Republic_UA!$GZ$19</f>
        <v>121</v>
      </c>
      <c r="D63" s="2">
        <f>[3]Republic_UA!$GL$19</f>
        <v>496</v>
      </c>
      <c r="E63" s="58">
        <f t="shared" si="21"/>
        <v>-0.75604838709677424</v>
      </c>
      <c r="F63" s="2">
        <f>SUM([3]Republic_UA!$GP$19:$GZ$19)</f>
        <v>2039</v>
      </c>
      <c r="G63" s="2">
        <f>SUM([3]Republic_UA!$GB$19:$GL$19)</f>
        <v>5338</v>
      </c>
      <c r="H63" s="3">
        <f t="shared" ref="H63" si="30">(F63-G63)/G63</f>
        <v>-0.61802173098538782</v>
      </c>
      <c r="I63" s="58">
        <f t="shared" si="23"/>
        <v>1.0261442842404569E-2</v>
      </c>
      <c r="J63" s="31"/>
      <c r="K63" s="295" t="s">
        <v>52</v>
      </c>
      <c r="L63" s="242">
        <f>[3]Republic_UA!$GZ$41</f>
        <v>5040</v>
      </c>
      <c r="M63" s="2">
        <f>[3]Republic_UA!$GL$41</f>
        <v>29915</v>
      </c>
      <c r="N63" s="58">
        <f t="shared" si="24"/>
        <v>-0.8315226475012536</v>
      </c>
      <c r="O63" s="242">
        <f>SUM([3]Republic_UA!$GP$41:$GZ$41)</f>
        <v>91722</v>
      </c>
      <c r="P63" s="2">
        <f>SUM([3]Republic_UA!$GB$41:$GL$41)</f>
        <v>329207</v>
      </c>
      <c r="Q63" s="3">
        <f t="shared" si="25"/>
        <v>-0.72138502522728865</v>
      </c>
      <c r="R63" s="58">
        <f t="shared" si="26"/>
        <v>6.9400527801750655E-3</v>
      </c>
      <c r="S63" s="31"/>
      <c r="T63" s="295" t="s">
        <v>52</v>
      </c>
      <c r="U63" s="242">
        <f>[3]Republic_UA!$GZ$64</f>
        <v>0</v>
      </c>
      <c r="V63" s="2">
        <f>[3]Republic_UA!$GL$64</f>
        <v>0</v>
      </c>
      <c r="W63" s="58" t="e">
        <f t="shared" si="27"/>
        <v>#DIV/0!</v>
      </c>
      <c r="X63" s="242">
        <f>SUM([3]Republic_UA!$GP$64:$GZ$64)</f>
        <v>0</v>
      </c>
      <c r="Y63" s="2">
        <f>SUM([3]Republic_UA!$GB$64:$GL$64)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2">
        <f>'[3]Sky West_UA'!$GZ$19</f>
        <v>172</v>
      </c>
      <c r="D64" s="2">
        <f>'[3]Sky West_UA'!$GL$19+'[3]Sky West_CO'!$GL$19</f>
        <v>124</v>
      </c>
      <c r="E64" s="58">
        <f t="shared" si="21"/>
        <v>0.38709677419354838</v>
      </c>
      <c r="F64" s="2">
        <f>SUM('[3]Sky West_UA'!$GP$19:$GZ$19)</f>
        <v>1600</v>
      </c>
      <c r="G64" s="2">
        <f>SUM('[3]Sky West_UA'!$GB$19:$GL$19)+SUM('[3]Sky West_CO'!$GB$19:$GL$19)</f>
        <v>1322</v>
      </c>
      <c r="H64" s="3">
        <f t="shared" si="22"/>
        <v>0.2102874432677761</v>
      </c>
      <c r="I64" s="58">
        <f t="shared" si="23"/>
        <v>8.0521375909010841E-3</v>
      </c>
      <c r="J64" s="31"/>
      <c r="K64" s="33" t="s">
        <v>98</v>
      </c>
      <c r="L64" s="242">
        <f>'[3]Sky West_UA'!$GZ$41</f>
        <v>7255</v>
      </c>
      <c r="M64" s="2">
        <f>'[3]Sky West_UA'!$GL$41+'[3]Sky West_CO'!$GL$41</f>
        <v>7766</v>
      </c>
      <c r="N64" s="58">
        <f t="shared" si="24"/>
        <v>-6.579963945403039E-2</v>
      </c>
      <c r="O64" s="242">
        <f>SUM('[3]Sky West_UA'!$GP$41:$GZ$41)</f>
        <v>79937</v>
      </c>
      <c r="P64" s="2">
        <f>SUM('[3]Sky West_UA'!$GB$41:$GL$41)+SUM('[3]Sky West_CO'!$GB$41:$GL$41)</f>
        <v>85687</v>
      </c>
      <c r="Q64" s="3">
        <f t="shared" si="25"/>
        <v>-6.7104694994573277E-2</v>
      </c>
      <c r="R64" s="58">
        <f t="shared" si="26"/>
        <v>6.0483526208418284E-3</v>
      </c>
      <c r="S64" s="31"/>
      <c r="T64" s="33" t="s">
        <v>98</v>
      </c>
      <c r="U64" s="242">
        <f>'[3]Sky West_UA'!$GZ$64</f>
        <v>0</v>
      </c>
      <c r="V64" s="2">
        <f>'[3]Sky West_UA'!$GL$64+'[3]Sky West_CO'!$GL$64</f>
        <v>0</v>
      </c>
      <c r="W64" s="58" t="e">
        <f t="shared" si="27"/>
        <v>#DIV/0!</v>
      </c>
      <c r="X64" s="242">
        <f>SUM('[3]Sky West_UA'!$GP$64:$GZ$64)</f>
        <v>0</v>
      </c>
      <c r="Y64" s="2">
        <f>SUM('[3]Sky West_UA'!$GB$64:$GL$64)+SUM('[3]Sky West_CO'!$GB$64:$GL$64)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4" t="s">
        <v>132</v>
      </c>
      <c r="C65" s="242">
        <f>'[3]Shuttle America'!$GZ$19</f>
        <v>0</v>
      </c>
      <c r="D65" s="2">
        <f>'[3]Shuttle America'!$GL$19</f>
        <v>0</v>
      </c>
      <c r="E65" s="58" t="e">
        <f t="shared" si="21"/>
        <v>#DIV/0!</v>
      </c>
      <c r="F65" s="2">
        <f>SUM('[3]Shuttle America'!$GP$19:$GZ$19)</f>
        <v>0</v>
      </c>
      <c r="G65" s="2">
        <f>SUM('[3]Shuttle America'!$GB$19:$GL$19)</f>
        <v>0</v>
      </c>
      <c r="H65" s="3" t="e">
        <f t="shared" si="22"/>
        <v>#DIV/0!</v>
      </c>
      <c r="I65" s="58">
        <f t="shared" si="23"/>
        <v>0</v>
      </c>
      <c r="J65" s="31"/>
      <c r="K65" s="244" t="s">
        <v>132</v>
      </c>
      <c r="L65" s="242">
        <f>'[3]Shuttle America'!$GZ$41</f>
        <v>0</v>
      </c>
      <c r="M65" s="2">
        <f>'[3]Shuttle America'!$GL$41</f>
        <v>0</v>
      </c>
      <c r="N65" s="58" t="e">
        <f t="shared" si="24"/>
        <v>#DIV/0!</v>
      </c>
      <c r="O65" s="242">
        <f>SUM('[3]Shuttle America'!$GP$41:$GZ$41)</f>
        <v>0</v>
      </c>
      <c r="P65" s="2">
        <f>SUM('[3]Shuttle America'!$GB$41:$GL$41)</f>
        <v>0</v>
      </c>
      <c r="Q65" s="3" t="e">
        <f t="shared" si="25"/>
        <v>#DIV/0!</v>
      </c>
      <c r="R65" s="58">
        <f t="shared" si="26"/>
        <v>0</v>
      </c>
      <c r="S65" s="31"/>
      <c r="T65" s="244" t="s">
        <v>132</v>
      </c>
      <c r="U65" s="242">
        <f>'[3]Shuttle America'!$GZ$64</f>
        <v>0</v>
      </c>
      <c r="V65" s="2">
        <f>'[3]Shuttle America'!$GL$64</f>
        <v>0</v>
      </c>
      <c r="W65" s="58" t="e">
        <f t="shared" si="27"/>
        <v>#DIV/0!</v>
      </c>
      <c r="X65" s="242">
        <f>SUM('[3]Shuttle America'!$GP$64:$GZ$64)</f>
        <v>0</v>
      </c>
      <c r="Y65" s="2">
        <f>SUM('[3]Shuttle America'!$GB$64:$GL$64)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7"/>
      <c r="B66" s="298"/>
      <c r="C66" s="245"/>
      <c r="D66" s="247"/>
      <c r="E66" s="248"/>
      <c r="F66" s="247"/>
      <c r="G66" s="247"/>
      <c r="H66" s="246"/>
      <c r="I66" s="248"/>
      <c r="J66" s="297"/>
      <c r="K66" s="298"/>
      <c r="L66" s="245"/>
      <c r="M66" s="247"/>
      <c r="N66" s="248"/>
      <c r="O66" s="245"/>
      <c r="P66" s="247"/>
      <c r="Q66" s="246"/>
      <c r="R66" s="325"/>
      <c r="S66" s="297"/>
      <c r="T66" s="298"/>
      <c r="U66" s="245"/>
      <c r="V66" s="247"/>
      <c r="W66" s="248"/>
      <c r="X66" s="245"/>
      <c r="Y66" s="247"/>
      <c r="Z66" s="246"/>
      <c r="AA66" s="325"/>
    </row>
    <row r="67" spans="1:27" s="142" customFormat="1" ht="14.1" customHeight="1" thickBot="1" x14ac:dyDescent="0.25">
      <c r="B67" s="141"/>
      <c r="C67" s="115"/>
      <c r="D67" s="115"/>
      <c r="E67" s="240"/>
      <c r="F67" s="296"/>
      <c r="G67" s="115"/>
      <c r="H67" s="240"/>
      <c r="I67" s="240"/>
      <c r="J67" s="249"/>
      <c r="K67" s="141"/>
      <c r="L67" s="250"/>
      <c r="M67" s="251"/>
      <c r="N67" s="249"/>
      <c r="S67" s="249"/>
      <c r="T67" s="141"/>
      <c r="U67" s="250"/>
      <c r="V67" s="251"/>
      <c r="W67" s="249"/>
    </row>
    <row r="68" spans="1:27" ht="14.1" customHeight="1" x14ac:dyDescent="0.2">
      <c r="B68" s="252" t="s">
        <v>134</v>
      </c>
      <c r="C68" s="305">
        <f>+C70-C69</f>
        <v>9564</v>
      </c>
      <c r="D68" s="305">
        <f>+D70-D69</f>
        <v>18210</v>
      </c>
      <c r="E68" s="306">
        <f>(C68-D68)/D68</f>
        <v>-0.47479406919275124</v>
      </c>
      <c r="F68" s="305">
        <f>+F70-F69</f>
        <v>109072</v>
      </c>
      <c r="G68" s="305">
        <f>+G70-G69</f>
        <v>211521</v>
      </c>
      <c r="H68" s="306">
        <f>(F68-G68)/G68</f>
        <v>-0.48434434406040061</v>
      </c>
      <c r="I68" s="347">
        <f>F68/$F$70</f>
        <v>0.54891421957172692</v>
      </c>
      <c r="K68" s="252" t="s">
        <v>134</v>
      </c>
      <c r="L68" s="305">
        <f>+L70-L69</f>
        <v>692306</v>
      </c>
      <c r="M68" s="305">
        <f>+M70-M69</f>
        <v>2316801</v>
      </c>
      <c r="N68" s="306">
        <f>(L68-M68)/M68</f>
        <v>-0.70118020494638944</v>
      </c>
      <c r="O68" s="305">
        <f>+O70-O69</f>
        <v>10109313</v>
      </c>
      <c r="P68" s="305">
        <f>+P70-P69</f>
        <v>28311897</v>
      </c>
      <c r="Q68" s="338">
        <f>(O68-P68)/P68</f>
        <v>-0.6429305673159238</v>
      </c>
      <c r="R68" s="342">
        <f>+O68/O70</f>
        <v>0.76491098963509219</v>
      </c>
      <c r="S68" s="3"/>
      <c r="T68" s="252" t="s">
        <v>134</v>
      </c>
      <c r="U68" s="305">
        <f>+U70-U69</f>
        <v>2720458</v>
      </c>
      <c r="V68" s="305">
        <f>+V70-V69</f>
        <v>8803509</v>
      </c>
      <c r="W68" s="306">
        <f>(U68-V68)/V68</f>
        <v>-0.69098026707305005</v>
      </c>
      <c r="X68" s="305">
        <f>+X70-X69</f>
        <v>47440723</v>
      </c>
      <c r="Y68" s="305">
        <f>+Y70-Y69</f>
        <v>112503884</v>
      </c>
      <c r="Z68" s="338">
        <f>(X68-Y68)/Y68</f>
        <v>-0.5783192427383218</v>
      </c>
      <c r="AA68" s="342">
        <f>+X68/X70</f>
        <v>0.99933142292051336</v>
      </c>
    </row>
    <row r="69" spans="1:27" ht="14.1" customHeight="1" x14ac:dyDescent="0.2">
      <c r="B69" s="141" t="s">
        <v>135</v>
      </c>
      <c r="C69" s="307">
        <f>C65+C42+C40+C38+C37+C41+C22+C64+C61+C39+C60+C62+C27+C26+C23+C17+C8+C63+C24+C25+C9+C18</f>
        <v>9432</v>
      </c>
      <c r="D69" s="307">
        <f>D65+D42+D40+D38+D37+D41+D22+D64+D61+D39+D60+D62+D27+D26+D23+D17+D8+D63+D24+D25+D9+D18</f>
        <v>10660</v>
      </c>
      <c r="E69" s="253">
        <f>(C69-D69)/D69</f>
        <v>-0.11519699812382739</v>
      </c>
      <c r="F69" s="307">
        <f>F65+F42+F40+F38+F37+F41+F22+F64+F61+F39+F60+F62+F27+F26+F23+F17+F8+F63+F24+F25+F9+F18</f>
        <v>89633</v>
      </c>
      <c r="G69" s="307">
        <f>G65+G42+G40+G38+G37+G41+G22+G64+G61+G39+G60+G62+G27+G26+G23+G17+G8+G63+G24+G25+G9+G18</f>
        <v>130380</v>
      </c>
      <c r="H69" s="253">
        <f>(F69-G69)/G69</f>
        <v>-0.31252492713606383</v>
      </c>
      <c r="I69" s="348">
        <f>F69/$F$70</f>
        <v>0.45108578042827308</v>
      </c>
      <c r="K69" s="141" t="s">
        <v>135</v>
      </c>
      <c r="L69" s="307">
        <f>L65+L42+L40+L38+L37+L41+L22+L64+L61+L39+L60+L62+L27+L26+L23+L17+L8+L63+L24+L25+L9+L18</f>
        <v>266972</v>
      </c>
      <c r="M69" s="307">
        <f>M65+M42+M40+M38+M37+M41+M22+M64+M61+M39+M60+M62+M27+M26+M23+M17+M8+M63+M24+M25+M9+M18</f>
        <v>558749</v>
      </c>
      <c r="N69" s="253">
        <f>(L69-M69)/M69</f>
        <v>-0.52219690773495786</v>
      </c>
      <c r="O69" s="307">
        <f>O65+O42+O40+O38+O37+O41+O22+O64+O61+O39+O60+O62+O27+O26+O23+O17+O8+O63+O24+O25+O9+O18</f>
        <v>3107013</v>
      </c>
      <c r="P69" s="307">
        <f>P65+P42+P40+P38+P37+P41+P22+P64+P61+P39+P60+P62+P27+P26+P23+P17+P8+P63+P24+P25+P9+P18</f>
        <v>6905713</v>
      </c>
      <c r="Q69" s="336">
        <f>(O69-P69)/P69</f>
        <v>-0.55008078094180857</v>
      </c>
      <c r="R69" s="343">
        <f>+O69/O70</f>
        <v>0.23508901036490776</v>
      </c>
      <c r="S69" s="3"/>
      <c r="T69" s="141" t="s">
        <v>135</v>
      </c>
      <c r="U69" s="307">
        <f>U65+U42+U40+U38+U37+U41+U22+U64+U61+U39+U60+U62+U27+U26+U23+U17+U8+U63+U24+U25+U9+U18</f>
        <v>1167</v>
      </c>
      <c r="V69" s="307">
        <f>V65+V42+V40+V38+V37+V41+V22+V64+V61+V39+V60+V62+V27+V26+V23+V17+V8+V63+V24+V25+V9+V18</f>
        <v>9674</v>
      </c>
      <c r="W69" s="253">
        <f>(U69-V69)/V69</f>
        <v>-0.87936737647302043</v>
      </c>
      <c r="X69" s="307">
        <f>X65+X42+X40+X38+X37+X41+X22+X64+X61+X39+X60+X62+X27+X26+X23+X17+X8+X63+X24+X25+X9+X18</f>
        <v>31739</v>
      </c>
      <c r="Y69" s="307">
        <f>Y65+Y42+Y40+Y38+Y37+Y41+Y22+Y64+Y61+Y39+Y60+Y62+Y27+Y26+Y23+Y17+Y8+Y63+Y24+Y25+Y9+Y18</f>
        <v>106933</v>
      </c>
      <c r="Z69" s="336">
        <f>(X69-Y69)/Y69</f>
        <v>-0.70318797751863316</v>
      </c>
      <c r="AA69" s="343">
        <f>+X69/X70</f>
        <v>6.6857707948662958E-4</v>
      </c>
    </row>
    <row r="70" spans="1:27" ht="14.1" customHeight="1" thickBot="1" x14ac:dyDescent="0.25">
      <c r="B70" s="141" t="s">
        <v>136</v>
      </c>
      <c r="C70" s="308">
        <f>C58+C56+C52+C46+C44+C35+C20+C15+C6+C54+C31+C29+C11+C50+C13+C48+C4+C33</f>
        <v>18996</v>
      </c>
      <c r="D70" s="308">
        <f>D58+D56+D52+D46+D44+D35+D20+D15+D6+D54+D31+D29+D11+D50+D13+D48+D4+D33</f>
        <v>28870</v>
      </c>
      <c r="E70" s="309">
        <f>(C70-D70)/D70</f>
        <v>-0.3420159334949775</v>
      </c>
      <c r="F70" s="308">
        <f>F58+F56+F52+F46+F44+F35+F20+F15+F6+F54+F31+F29+F11+F50+F13+F48+F4+F33</f>
        <v>198705</v>
      </c>
      <c r="G70" s="308">
        <f>G58+G56+G52+G46+G44+G35+G20+G15+G6+G54+G31+G29+G11+G50+G13+G48+G4+G33</f>
        <v>341901</v>
      </c>
      <c r="H70" s="309">
        <f>(F70-G70)/G70</f>
        <v>-0.41882299262067091</v>
      </c>
      <c r="I70" s="349">
        <f>+H70/H70</f>
        <v>1</v>
      </c>
      <c r="K70" s="141" t="s">
        <v>136</v>
      </c>
      <c r="L70" s="308">
        <f>L58+L56+L52+L46+L44+L35+L20+L15+L6+L54+L31+L29+L11+L50+L13+L48+L4+L33</f>
        <v>959278</v>
      </c>
      <c r="M70" s="308">
        <f>M58+M56+M52+M46+M44+M35+M20+M15+M6+M54+M31+M29+M11+M50+M13+M48+M4+M33</f>
        <v>2875550</v>
      </c>
      <c r="N70" s="309">
        <f>(L70-M70)/M70</f>
        <v>-0.66640190572238356</v>
      </c>
      <c r="O70" s="308">
        <f>O58+O56+O52+O46+O44+O35+O20+O15+O6+O54+O31+O29+O11+O50+O13+O48+O4+O33</f>
        <v>13216326</v>
      </c>
      <c r="P70" s="308">
        <f>P58+P56+P52+P46+P44+P35+P20+P15+P6+P54+P31+P29+P11+P50+P13+P48+P4+P33</f>
        <v>35217610</v>
      </c>
      <c r="Q70" s="339">
        <f>(O70-P70)/P70</f>
        <v>-0.62472393782542313</v>
      </c>
      <c r="R70" s="344">
        <f>+O70/O70</f>
        <v>1</v>
      </c>
      <c r="S70" s="3"/>
      <c r="T70" s="141" t="s">
        <v>136</v>
      </c>
      <c r="U70" s="308">
        <f>U58+U56+U52+U46+U44+U35+U20+U15+U6+U54+U31+U29+U11+U50+U13+U48+U4+U33</f>
        <v>2721625</v>
      </c>
      <c r="V70" s="308">
        <f>V58+V56+V52+V46+V44+V35+V20+V15+V6+V54+V31+V29+V11+V50+V13+V48+V4+V33</f>
        <v>8813183</v>
      </c>
      <c r="W70" s="309">
        <f>(U70-V70)/V70</f>
        <v>-0.69118705466572061</v>
      </c>
      <c r="X70" s="308">
        <f>X58+X56+X52+X46+X44+X35+X20+X15+X6+X54+X31+X29+X11+X50+X13+X48+X4+X33</f>
        <v>47472462</v>
      </c>
      <c r="Y70" s="308">
        <f>Y58+Y56+Y52+Y46+Y44+Y35+Y20+Y15+Y6+Y54+Y31+Y29+Y11+Y50+Y13+Y48+Y4+Y33</f>
        <v>112610817</v>
      </c>
      <c r="Z70" s="339">
        <f>(X70-Y70)/Y70</f>
        <v>-0.57843781561410745</v>
      </c>
      <c r="AA70" s="344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3"/>
      <c r="K142"/>
    </row>
    <row r="143" spans="4:14" x14ac:dyDescent="0.2">
      <c r="F143" s="143"/>
      <c r="K143"/>
    </row>
    <row r="144" spans="4:14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  <row r="4671" spans="6:11" x14ac:dyDescent="0.2">
      <c r="F4671" s="143"/>
      <c r="K4671"/>
    </row>
    <row r="4672" spans="6:11" x14ac:dyDescent="0.2">
      <c r="F4672" s="143"/>
      <c r="K4672"/>
    </row>
    <row r="4673" spans="6:11" x14ac:dyDescent="0.2">
      <c r="F4673" s="143"/>
      <c r="K4673"/>
    </row>
    <row r="4674" spans="6:11" x14ac:dyDescent="0.2">
      <c r="F4674" s="143"/>
      <c r="K4674"/>
    </row>
    <row r="4675" spans="6:11" x14ac:dyDescent="0.2">
      <c r="F4675" s="143"/>
      <c r="K4675"/>
    </row>
    <row r="4676" spans="6:11" x14ac:dyDescent="0.2">
      <c r="F4676" s="143"/>
      <c r="K4676"/>
    </row>
    <row r="4677" spans="6:11" x14ac:dyDescent="0.2">
      <c r="F4677" s="143"/>
      <c r="K4677"/>
    </row>
    <row r="4678" spans="6:11" x14ac:dyDescent="0.2">
      <c r="F4678" s="143"/>
      <c r="K4678"/>
    </row>
    <row r="4679" spans="6:11" x14ac:dyDescent="0.2">
      <c r="F4679" s="143"/>
      <c r="K4679"/>
    </row>
    <row r="4680" spans="6:11" x14ac:dyDescent="0.2">
      <c r="F4680" s="143"/>
      <c r="K4680"/>
    </row>
    <row r="4681" spans="6:11" x14ac:dyDescent="0.2">
      <c r="F4681" s="143"/>
      <c r="K4681"/>
    </row>
    <row r="4682" spans="6:11" x14ac:dyDescent="0.2">
      <c r="F4682" s="143"/>
      <c r="K4682"/>
    </row>
    <row r="4683" spans="6:11" x14ac:dyDescent="0.2">
      <c r="F4683" s="143"/>
      <c r="K4683"/>
    </row>
    <row r="4684" spans="6:11" x14ac:dyDescent="0.2">
      <c r="F4684" s="143"/>
      <c r="K4684"/>
    </row>
    <row r="4685" spans="6:11" x14ac:dyDescent="0.2">
      <c r="F4685" s="143"/>
      <c r="K4685"/>
    </row>
    <row r="4686" spans="6:11" x14ac:dyDescent="0.2">
      <c r="F4686" s="143"/>
      <c r="K4686"/>
    </row>
    <row r="4687" spans="6:11" x14ac:dyDescent="0.2">
      <c r="F4687" s="143"/>
      <c r="K4687"/>
    </row>
    <row r="4688" spans="6:11" x14ac:dyDescent="0.2">
      <c r="F4688" s="143"/>
      <c r="K4688"/>
    </row>
    <row r="4689" spans="6:11" x14ac:dyDescent="0.2">
      <c r="F4689" s="143"/>
      <c r="K4689"/>
    </row>
    <row r="4690" spans="6:11" x14ac:dyDescent="0.2">
      <c r="F4690" s="143"/>
      <c r="K4690"/>
    </row>
    <row r="4691" spans="6:11" x14ac:dyDescent="0.2">
      <c r="F4691" s="143"/>
      <c r="K4691"/>
    </row>
    <row r="4692" spans="6:11" x14ac:dyDescent="0.2">
      <c r="F4692" s="143"/>
      <c r="K4692"/>
    </row>
    <row r="4693" spans="6:11" x14ac:dyDescent="0.2">
      <c r="F4693" s="143"/>
      <c r="K4693"/>
    </row>
    <row r="4694" spans="6:11" x14ac:dyDescent="0.2">
      <c r="F4694" s="143"/>
      <c r="K4694"/>
    </row>
    <row r="4695" spans="6:11" x14ac:dyDescent="0.2">
      <c r="F4695" s="143"/>
      <c r="K4695"/>
    </row>
    <row r="4696" spans="6:11" x14ac:dyDescent="0.2">
      <c r="F4696" s="143"/>
      <c r="K4696"/>
    </row>
    <row r="4697" spans="6:11" x14ac:dyDescent="0.2">
      <c r="F4697" s="143"/>
      <c r="K4697"/>
    </row>
    <row r="4698" spans="6:11" x14ac:dyDescent="0.2">
      <c r="F4698" s="143"/>
      <c r="K4698"/>
    </row>
    <row r="4699" spans="6:11" x14ac:dyDescent="0.2">
      <c r="F4699" s="143"/>
      <c r="K4699"/>
    </row>
    <row r="4700" spans="6:11" x14ac:dyDescent="0.2">
      <c r="F4700" s="143"/>
      <c r="K4700"/>
    </row>
    <row r="4701" spans="6:11" x14ac:dyDescent="0.2">
      <c r="F4701" s="143"/>
      <c r="K4701"/>
    </row>
    <row r="4702" spans="6:11" x14ac:dyDescent="0.2">
      <c r="F4702" s="143"/>
      <c r="K4702"/>
    </row>
    <row r="4703" spans="6:11" x14ac:dyDescent="0.2">
      <c r="F4703" s="143"/>
      <c r="K4703"/>
    </row>
    <row r="4704" spans="6:11" x14ac:dyDescent="0.2">
      <c r="F4704" s="143"/>
      <c r="K4704"/>
    </row>
    <row r="4705" spans="6:11" x14ac:dyDescent="0.2">
      <c r="F4705" s="143"/>
      <c r="K4705"/>
    </row>
    <row r="4706" spans="6:11" x14ac:dyDescent="0.2">
      <c r="F4706" s="143"/>
      <c r="K4706"/>
    </row>
    <row r="4707" spans="6:11" x14ac:dyDescent="0.2">
      <c r="F4707" s="143"/>
      <c r="K4707"/>
    </row>
    <row r="4708" spans="6:11" x14ac:dyDescent="0.2">
      <c r="F4708" s="143"/>
      <c r="K4708"/>
    </row>
    <row r="4709" spans="6:11" x14ac:dyDescent="0.2">
      <c r="F4709" s="143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November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2020-09-16T21:35:09Z</cp:lastPrinted>
  <dcterms:created xsi:type="dcterms:W3CDTF">2007-09-24T12:26:24Z</dcterms:created>
  <dcterms:modified xsi:type="dcterms:W3CDTF">2022-04-01T15:59:23Z</dcterms:modified>
</cp:coreProperties>
</file>