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F25B86CC-2770-40ED-A741-989D780A9791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5" l="1"/>
  <c r="G20" i="5"/>
  <c r="G16" i="5"/>
  <c r="G15" i="5"/>
  <c r="G11" i="5"/>
  <c r="G10" i="5"/>
  <c r="G6" i="5"/>
  <c r="G5" i="5"/>
  <c r="J21" i="5"/>
  <c r="J20" i="5"/>
  <c r="J16" i="5"/>
  <c r="J15" i="5"/>
  <c r="J11" i="5"/>
  <c r="J10" i="5"/>
  <c r="J6" i="5"/>
  <c r="J5" i="5"/>
  <c r="M30" i="7"/>
  <c r="L30" i="7"/>
  <c r="O31" i="7"/>
  <c r="J31" i="7"/>
  <c r="C30" i="7"/>
  <c r="B30" i="7"/>
  <c r="E31" i="7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Y57" i="9"/>
  <c r="V57" i="9"/>
  <c r="P57" i="9"/>
  <c r="M57" i="9"/>
  <c r="G57" i="9"/>
  <c r="D57" i="9"/>
  <c r="Y55" i="9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X57" i="9"/>
  <c r="U57" i="9"/>
  <c r="O57" i="9"/>
  <c r="L57" i="9"/>
  <c r="F57" i="9"/>
  <c r="C57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M29" i="7"/>
  <c r="L29" i="7"/>
  <c r="O30" i="7"/>
  <c r="J30" i="7"/>
  <c r="C29" i="7"/>
  <c r="B29" i="7"/>
  <c r="E30" i="7"/>
  <c r="N29" i="7" l="1"/>
  <c r="N30" i="7"/>
  <c r="O29" i="7"/>
  <c r="M28" i="7"/>
  <c r="L28" i="7"/>
  <c r="J29" i="7"/>
  <c r="C28" i="7"/>
  <c r="B28" i="7"/>
  <c r="N28" i="7" l="1"/>
  <c r="E29" i="7"/>
  <c r="D28" i="7"/>
  <c r="M27" i="7"/>
  <c r="L27" i="7"/>
  <c r="O28" i="7"/>
  <c r="J28" i="7"/>
  <c r="C27" i="7"/>
  <c r="B27" i="7"/>
  <c r="E28" i="7"/>
  <c r="E22" i="1" l="1"/>
  <c r="H22" i="1"/>
  <c r="N27" i="7"/>
  <c r="D27" i="7"/>
  <c r="M26" i="7"/>
  <c r="L26" i="7"/>
  <c r="M25" i="7"/>
  <c r="L25" i="7"/>
  <c r="O27" i="7"/>
  <c r="J27" i="7"/>
  <c r="C26" i="7"/>
  <c r="B26" i="7"/>
  <c r="E27" i="7"/>
  <c r="N26" i="7" l="1"/>
  <c r="N25" i="7"/>
  <c r="D26" i="7"/>
  <c r="H6" i="7"/>
  <c r="H5" i="7"/>
  <c r="L5" i="15"/>
  <c r="W57" i="9"/>
  <c r="N57" i="9"/>
  <c r="Q57" i="9"/>
  <c r="Z57" i="9"/>
  <c r="F12" i="7"/>
  <c r="F7" i="7"/>
  <c r="E57" i="9"/>
  <c r="H57" i="9"/>
  <c r="O26" i="7" l="1"/>
  <c r="J26" i="7"/>
  <c r="C25" i="7"/>
  <c r="B25" i="7"/>
  <c r="E26" i="7"/>
  <c r="E25" i="7"/>
  <c r="O25" i="7"/>
  <c r="M24" i="7"/>
  <c r="L24" i="7"/>
  <c r="J25" i="7"/>
  <c r="C24" i="7"/>
  <c r="B24" i="7"/>
  <c r="N24" i="7" l="1"/>
  <c r="K16" i="3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D25" i="7"/>
  <c r="O24" i="7"/>
  <c r="M23" i="7"/>
  <c r="L23" i="7"/>
  <c r="J24" i="7"/>
  <c r="B23" i="7"/>
  <c r="C23" i="7"/>
  <c r="E24" i="7"/>
  <c r="N23" i="7" l="1"/>
  <c r="E61" i="9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C31" i="7" l="1"/>
  <c r="B31" i="7"/>
  <c r="H18" i="8"/>
  <c r="H31" i="8"/>
  <c r="H32" i="8"/>
  <c r="H28" i="8"/>
  <c r="D31" i="7" l="1"/>
  <c r="D30" i="7"/>
  <c r="D29" i="7"/>
  <c r="D24" i="7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H11" i="1" s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K18" i="3" l="1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7" i="1" l="1"/>
  <c r="F7" i="1"/>
  <c r="G18" i="1"/>
  <c r="F18" i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D6" i="1"/>
  <c r="G6" i="1" s="1"/>
  <c r="C8" i="1"/>
  <c r="C33" i="7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D16" i="1"/>
  <c r="G16" i="1" s="1"/>
  <c r="C7" i="5"/>
  <c r="E5" i="5"/>
  <c r="F5" i="5" s="1"/>
  <c r="I5" i="5" s="1"/>
  <c r="D22" i="1" l="1"/>
  <c r="F22" i="1" s="1"/>
  <c r="B22" i="1"/>
  <c r="C33" i="1"/>
  <c r="B32" i="1"/>
  <c r="D32" i="1" s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31" i="7" s="1"/>
  <c r="H31" i="7" s="1"/>
  <c r="B11" i="1"/>
  <c r="L31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D27" i="1" s="1"/>
  <c r="G27" i="1" s="1"/>
  <c r="F17" i="1"/>
  <c r="N31" i="7" l="1"/>
  <c r="P31" i="7" s="1"/>
  <c r="G31" i="7"/>
  <c r="H29" i="7"/>
  <c r="H30" i="7"/>
  <c r="G30" i="7"/>
  <c r="G22" i="1"/>
  <c r="I22" i="1" s="1"/>
  <c r="P29" i="7"/>
  <c r="G29" i="7"/>
  <c r="G28" i="7"/>
  <c r="H27" i="7"/>
  <c r="H28" i="7"/>
  <c r="P27" i="7"/>
  <c r="G27" i="7"/>
  <c r="G25" i="7"/>
  <c r="G26" i="7"/>
  <c r="H26" i="7"/>
  <c r="H24" i="7"/>
  <c r="H25" i="7"/>
  <c r="P24" i="7"/>
  <c r="G24" i="7"/>
  <c r="H22" i="7"/>
  <c r="G22" i="7"/>
  <c r="N2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I17" i="1"/>
  <c r="D11" i="1"/>
  <c r="F11" i="1" s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31" i="7" l="1"/>
  <c r="K31" i="7" s="1"/>
  <c r="I30" i="7"/>
  <c r="K30" i="7" s="1"/>
  <c r="I29" i="7"/>
  <c r="K29" i="7" s="1"/>
  <c r="I28" i="7"/>
  <c r="K28" i="7" s="1"/>
  <c r="I27" i="7"/>
  <c r="K27" i="7" s="1"/>
  <c r="I24" i="7"/>
  <c r="K24" i="7" s="1"/>
  <c r="I26" i="7"/>
  <c r="K26" i="7" s="1"/>
  <c r="P26" i="7"/>
  <c r="I25" i="7"/>
  <c r="K25" i="7" s="1"/>
  <c r="P25" i="7"/>
  <c r="I22" i="7"/>
  <c r="K22" i="7" s="1"/>
  <c r="P32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I21" i="7" l="1"/>
  <c r="P21" i="7"/>
  <c r="K21" i="7" l="1"/>
  <c r="G33" i="7"/>
  <c r="B33" i="7"/>
  <c r="D23" i="7"/>
  <c r="D33" i="7" s="1"/>
  <c r="F33" i="7" l="1"/>
  <c r="I23" i="7"/>
  <c r="F23" i="7"/>
  <c r="K23" i="7" l="1"/>
  <c r="I33" i="7"/>
  <c r="K33" i="7" l="1"/>
</calcChain>
</file>

<file path=xl/sharedStrings.xml><?xml version="1.0" encoding="utf-8"?>
<sst xmlns="http://schemas.openxmlformats.org/spreadsheetml/2006/main" count="676" uniqueCount="252">
  <si>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</si>
  <si>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</si>
  <si>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</si>
  <si>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</si>
  <si>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</si>
  <si>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</si>
  <si>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</si>
  <si>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</si>
  <si>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</si>
  <si>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</si>
  <si>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</si>
  <si>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</si>
  <si>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</si>
  <si>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</si>
  <si>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</si>
  <si>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</si>
  <si>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</si>
  <si>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</si>
  <si>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</si>
  <si>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</si>
  <si>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</si>
  <si>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</si>
  <si>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</si>
  <si>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</si>
  <si>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</si>
  <si>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</si>
  <si>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</si>
  <si>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</si>
  <si>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</si>
  <si>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</si>
  <si>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</si>
  <si>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</si>
  <si>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</si>
  <si>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</si>
  <si>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</si>
  <si>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</si>
  <si>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</si>
  <si>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</si>
  <si>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</si>
  <si>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</si>
  <si>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</si>
  <si>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</si>
  <si>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</si>
  <si>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</si>
  <si>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</si>
  <si>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</si>
  <si>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</si>
  <si>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</si>
  <si>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</si>
  <si>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</si>
  <si>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</si>
  <si>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</si>
  <si>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</si>
  <si>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</si>
  <si>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</si>
  <si>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</si>
  <si>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</si>
  <si>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</si>
  <si>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</si>
  <si>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</si>
  <si>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</si>
  <si>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</si>
  <si>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</si>
  <si>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</si>
  <si>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</si>
  <si>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</si>
  <si>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</si>
  <si>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</si>
  <si>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</si>
  <si>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</si>
  <si>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</si>
  <si>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</si>
  <si>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</si>
  <si>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</si>
  <si>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</si>
  <si>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</si>
  <si>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</si>
  <si>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</si>
  <si>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</si>
  <si>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</si>
  <si>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</si>
  <si>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</si>
  <si>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</si>
  <si>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</si>
  <si>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</si>
  <si>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</si>
  <si>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</si>
  <si>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</si>
  <si>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</si>
  <si>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</si>
  <si>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</si>
  <si>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</si>
  <si>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</si>
  <si>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</si>
  <si>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</si>
  <si>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</si>
  <si>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</si>
  <si>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</si>
  <si>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</si>
  <si>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</si>
  <si>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</si>
  <si>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</si>
  <si>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</si>
  <si>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</si>
  <si>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</si>
  <si>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</si>
  <si>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</si>
  <si>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</si>
  <si>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</si>
  <si>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</si>
  <si>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</si>
  <si>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</si>
  <si>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</si>
  <si>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</si>
  <si>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</si>
  <si>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</si>
  <si>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</si>
  <si>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</si>
  <si>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</si>
  <si>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</si>
  <si>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</si>
  <si>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</si>
  <si>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</si>
  <si>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</si>
  <si>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</si>
  <si>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</si>
  <si>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</si>
  <si>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</si>
  <si>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</si>
  <si>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</si>
  <si>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</si>
  <si>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</si>
  <si>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</si>
  <si>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</si>
  <si>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</si>
  <si>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</si>
  <si>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</si>
  <si>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</si>
  <si>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</si>
  <si>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</si>
  <si>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</si>
  <si>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</si>
  <si>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</si>
  <si>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</si>
  <si>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</si>
  <si>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</si>
  <si>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</si>
  <si>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</si>
  <si>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</si>
  <si>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</si>
  <si>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</si>
  <si>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</si>
  <si>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</si>
  <si>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</si>
  <si>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</si>
  <si>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</si>
  <si>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</si>
  <si>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</si>
  <si>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</si>
  <si>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</si>
  <si>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</si>
  <si>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</si>
  <si>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</si>
  <si>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</si>
  <si>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</si>
  <si>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</si>
  <si>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</si>
  <si>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</si>
  <si>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</si>
  <si>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</si>
  <si>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</si>
  <si>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</si>
  <si>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</si>
  <si>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</si>
  <si>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</si>
  <si>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</si>
  <si>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</si>
  <si>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</si>
  <si>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</si>
  <si>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</si>
  <si>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</si>
  <si>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</si>
  <si>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</si>
  <si>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</si>
  <si>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</si>
  <si>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</si>
  <si>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</si>
  <si>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</si>
  <si>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</si>
  <si>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</si>
  <si>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</si>
  <si>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</si>
  <si>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</si>
  <si>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</si>
  <si>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</si>
  <si>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</si>
  <si>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</si>
  <si>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</si>
  <si>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</si>
  <si>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</si>
  <si>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</si>
  <si>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</si>
  <si>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</si>
  <si>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</si>
  <si>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</si>
  <si>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</si>
  <si>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</si>
  <si>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</si>
  <si>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</si>
  <si>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</si>
  <si>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</si>
  <si>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</si>
  <si>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</si>
  <si>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</si>
  <si>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</si>
  <si>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</si>
  <si>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</si>
  <si>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</si>
  <si>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</si>
  <si>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</si>
  <si>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</si>
  <si>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</si>
  <si>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</si>
  <si>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</si>
  <si>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</si>
  <si>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</si>
  <si>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</si>
  <si>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</si>
  <si>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</si>
  <si>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</si>
  <si>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</si>
  <si>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</si>
  <si>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</si>
  <si>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</si>
  <si>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</si>
  <si>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</si>
  <si>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</si>
  <si>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</si>
  <si>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</si>
  <si>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</si>
  <si>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</si>
  <si>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</si>
  <si>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</si>
  <si>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</si>
  <si>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</si>
  <si>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</si>
  <si>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WestJet</t>
  </si>
  <si>
    <t>Red Way</t>
  </si>
  <si>
    <t>.</t>
  </si>
  <si>
    <t>Air Wisconsin-American</t>
  </si>
  <si>
    <t>Jazz_AC- Air Canada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</si>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</sst>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Novem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MSP%20Octobe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MSP%20July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July%202022.xlsx" TargetMode="External"/><Relationship Id="rId1" Type="http://schemas.openxmlformats.org/officeDocument/2006/relationships/externalLinkPath" Target="/data/Finance%20Stats/Monthly%20Operations%20report/2022/MSP%20July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MSP%20August%20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ugust%20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MSP%20September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September%202022.xlsx" TargetMode="External"/><Relationship Id="rId1" Type="http://schemas.openxmlformats.org/officeDocument/2006/relationships/externalLinkPath" Target="/data/Finance%20Stats/Monthly%20Operations%20report/2022/MSP%20September%20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October%202022.xlsx" TargetMode="External"/><Relationship Id="rId1" Type="http://schemas.openxmlformats.org/officeDocument/2006/relationships/externalLinkPath" Target="/data/Finance%20Stats/Monthly%20Operations%20report/2022/MSP%20Oc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2067779</v>
          </cell>
          <cell r="G5">
            <v>23139138</v>
          </cell>
        </row>
        <row r="6">
          <cell r="D6">
            <v>381137</v>
          </cell>
          <cell r="G6">
            <v>4784620</v>
          </cell>
        </row>
        <row r="7">
          <cell r="D7">
            <v>626</v>
          </cell>
          <cell r="G7">
            <v>6170</v>
          </cell>
        </row>
        <row r="10">
          <cell r="D10">
            <v>76185</v>
          </cell>
          <cell r="G10">
            <v>819439</v>
          </cell>
        </row>
        <row r="16">
          <cell r="D16">
            <v>15000</v>
          </cell>
          <cell r="G16">
            <v>165517</v>
          </cell>
        </row>
        <row r="17">
          <cell r="D17">
            <v>6655</v>
          </cell>
          <cell r="G17">
            <v>88890</v>
          </cell>
        </row>
        <row r="18">
          <cell r="D18">
            <v>8</v>
          </cell>
          <cell r="G18">
            <v>60</v>
          </cell>
        </row>
        <row r="19">
          <cell r="D19">
            <v>1354</v>
          </cell>
          <cell r="G19">
            <v>14245</v>
          </cell>
        </row>
        <row r="20">
          <cell r="D20">
            <v>1467</v>
          </cell>
          <cell r="G20">
            <v>16270</v>
          </cell>
        </row>
        <row r="21">
          <cell r="D21">
            <v>70</v>
          </cell>
          <cell r="G21">
            <v>850</v>
          </cell>
        </row>
        <row r="27">
          <cell r="D27">
            <v>17778.973422276991</v>
          </cell>
          <cell r="G27">
            <v>189472.66777554314</v>
          </cell>
        </row>
        <row r="28">
          <cell r="D28">
            <v>1934.8476958033298</v>
          </cell>
          <cell r="G28">
            <v>26734.373409710424</v>
          </cell>
        </row>
        <row r="32">
          <cell r="B32">
            <v>836199</v>
          </cell>
          <cell r="D32">
            <v>9584637</v>
          </cell>
        </row>
        <row r="33">
          <cell r="B33">
            <v>392552</v>
          </cell>
          <cell r="D33">
            <v>4359979</v>
          </cell>
        </row>
      </sheetData>
      <sheetData sheetId="1"/>
      <sheetData sheetId="2"/>
      <sheetData sheetId="3"/>
      <sheetData sheetId="4"/>
      <sheetData sheetId="5">
        <row r="31">
          <cell r="D31">
            <v>148527</v>
          </cell>
          <cell r="I31">
            <v>2377200</v>
          </cell>
          <cell r="N31">
            <v>2525727</v>
          </cell>
        </row>
      </sheetData>
      <sheetData sheetId="6"/>
      <sheetData sheetId="7">
        <row r="5">
          <cell r="F5">
            <v>9788.8585493614301</v>
          </cell>
          <cell r="I5">
            <v>104980.25108982826</v>
          </cell>
        </row>
        <row r="6">
          <cell r="F6">
            <v>1034.7444398837699</v>
          </cell>
          <cell r="I6">
            <v>15046.488986937098</v>
          </cell>
        </row>
        <row r="10">
          <cell r="F10">
            <v>7990.1148729155602</v>
          </cell>
          <cell r="I10">
            <v>84492.416685714881</v>
          </cell>
        </row>
        <row r="11">
          <cell r="F11">
            <v>900.10325591955996</v>
          </cell>
          <cell r="I11">
            <v>11687.884422773326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17778.973422276991</v>
          </cell>
          <cell r="I20">
            <v>189472.66777554317</v>
          </cell>
        </row>
        <row r="21">
          <cell r="F21">
            <v>1934.84769580333</v>
          </cell>
          <cell r="I21">
            <v>26734.373409710432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25043546</v>
          </cell>
        </row>
        <row r="6">
          <cell r="G6">
            <v>3357566</v>
          </cell>
        </row>
        <row r="7">
          <cell r="G7">
            <v>3390</v>
          </cell>
        </row>
        <row r="10">
          <cell r="G10">
            <v>810674</v>
          </cell>
        </row>
        <row r="16">
          <cell r="G16">
            <v>180876</v>
          </cell>
        </row>
        <row r="17">
          <cell r="G17">
            <v>62343</v>
          </cell>
        </row>
        <row r="18">
          <cell r="G18">
            <v>58</v>
          </cell>
        </row>
        <row r="19">
          <cell r="G19">
            <v>11579</v>
          </cell>
        </row>
        <row r="20">
          <cell r="G20">
            <v>15146</v>
          </cell>
        </row>
        <row r="21">
          <cell r="G21">
            <v>567</v>
          </cell>
        </row>
        <row r="27">
          <cell r="G27">
            <v>157540.34080841611</v>
          </cell>
        </row>
        <row r="28">
          <cell r="G28">
            <v>10371.15140405575</v>
          </cell>
        </row>
        <row r="32">
          <cell r="D32">
            <v>9653434</v>
          </cell>
        </row>
        <row r="33">
          <cell r="D33">
            <v>4518659</v>
          </cell>
        </row>
      </sheetData>
      <sheetData sheetId="1"/>
      <sheetData sheetId="2"/>
      <sheetData sheetId="3"/>
      <sheetData sheetId="4"/>
      <sheetData sheetId="5">
        <row r="30">
          <cell r="B30">
            <v>113368</v>
          </cell>
          <cell r="C30">
            <v>104951</v>
          </cell>
          <cell r="L30">
            <v>1484703</v>
          </cell>
          <cell r="M30">
            <v>1518485</v>
          </cell>
        </row>
      </sheetData>
      <sheetData sheetId="6"/>
      <sheetData sheetId="7">
        <row r="5">
          <cell r="I5">
            <v>87912.259304256761</v>
          </cell>
        </row>
        <row r="6">
          <cell r="I6">
            <v>6226.2206982567895</v>
          </cell>
        </row>
        <row r="10">
          <cell r="I10">
            <v>69628.081504159331</v>
          </cell>
        </row>
        <row r="11">
          <cell r="I11">
            <v>4144.9307057989599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157540.34080841611</v>
          </cell>
        </row>
        <row r="21">
          <cell r="I21">
            <v>10371.15140405575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WestJet_UA"/>
      <sheetName val="Sheet1"/>
      <sheetName val="DHL_ABX"/>
    </sheetNames>
    <sheetDataSet>
      <sheetData sheetId="0"/>
      <sheetData sheetId="1"/>
      <sheetData sheetId="2">
        <row r="19">
          <cell r="HR19">
            <v>0</v>
          </cell>
        </row>
      </sheetData>
      <sheetData sheetId="3"/>
      <sheetData sheetId="4">
        <row r="8">
          <cell r="IP8"/>
        </row>
        <row r="9">
          <cell r="IP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5">
        <row r="4">
          <cell r="IP4">
            <v>36</v>
          </cell>
        </row>
        <row r="5">
          <cell r="IP5">
            <v>36</v>
          </cell>
        </row>
        <row r="8">
          <cell r="IP8"/>
        </row>
        <row r="9">
          <cell r="IP9"/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  <cell r="IB19">
            <v>82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</row>
        <row r="22">
          <cell r="IP22">
            <v>4814</v>
          </cell>
        </row>
        <row r="23">
          <cell r="IP23">
            <v>5045</v>
          </cell>
        </row>
        <row r="27">
          <cell r="IP27"/>
        </row>
        <row r="28">
          <cell r="IP28"/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  <cell r="IB41">
            <v>11876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6">
        <row r="4">
          <cell r="IP4"/>
        </row>
        <row r="5">
          <cell r="IP5"/>
        </row>
        <row r="8">
          <cell r="IP8"/>
        </row>
        <row r="9">
          <cell r="IP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</sheetData>
      <sheetData sheetId="7">
        <row r="4">
          <cell r="IP4">
            <v>70</v>
          </cell>
        </row>
        <row r="5">
          <cell r="IP5">
            <v>70</v>
          </cell>
        </row>
        <row r="8">
          <cell r="IP8">
            <v>1</v>
          </cell>
        </row>
        <row r="9">
          <cell r="IP9">
            <v>1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  <cell r="IB19">
            <v>112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</row>
        <row r="22">
          <cell r="IP22">
            <v>8988</v>
          </cell>
        </row>
        <row r="23">
          <cell r="IP23">
            <v>8755</v>
          </cell>
        </row>
        <row r="27">
          <cell r="IP27">
            <v>350</v>
          </cell>
        </row>
        <row r="28">
          <cell r="IP28">
            <v>405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  <cell r="IB41">
            <v>15629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</row>
        <row r="47">
          <cell r="IP47">
            <v>10383</v>
          </cell>
        </row>
        <row r="48">
          <cell r="IP48"/>
        </row>
        <row r="52">
          <cell r="IP52">
            <v>11242</v>
          </cell>
        </row>
        <row r="53">
          <cell r="IP53">
            <v>419</v>
          </cell>
        </row>
        <row r="57">
          <cell r="IP57"/>
        </row>
        <row r="58">
          <cell r="IP58"/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  <cell r="IB64">
            <v>25709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</row>
      </sheetData>
      <sheetData sheetId="8"/>
      <sheetData sheetId="9">
        <row r="4">
          <cell r="IP4">
            <v>320</v>
          </cell>
        </row>
        <row r="5">
          <cell r="IP5">
            <v>322</v>
          </cell>
        </row>
        <row r="8">
          <cell r="IP8"/>
        </row>
        <row r="9">
          <cell r="IP9"/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  <cell r="IB19">
            <v>568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</row>
        <row r="22">
          <cell r="IP22">
            <v>46016</v>
          </cell>
        </row>
        <row r="23">
          <cell r="IP23">
            <v>47416</v>
          </cell>
        </row>
        <row r="27">
          <cell r="IP27">
            <v>1607</v>
          </cell>
        </row>
        <row r="28">
          <cell r="IP28">
            <v>1819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  <cell r="IB41">
            <v>84025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</row>
        <row r="47">
          <cell r="IP47">
            <v>34790</v>
          </cell>
        </row>
        <row r="48">
          <cell r="IP48">
            <v>4533</v>
          </cell>
        </row>
        <row r="52">
          <cell r="IP52">
            <v>11914</v>
          </cell>
        </row>
        <row r="53">
          <cell r="IP53">
            <v>2017</v>
          </cell>
        </row>
        <row r="57">
          <cell r="IP57"/>
        </row>
        <row r="58">
          <cell r="IP58"/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  <cell r="IB64">
            <v>88269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</row>
      </sheetData>
      <sheetData sheetId="10"/>
      <sheetData sheetId="11">
        <row r="19">
          <cell r="HR19">
            <v>0</v>
          </cell>
        </row>
      </sheetData>
      <sheetData sheetId="12">
        <row r="5">
          <cell r="IP5"/>
        </row>
        <row r="8">
          <cell r="IP8"/>
        </row>
        <row r="9">
          <cell r="IP9"/>
        </row>
        <row r="15">
          <cell r="IF15"/>
          <cell r="IG15"/>
          <cell r="IH15"/>
          <cell r="II15"/>
          <cell r="IJ15">
            <v>3</v>
          </cell>
          <cell r="IK15">
            <v>11</v>
          </cell>
          <cell r="IL15">
            <v>14</v>
          </cell>
          <cell r="IM15">
            <v>13</v>
          </cell>
          <cell r="IN15">
            <v>3</v>
          </cell>
          <cell r="IO15"/>
          <cell r="IP15"/>
        </row>
        <row r="16">
          <cell r="IF16"/>
          <cell r="IG16"/>
          <cell r="IH16"/>
          <cell r="II16"/>
          <cell r="IJ16">
            <v>3</v>
          </cell>
          <cell r="IK16">
            <v>11</v>
          </cell>
          <cell r="IL16">
            <v>14</v>
          </cell>
          <cell r="IM16">
            <v>13</v>
          </cell>
          <cell r="IN16">
            <v>3</v>
          </cell>
          <cell r="IO16"/>
          <cell r="IP16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F32"/>
          <cell r="IG32"/>
          <cell r="IH32"/>
          <cell r="II32"/>
          <cell r="IJ32">
            <v>608</v>
          </cell>
          <cell r="IK32">
            <v>2259</v>
          </cell>
          <cell r="IL32">
            <v>3092</v>
          </cell>
          <cell r="IM32">
            <v>2862</v>
          </cell>
          <cell r="IN32">
            <v>609</v>
          </cell>
          <cell r="IO32"/>
          <cell r="IP32"/>
        </row>
        <row r="33">
          <cell r="IF33"/>
          <cell r="IG33"/>
          <cell r="IH33"/>
          <cell r="II33"/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  <cell r="IN33">
            <v>588</v>
          </cell>
          <cell r="IO33"/>
          <cell r="IP33"/>
        </row>
        <row r="37">
          <cell r="IF37"/>
          <cell r="IG37"/>
          <cell r="IH37"/>
          <cell r="II37"/>
          <cell r="IJ37">
            <v>2</v>
          </cell>
          <cell r="IK37">
            <v>7</v>
          </cell>
          <cell r="IL37">
            <v>13</v>
          </cell>
          <cell r="IM37">
            <v>12</v>
          </cell>
          <cell r="IN37">
            <v>1</v>
          </cell>
          <cell r="IO37"/>
          <cell r="IP37"/>
        </row>
        <row r="38">
          <cell r="IF38"/>
          <cell r="IG38"/>
          <cell r="IH38"/>
          <cell r="II38"/>
          <cell r="IJ38">
            <v>1</v>
          </cell>
          <cell r="IK38">
            <v>8</v>
          </cell>
          <cell r="IL38">
            <v>7</v>
          </cell>
          <cell r="IM38">
            <v>7</v>
          </cell>
          <cell r="IN38">
            <v>5</v>
          </cell>
          <cell r="IO38"/>
          <cell r="IP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</row>
      </sheetData>
      <sheetData sheetId="13">
        <row r="4">
          <cell r="IP4">
            <v>5424</v>
          </cell>
        </row>
        <row r="5">
          <cell r="IP5">
            <v>5425</v>
          </cell>
        </row>
        <row r="8">
          <cell r="IP8">
            <v>3</v>
          </cell>
        </row>
        <row r="9">
          <cell r="IP9">
            <v>5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  <cell r="IM15">
            <v>544</v>
          </cell>
          <cell r="IN15">
            <v>498</v>
          </cell>
          <cell r="IO15">
            <v>494</v>
          </cell>
          <cell r="IP15">
            <v>420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  <cell r="IM16">
            <v>547</v>
          </cell>
          <cell r="IN16">
            <v>493</v>
          </cell>
          <cell r="IO16">
            <v>495</v>
          </cell>
          <cell r="IP16">
            <v>417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  <cell r="IB19">
            <v>10034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</row>
        <row r="22">
          <cell r="IP22">
            <v>715028</v>
          </cell>
        </row>
        <row r="23">
          <cell r="IP23">
            <v>728324</v>
          </cell>
        </row>
        <row r="27">
          <cell r="IP27">
            <v>24112</v>
          </cell>
        </row>
        <row r="28">
          <cell r="IP28">
            <v>24004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  <cell r="IM32">
            <v>104500</v>
          </cell>
          <cell r="IN32">
            <v>89823</v>
          </cell>
          <cell r="IO32">
            <v>88564</v>
          </cell>
          <cell r="IP32">
            <v>69154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  <cell r="IM33">
            <v>95139</v>
          </cell>
          <cell r="IN33">
            <v>86475</v>
          </cell>
          <cell r="IO33">
            <v>81986</v>
          </cell>
          <cell r="IP33">
            <v>70663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  <cell r="IM37">
            <v>1940</v>
          </cell>
          <cell r="IN37">
            <v>2363</v>
          </cell>
          <cell r="IO37">
            <v>2216</v>
          </cell>
          <cell r="IP37">
            <v>2038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  <cell r="IM38">
            <v>2355</v>
          </cell>
          <cell r="IN38">
            <v>2711</v>
          </cell>
          <cell r="IO38">
            <v>2563</v>
          </cell>
          <cell r="IP38">
            <v>2016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  <cell r="IB41">
            <v>1406262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</row>
        <row r="47">
          <cell r="IP47">
            <v>4001471</v>
          </cell>
        </row>
        <row r="48">
          <cell r="IP48">
            <v>451853</v>
          </cell>
        </row>
        <row r="52">
          <cell r="IP52">
            <v>1980204</v>
          </cell>
        </row>
        <row r="53">
          <cell r="IP53">
            <v>444387</v>
          </cell>
        </row>
        <row r="57">
          <cell r="IP57"/>
        </row>
        <row r="58">
          <cell r="IP58"/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  <cell r="IB64">
            <v>6993350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</row>
        <row r="70">
          <cell r="IP70">
            <v>408410</v>
          </cell>
        </row>
        <row r="71">
          <cell r="IP71">
            <v>319914</v>
          </cell>
        </row>
        <row r="73">
          <cell r="IP73">
            <v>39624</v>
          </cell>
        </row>
        <row r="74">
          <cell r="IP74">
            <v>31039</v>
          </cell>
        </row>
      </sheetData>
      <sheetData sheetId="14">
        <row r="4">
          <cell r="IP4">
            <v>78</v>
          </cell>
        </row>
        <row r="5">
          <cell r="IP5">
            <v>78</v>
          </cell>
        </row>
        <row r="8">
          <cell r="IP8"/>
        </row>
        <row r="9">
          <cell r="IP9"/>
        </row>
        <row r="15">
          <cell r="IP15"/>
        </row>
        <row r="16">
          <cell r="IP16"/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  <cell r="IB19">
            <v>152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</row>
        <row r="22">
          <cell r="IP22">
            <v>823</v>
          </cell>
        </row>
        <row r="23">
          <cell r="IP23">
            <v>784</v>
          </cell>
        </row>
        <row r="27">
          <cell r="IP27">
            <v>36</v>
          </cell>
        </row>
        <row r="28">
          <cell r="IP28">
            <v>35</v>
          </cell>
        </row>
        <row r="32">
          <cell r="IP32"/>
        </row>
        <row r="33">
          <cell r="IP33"/>
        </row>
        <row r="37">
          <cell r="IP37"/>
        </row>
        <row r="38">
          <cell r="IP38"/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  <cell r="IB41">
            <v>1347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15">
        <row r="4">
          <cell r="IP4">
            <v>77</v>
          </cell>
        </row>
        <row r="5">
          <cell r="IP5">
            <v>78</v>
          </cell>
        </row>
        <row r="8">
          <cell r="IP8"/>
        </row>
        <row r="9">
          <cell r="IP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>
            <v>15</v>
          </cell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>
            <v>15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  <cell r="IB19">
            <v>68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</row>
        <row r="22">
          <cell r="IP22">
            <v>11797</v>
          </cell>
        </row>
        <row r="23">
          <cell r="IP23">
            <v>12386</v>
          </cell>
        </row>
        <row r="27">
          <cell r="IP27">
            <v>59</v>
          </cell>
        </row>
        <row r="28">
          <cell r="IP28">
            <v>71</v>
          </cell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>
            <v>1172</v>
          </cell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>
            <v>1413</v>
          </cell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>
            <v>3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>
            <v>1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  <cell r="IB41">
            <v>10676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16">
        <row r="4">
          <cell r="IR4">
            <v>0</v>
          </cell>
        </row>
        <row r="8">
          <cell r="IP8"/>
        </row>
        <row r="9">
          <cell r="IP9"/>
        </row>
        <row r="15">
          <cell r="IF15">
            <v>3</v>
          </cell>
          <cell r="IG15"/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  <cell r="IM15">
            <v>31</v>
          </cell>
          <cell r="IN15">
            <v>30</v>
          </cell>
          <cell r="IO15">
            <v>18</v>
          </cell>
          <cell r="IP15">
            <v>17</v>
          </cell>
        </row>
        <row r="16">
          <cell r="IF16">
            <v>3</v>
          </cell>
          <cell r="IG16"/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  <cell r="IM16">
            <v>31</v>
          </cell>
          <cell r="IN16">
            <v>30</v>
          </cell>
          <cell r="IO16">
            <v>18</v>
          </cell>
          <cell r="IP16">
            <v>17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  <cell r="IB19">
            <v>34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</row>
        <row r="32">
          <cell r="IF32">
            <v>457</v>
          </cell>
          <cell r="IG32"/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  <cell r="IM32">
            <v>6099</v>
          </cell>
          <cell r="IN32">
            <v>5265</v>
          </cell>
          <cell r="IO32">
            <v>2913</v>
          </cell>
          <cell r="IP32">
            <v>2370</v>
          </cell>
        </row>
        <row r="33">
          <cell r="IF33">
            <v>274</v>
          </cell>
          <cell r="IG33"/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  <cell r="IN33">
            <v>5093</v>
          </cell>
          <cell r="IO33">
            <v>2376</v>
          </cell>
          <cell r="IP33">
            <v>2157</v>
          </cell>
        </row>
        <row r="37">
          <cell r="IF37"/>
          <cell r="IG37"/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  <cell r="IM37">
            <v>31</v>
          </cell>
          <cell r="IN37">
            <v>23</v>
          </cell>
          <cell r="IO37">
            <v>29</v>
          </cell>
          <cell r="IP37">
            <v>57</v>
          </cell>
        </row>
        <row r="38">
          <cell r="IF38">
            <v>10</v>
          </cell>
          <cell r="IG38"/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  <cell r="IN38">
            <v>35</v>
          </cell>
          <cell r="IO38">
            <v>28</v>
          </cell>
          <cell r="IP38">
            <v>70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  <cell r="IB41">
            <v>4016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</row>
        <row r="47">
          <cell r="IP47">
            <v>11063</v>
          </cell>
        </row>
        <row r="48">
          <cell r="IP48">
            <v>99</v>
          </cell>
        </row>
        <row r="52">
          <cell r="IP52">
            <v>70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  <cell r="IB64">
            <v>1716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</row>
      </sheetData>
      <sheetData sheetId="17">
        <row r="4">
          <cell r="IP4">
            <v>29</v>
          </cell>
        </row>
        <row r="5">
          <cell r="IP5">
            <v>29</v>
          </cell>
        </row>
        <row r="8">
          <cell r="IP8"/>
        </row>
        <row r="9">
          <cell r="IP9"/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  <cell r="IB19">
            <v>177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</row>
        <row r="22">
          <cell r="IP22">
            <v>393</v>
          </cell>
        </row>
        <row r="23">
          <cell r="IP23">
            <v>2804</v>
          </cell>
        </row>
        <row r="27">
          <cell r="IP27">
            <v>79</v>
          </cell>
        </row>
        <row r="28">
          <cell r="IP28">
            <v>86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  <cell r="IB41">
            <v>15386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18">
        <row r="4">
          <cell r="IP4"/>
        </row>
        <row r="5">
          <cell r="IP5"/>
        </row>
        <row r="8">
          <cell r="IP8"/>
        </row>
        <row r="9">
          <cell r="IP9"/>
        </row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  <cell r="IM15">
            <v>14</v>
          </cell>
          <cell r="IN15">
            <v>15</v>
          </cell>
          <cell r="IO15">
            <v>17</v>
          </cell>
          <cell r="IP15">
            <v>16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  <cell r="IM16">
            <v>14</v>
          </cell>
          <cell r="IN16">
            <v>15</v>
          </cell>
          <cell r="IO16">
            <v>17</v>
          </cell>
          <cell r="IP16">
            <v>16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  <cell r="IB19">
            <v>34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  <cell r="IM32">
            <v>3752</v>
          </cell>
          <cell r="IN32">
            <v>3891</v>
          </cell>
          <cell r="IO32">
            <v>4379</v>
          </cell>
          <cell r="IP32">
            <v>3587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  <cell r="IM33">
            <v>3356</v>
          </cell>
          <cell r="IN33">
            <v>3803</v>
          </cell>
          <cell r="IO33">
            <v>3557</v>
          </cell>
          <cell r="IP33">
            <v>3218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  <cell r="IM37">
            <v>13</v>
          </cell>
          <cell r="IN37">
            <v>7</v>
          </cell>
          <cell r="IO37">
            <v>15</v>
          </cell>
          <cell r="IP37">
            <v>18</v>
          </cell>
        </row>
        <row r="38">
          <cell r="IF38">
            <v>3</v>
          </cell>
          <cell r="IG38"/>
          <cell r="IH38"/>
          <cell r="II38">
            <v>0</v>
          </cell>
          <cell r="IJ38"/>
          <cell r="IK38"/>
          <cell r="IL38"/>
          <cell r="IM38"/>
          <cell r="IN38"/>
          <cell r="IO38"/>
          <cell r="IP38"/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  <cell r="IB41">
            <v>7132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</row>
        <row r="47">
          <cell r="IP47">
            <v>354772</v>
          </cell>
        </row>
        <row r="48">
          <cell r="IP48"/>
        </row>
        <row r="52">
          <cell r="IP52">
            <v>34566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  <cell r="IB64">
            <v>708810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</row>
      </sheetData>
      <sheetData sheetId="19"/>
      <sheetData sheetId="20"/>
      <sheetData sheetId="21"/>
      <sheetData sheetId="22">
        <row r="4">
          <cell r="IP4">
            <v>666</v>
          </cell>
        </row>
        <row r="5">
          <cell r="IP5">
            <v>665</v>
          </cell>
        </row>
        <row r="8">
          <cell r="IP8"/>
        </row>
        <row r="9">
          <cell r="IP9"/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  <cell r="IB19">
            <v>912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</row>
        <row r="22">
          <cell r="IP22">
            <v>66978</v>
          </cell>
        </row>
        <row r="23">
          <cell r="IP23">
            <v>67800</v>
          </cell>
        </row>
        <row r="27">
          <cell r="IP27">
            <v>1619</v>
          </cell>
        </row>
        <row r="28">
          <cell r="IP28">
            <v>1706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  <cell r="IB41">
            <v>110504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</row>
        <row r="47">
          <cell r="IP47">
            <v>180341</v>
          </cell>
        </row>
        <row r="48">
          <cell r="IP48"/>
        </row>
        <row r="52">
          <cell r="IP52">
            <v>35817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  <cell r="IB64">
            <v>219740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</row>
        <row r="70">
          <cell r="IP70">
            <v>67120</v>
          </cell>
        </row>
        <row r="71">
          <cell r="IP71">
            <v>680</v>
          </cell>
        </row>
        <row r="73">
          <cell r="IP73"/>
        </row>
        <row r="74">
          <cell r="IP74"/>
        </row>
      </sheetData>
      <sheetData sheetId="23">
        <row r="4">
          <cell r="IP4">
            <v>113</v>
          </cell>
        </row>
        <row r="5">
          <cell r="IP5">
            <v>113</v>
          </cell>
        </row>
        <row r="8">
          <cell r="IP8"/>
        </row>
        <row r="9">
          <cell r="IP9"/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  <cell r="IB19">
            <v>252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</row>
        <row r="22">
          <cell r="IP22">
            <v>15291</v>
          </cell>
        </row>
        <row r="23">
          <cell r="IP23">
            <v>15311</v>
          </cell>
        </row>
        <row r="27">
          <cell r="IP27">
            <v>115</v>
          </cell>
        </row>
        <row r="28">
          <cell r="IP28">
            <v>151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  <cell r="IB41">
            <v>34940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  <row r="70">
          <cell r="IP70"/>
        </row>
        <row r="71">
          <cell r="IP71"/>
        </row>
        <row r="73">
          <cell r="IP73"/>
        </row>
        <row r="74">
          <cell r="IP74"/>
        </row>
      </sheetData>
      <sheetData sheetId="24">
        <row r="4">
          <cell r="IP4">
            <v>999</v>
          </cell>
        </row>
        <row r="5">
          <cell r="IP5">
            <v>1002</v>
          </cell>
        </row>
        <row r="8">
          <cell r="IP8">
            <v>84</v>
          </cell>
        </row>
        <row r="9">
          <cell r="IP9">
            <v>82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  <cell r="IM15">
            <v>17</v>
          </cell>
          <cell r="IN15">
            <v>8</v>
          </cell>
          <cell r="IO15">
            <v>17</v>
          </cell>
          <cell r="IP15">
            <v>38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  <cell r="IM16">
            <v>19</v>
          </cell>
          <cell r="IN16">
            <v>7</v>
          </cell>
          <cell r="IO16">
            <v>17</v>
          </cell>
          <cell r="IP16">
            <v>41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  <cell r="IB19">
            <v>1817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</row>
        <row r="22">
          <cell r="IP22">
            <v>157283</v>
          </cell>
        </row>
        <row r="23">
          <cell r="IP23">
            <v>162730</v>
          </cell>
        </row>
        <row r="27">
          <cell r="IP27">
            <v>2579</v>
          </cell>
        </row>
        <row r="28">
          <cell r="IP28">
            <v>2752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  <cell r="IM32">
            <v>2704</v>
          </cell>
          <cell r="IN32">
            <v>813</v>
          </cell>
          <cell r="IO32">
            <v>2113</v>
          </cell>
          <cell r="IP32">
            <v>5022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  <cell r="IN33">
            <v>736</v>
          </cell>
          <cell r="IO33">
            <v>2282</v>
          </cell>
          <cell r="IP33">
            <v>6128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  <cell r="IM37">
            <v>36</v>
          </cell>
          <cell r="IN37">
            <v>16</v>
          </cell>
          <cell r="IO37">
            <v>48</v>
          </cell>
          <cell r="IP37">
            <v>127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  <cell r="IN38">
            <v>20</v>
          </cell>
          <cell r="IO38">
            <v>61</v>
          </cell>
          <cell r="IP38">
            <v>163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  <cell r="IB41">
            <v>264614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  <cell r="IB64">
            <v>90199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  <row r="70">
          <cell r="IP70">
            <v>162730</v>
          </cell>
        </row>
        <row r="71">
          <cell r="IP71"/>
        </row>
        <row r="73">
          <cell r="IP73">
            <v>6128</v>
          </cell>
        </row>
        <row r="74">
          <cell r="IP74"/>
        </row>
      </sheetData>
      <sheetData sheetId="25"/>
      <sheetData sheetId="26"/>
      <sheetData sheetId="27">
        <row r="4">
          <cell r="IP4">
            <v>369</v>
          </cell>
        </row>
        <row r="5">
          <cell r="IP5">
            <v>369</v>
          </cell>
        </row>
        <row r="8">
          <cell r="IP8"/>
        </row>
        <row r="9">
          <cell r="IP9"/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  <cell r="IB19">
            <v>758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</row>
        <row r="22">
          <cell r="IP22">
            <v>46204</v>
          </cell>
        </row>
        <row r="23">
          <cell r="IP23">
            <v>47211</v>
          </cell>
        </row>
        <row r="27">
          <cell r="IP27">
            <v>1827</v>
          </cell>
        </row>
        <row r="28">
          <cell r="IP28">
            <v>1881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  <cell r="IB41">
            <v>101372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</row>
        <row r="47">
          <cell r="IP47">
            <v>29630</v>
          </cell>
        </row>
        <row r="48">
          <cell r="IP48">
            <v>3944</v>
          </cell>
        </row>
        <row r="52">
          <cell r="IP52">
            <v>12236</v>
          </cell>
        </row>
        <row r="53">
          <cell r="IP53">
            <v>77</v>
          </cell>
        </row>
        <row r="57">
          <cell r="IP57"/>
        </row>
        <row r="58">
          <cell r="IP58"/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  <cell r="IB64">
            <v>71641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</row>
      </sheetData>
      <sheetData sheetId="28">
        <row r="4">
          <cell r="IP4"/>
        </row>
        <row r="5">
          <cell r="IP5"/>
        </row>
        <row r="8">
          <cell r="IP8"/>
        </row>
        <row r="9">
          <cell r="IP9"/>
        </row>
        <row r="15">
          <cell r="IP15">
            <v>35</v>
          </cell>
        </row>
        <row r="16">
          <cell r="IP16">
            <v>35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P19">
            <v>70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P32">
            <v>4135</v>
          </cell>
        </row>
        <row r="33">
          <cell r="IP33">
            <v>4033</v>
          </cell>
        </row>
        <row r="37">
          <cell r="IP37">
            <v>1</v>
          </cell>
        </row>
        <row r="38">
          <cell r="IP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P41">
            <v>8168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0">
        <row r="4">
          <cell r="IP4">
            <v>35</v>
          </cell>
        </row>
        <row r="5">
          <cell r="IP5">
            <v>34</v>
          </cell>
        </row>
        <row r="8">
          <cell r="IP8"/>
        </row>
        <row r="9">
          <cell r="IP9"/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  <cell r="IB19">
            <v>113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</row>
        <row r="22">
          <cell r="IP22">
            <v>2054</v>
          </cell>
        </row>
        <row r="23">
          <cell r="IP23">
            <v>1819</v>
          </cell>
        </row>
        <row r="27">
          <cell r="IP27">
            <v>117</v>
          </cell>
        </row>
        <row r="28">
          <cell r="IP28">
            <v>105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  <cell r="IB41">
            <v>7056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</row>
        <row r="47">
          <cell r="IP47">
            <v>176</v>
          </cell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  <cell r="IB64">
            <v>221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</row>
      </sheetData>
      <sheetData sheetId="31">
        <row r="4">
          <cell r="IP4">
            <v>49</v>
          </cell>
        </row>
        <row r="5">
          <cell r="IP5">
            <v>49</v>
          </cell>
        </row>
        <row r="8">
          <cell r="IP8"/>
        </row>
        <row r="9">
          <cell r="IP9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  <cell r="IB19">
            <v>2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</row>
        <row r="22">
          <cell r="IP22">
            <v>2293</v>
          </cell>
        </row>
        <row r="23">
          <cell r="IP23">
            <v>2235</v>
          </cell>
        </row>
        <row r="27">
          <cell r="IP27">
            <v>72</v>
          </cell>
        </row>
        <row r="28">
          <cell r="IP28">
            <v>69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</row>
        <row r="47">
          <cell r="IP47">
            <v>1068</v>
          </cell>
        </row>
        <row r="48">
          <cell r="IP48"/>
        </row>
        <row r="52">
          <cell r="IP52">
            <v>95</v>
          </cell>
        </row>
        <row r="53">
          <cell r="IP53"/>
        </row>
        <row r="57">
          <cell r="IP57"/>
        </row>
        <row r="58">
          <cell r="BG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</row>
      </sheetData>
      <sheetData sheetId="32">
        <row r="4">
          <cell r="IP4"/>
        </row>
        <row r="5">
          <cell r="IP5"/>
        </row>
        <row r="8">
          <cell r="IP8"/>
        </row>
        <row r="9">
          <cell r="IP9"/>
        </row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P32"/>
        </row>
        <row r="33">
          <cell r="IP33"/>
        </row>
        <row r="37">
          <cell r="IP37"/>
        </row>
        <row r="38">
          <cell r="IP38"/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F58"/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3">
        <row r="4">
          <cell r="IP4"/>
        </row>
        <row r="5">
          <cell r="IP5"/>
        </row>
        <row r="8">
          <cell r="IP8"/>
        </row>
        <row r="9">
          <cell r="IP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G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  <row r="70">
          <cell r="IP70"/>
        </row>
        <row r="71">
          <cell r="IP71"/>
        </row>
        <row r="73">
          <cell r="IP73"/>
        </row>
        <row r="74">
          <cell r="IP74"/>
        </row>
      </sheetData>
      <sheetData sheetId="34"/>
      <sheetData sheetId="35"/>
      <sheetData sheetId="36"/>
      <sheetData sheetId="37"/>
      <sheetData sheetId="38"/>
      <sheetData sheetId="39">
        <row r="4">
          <cell r="IP4"/>
        </row>
        <row r="5">
          <cell r="IP5"/>
        </row>
        <row r="8">
          <cell r="IP8"/>
        </row>
        <row r="9">
          <cell r="IP9"/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G58"/>
        </row>
      </sheetData>
      <sheetData sheetId="40"/>
      <sheetData sheetId="41">
        <row r="4">
          <cell r="IP4"/>
        </row>
        <row r="5">
          <cell r="IP5"/>
        </row>
        <row r="8">
          <cell r="IP8"/>
        </row>
        <row r="9">
          <cell r="IP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K58"/>
        </row>
        <row r="70">
          <cell r="IP70"/>
        </row>
        <row r="71">
          <cell r="IP71"/>
        </row>
        <row r="73">
          <cell r="IP73"/>
        </row>
        <row r="74">
          <cell r="IP74"/>
        </row>
      </sheetData>
      <sheetData sheetId="42">
        <row r="4">
          <cell r="IP4"/>
        </row>
        <row r="5">
          <cell r="IP5"/>
        </row>
        <row r="8">
          <cell r="IP8"/>
        </row>
        <row r="9">
          <cell r="IP9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AJ57"/>
        </row>
        <row r="58">
          <cell r="AJ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43">
        <row r="4">
          <cell r="IP4">
            <v>4</v>
          </cell>
        </row>
        <row r="5">
          <cell r="IP5">
            <v>4</v>
          </cell>
        </row>
        <row r="8">
          <cell r="IP8"/>
        </row>
        <row r="9">
          <cell r="IP9"/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  <cell r="IB19">
            <v>8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</row>
        <row r="22">
          <cell r="IP22">
            <v>285</v>
          </cell>
        </row>
        <row r="23">
          <cell r="IP23">
            <v>279</v>
          </cell>
        </row>
        <row r="27">
          <cell r="IP27">
            <v>18</v>
          </cell>
        </row>
        <row r="28">
          <cell r="IP28">
            <v>7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  <cell r="IB41">
            <v>554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44">
        <row r="4">
          <cell r="IP4"/>
        </row>
        <row r="5">
          <cell r="IP5"/>
        </row>
        <row r="8">
          <cell r="IP8"/>
        </row>
        <row r="9">
          <cell r="IP9"/>
        </row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  <cell r="IM15">
            <v>118</v>
          </cell>
          <cell r="IN15">
            <v>118</v>
          </cell>
          <cell r="IO15">
            <v>125</v>
          </cell>
          <cell r="IP15">
            <v>90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  <cell r="IM16">
            <v>118</v>
          </cell>
          <cell r="IN16">
            <v>120</v>
          </cell>
          <cell r="IO16">
            <v>125</v>
          </cell>
          <cell r="IP16">
            <v>93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  <cell r="IB19">
            <v>167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  <cell r="IM32">
            <v>7802</v>
          </cell>
          <cell r="IN32">
            <v>6775</v>
          </cell>
          <cell r="IO32">
            <v>7472</v>
          </cell>
          <cell r="IP32">
            <v>5047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  <cell r="IN33">
            <v>7041</v>
          </cell>
          <cell r="IO33">
            <v>6307</v>
          </cell>
          <cell r="IP33">
            <v>4158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  <cell r="IM37">
            <v>86</v>
          </cell>
          <cell r="IN37">
            <v>90</v>
          </cell>
          <cell r="IO37">
            <v>124</v>
          </cell>
          <cell r="IP37">
            <v>49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  <cell r="IN38">
            <v>97</v>
          </cell>
          <cell r="IO38">
            <v>139</v>
          </cell>
          <cell r="IP38">
            <v>59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  <cell r="IB41">
            <v>10346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</row>
        <row r="47">
          <cell r="IP47">
            <v>15010.4</v>
          </cell>
        </row>
        <row r="48">
          <cell r="IP48"/>
        </row>
        <row r="52">
          <cell r="IP52">
            <v>15437.8</v>
          </cell>
        </row>
        <row r="53">
          <cell r="IP53"/>
        </row>
        <row r="57">
          <cell r="IP57"/>
        </row>
        <row r="58">
          <cell r="BF58"/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  <cell r="IB64">
            <v>0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</row>
      </sheetData>
      <sheetData sheetId="45">
        <row r="4">
          <cell r="IP4">
            <v>47</v>
          </cell>
        </row>
        <row r="5">
          <cell r="IP5">
            <v>47</v>
          </cell>
        </row>
        <row r="8">
          <cell r="IP8"/>
        </row>
        <row r="9">
          <cell r="IP9"/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  <cell r="IB19">
            <v>82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</row>
        <row r="22">
          <cell r="IP22">
            <v>3069</v>
          </cell>
        </row>
        <row r="23">
          <cell r="IP23">
            <v>3093</v>
          </cell>
        </row>
        <row r="27">
          <cell r="IP27">
            <v>109</v>
          </cell>
        </row>
        <row r="28">
          <cell r="IP28">
            <v>119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  <cell r="IB41">
            <v>5332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46"/>
      <sheetData sheetId="47"/>
      <sheetData sheetId="48">
        <row r="4">
          <cell r="IP4">
            <v>573</v>
          </cell>
        </row>
        <row r="5">
          <cell r="IP5">
            <v>571</v>
          </cell>
        </row>
        <row r="8">
          <cell r="IP8"/>
        </row>
        <row r="9">
          <cell r="IP9"/>
        </row>
        <row r="15">
          <cell r="IF15">
            <v>1</v>
          </cell>
          <cell r="IG15"/>
          <cell r="IH15">
            <v>23</v>
          </cell>
          <cell r="II15">
            <v>9</v>
          </cell>
          <cell r="IJ15"/>
          <cell r="IK15">
            <v>16</v>
          </cell>
          <cell r="IL15">
            <v>3</v>
          </cell>
          <cell r="IM15"/>
          <cell r="IN15">
            <v>76</v>
          </cell>
          <cell r="IO15">
            <v>86</v>
          </cell>
          <cell r="IP15">
            <v>61</v>
          </cell>
        </row>
        <row r="16">
          <cell r="IF16">
            <v>1</v>
          </cell>
          <cell r="IG16"/>
          <cell r="IH16">
            <v>23</v>
          </cell>
          <cell r="II16">
            <v>10</v>
          </cell>
          <cell r="IJ16"/>
          <cell r="IK16">
            <v>15</v>
          </cell>
          <cell r="IL16">
            <v>3</v>
          </cell>
          <cell r="IM16"/>
          <cell r="IN16">
            <v>77</v>
          </cell>
          <cell r="IO16">
            <v>86</v>
          </cell>
          <cell r="IP16">
            <v>62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  <cell r="IB19">
            <v>1184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</row>
        <row r="22">
          <cell r="IP22">
            <v>36134</v>
          </cell>
        </row>
        <row r="23">
          <cell r="IP23">
            <v>36319</v>
          </cell>
        </row>
        <row r="27">
          <cell r="IP27">
            <v>1150</v>
          </cell>
        </row>
        <row r="28">
          <cell r="IP28">
            <v>1203</v>
          </cell>
        </row>
        <row r="32">
          <cell r="IF32"/>
          <cell r="IG32"/>
          <cell r="IH32">
            <v>1240</v>
          </cell>
          <cell r="II32">
            <v>622</v>
          </cell>
          <cell r="IJ32"/>
          <cell r="IK32">
            <v>1081</v>
          </cell>
          <cell r="IL32">
            <v>199</v>
          </cell>
          <cell r="IM32"/>
          <cell r="IN32">
            <v>4231</v>
          </cell>
          <cell r="IO32">
            <v>5350</v>
          </cell>
          <cell r="IP32">
            <v>3327</v>
          </cell>
        </row>
        <row r="33">
          <cell r="IF33"/>
          <cell r="IG33"/>
          <cell r="IH33">
            <v>1517</v>
          </cell>
          <cell r="II33">
            <v>473</v>
          </cell>
          <cell r="IJ33"/>
          <cell r="IK33">
            <v>1027</v>
          </cell>
          <cell r="IL33">
            <v>178</v>
          </cell>
          <cell r="IM33"/>
          <cell r="IN33">
            <v>5269</v>
          </cell>
          <cell r="IO33">
            <v>5520</v>
          </cell>
          <cell r="IP33">
            <v>3358</v>
          </cell>
        </row>
        <row r="37">
          <cell r="IF37"/>
          <cell r="IG37"/>
          <cell r="IH37">
            <v>20</v>
          </cell>
          <cell r="II37">
            <v>4</v>
          </cell>
          <cell r="IJ37"/>
          <cell r="IK37">
            <v>11</v>
          </cell>
          <cell r="IL37">
            <v>4</v>
          </cell>
          <cell r="IM37"/>
          <cell r="IN37">
            <v>94</v>
          </cell>
          <cell r="IO37">
            <v>145</v>
          </cell>
          <cell r="IP37">
            <v>74</v>
          </cell>
        </row>
        <row r="38">
          <cell r="IF38"/>
          <cell r="IG38"/>
          <cell r="IH38">
            <v>25</v>
          </cell>
          <cell r="II38">
            <v>5</v>
          </cell>
          <cell r="IJ38"/>
          <cell r="IK38">
            <v>9</v>
          </cell>
          <cell r="IL38">
            <v>0</v>
          </cell>
          <cell r="IM38"/>
          <cell r="IN38">
            <v>121</v>
          </cell>
          <cell r="IO38">
            <v>132</v>
          </cell>
          <cell r="IP38">
            <v>71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  <cell r="IB41">
            <v>60456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  <row r="70">
          <cell r="IP70">
            <v>11437</v>
          </cell>
        </row>
        <row r="71">
          <cell r="IP71">
            <v>24882</v>
          </cell>
        </row>
        <row r="73">
          <cell r="IP73">
            <v>1057</v>
          </cell>
        </row>
        <row r="74">
          <cell r="IP74">
            <v>2301</v>
          </cell>
        </row>
      </sheetData>
      <sheetData sheetId="49">
        <row r="4">
          <cell r="IP4">
            <v>59</v>
          </cell>
        </row>
        <row r="5">
          <cell r="IP5">
            <v>59</v>
          </cell>
        </row>
        <row r="8">
          <cell r="IP8"/>
        </row>
        <row r="9">
          <cell r="IP9"/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  <cell r="IB19">
            <v>118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</row>
        <row r="22">
          <cell r="IP22">
            <v>4020</v>
          </cell>
        </row>
        <row r="23">
          <cell r="IP23">
            <v>3991</v>
          </cell>
        </row>
        <row r="27">
          <cell r="IP27">
            <v>92</v>
          </cell>
        </row>
        <row r="28">
          <cell r="IP28">
            <v>92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  <cell r="IB41">
            <v>7104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</row>
        <row r="47">
          <cell r="IP47">
            <v>1079</v>
          </cell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G58"/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  <cell r="IB64">
            <v>164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</row>
      </sheetData>
      <sheetData sheetId="50">
        <row r="4">
          <cell r="IP4">
            <v>75</v>
          </cell>
        </row>
        <row r="5">
          <cell r="IP5">
            <v>75</v>
          </cell>
        </row>
        <row r="8">
          <cell r="IP8"/>
        </row>
        <row r="9">
          <cell r="IP9"/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  <cell r="IB19">
            <v>158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</row>
        <row r="22">
          <cell r="IP22">
            <v>4302</v>
          </cell>
        </row>
        <row r="23">
          <cell r="IP23">
            <v>5013</v>
          </cell>
        </row>
        <row r="27">
          <cell r="IP27">
            <v>177</v>
          </cell>
        </row>
        <row r="28">
          <cell r="IP28">
            <v>177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  <cell r="IB41">
            <v>9284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</row>
        <row r="47">
          <cell r="IP47">
            <v>1570</v>
          </cell>
        </row>
        <row r="48">
          <cell r="IP48"/>
        </row>
        <row r="52">
          <cell r="IP52">
            <v>250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  <cell r="IB64">
            <v>1348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</row>
      </sheetData>
      <sheetData sheetId="51">
        <row r="4">
          <cell r="IP4">
            <v>56</v>
          </cell>
        </row>
        <row r="5">
          <cell r="IP5">
            <v>57</v>
          </cell>
        </row>
        <row r="8">
          <cell r="IP8">
            <v>1</v>
          </cell>
        </row>
        <row r="9">
          <cell r="IP9">
            <v>1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  <cell r="IB19">
            <v>28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</row>
        <row r="22">
          <cell r="IP22">
            <v>3813</v>
          </cell>
        </row>
        <row r="23">
          <cell r="IP23">
            <v>3758</v>
          </cell>
        </row>
        <row r="27">
          <cell r="IP27">
            <v>120</v>
          </cell>
        </row>
        <row r="28">
          <cell r="IP28">
            <v>164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  <cell r="IB41">
            <v>1837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52">
        <row r="8">
          <cell r="IP8"/>
        </row>
        <row r="9">
          <cell r="IP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  <row r="47">
          <cell r="IP47"/>
        </row>
        <row r="48">
          <cell r="IP48"/>
        </row>
        <row r="52">
          <cell r="IP52"/>
        </row>
        <row r="53">
          <cell r="IP53"/>
        </row>
      </sheetData>
      <sheetData sheetId="53">
        <row r="4">
          <cell r="IP4">
            <v>1928</v>
          </cell>
        </row>
        <row r="5">
          <cell r="IP5">
            <v>1934</v>
          </cell>
        </row>
        <row r="8">
          <cell r="IP8"/>
        </row>
        <row r="9">
          <cell r="IP9"/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  <cell r="IM15">
            <v>94</v>
          </cell>
          <cell r="IN15">
            <v>10</v>
          </cell>
          <cell r="IO15"/>
          <cell r="IP15">
            <v>25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  <cell r="IM16">
            <v>92</v>
          </cell>
          <cell r="IN16">
            <v>9</v>
          </cell>
          <cell r="IO16"/>
          <cell r="IP16">
            <v>25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  <cell r="IB19">
            <v>4795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</row>
        <row r="22">
          <cell r="IP22">
            <v>105612</v>
          </cell>
        </row>
        <row r="23">
          <cell r="IP23">
            <v>103664</v>
          </cell>
        </row>
        <row r="27">
          <cell r="IP27">
            <v>3387</v>
          </cell>
        </row>
        <row r="28">
          <cell r="IP28">
            <v>3300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  <cell r="IM32">
            <v>6264</v>
          </cell>
          <cell r="IN32">
            <v>450</v>
          </cell>
          <cell r="IO32"/>
          <cell r="IP32">
            <v>1602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  <cell r="IM33">
            <v>6445</v>
          </cell>
          <cell r="IN33">
            <v>590</v>
          </cell>
          <cell r="IO33"/>
          <cell r="IP33">
            <v>1528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  <cell r="IM37">
            <v>97</v>
          </cell>
          <cell r="IN37">
            <v>21</v>
          </cell>
          <cell r="IO37"/>
          <cell r="IP37">
            <v>36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  <cell r="IM38">
            <v>103</v>
          </cell>
          <cell r="IN38">
            <v>15</v>
          </cell>
          <cell r="IO38"/>
          <cell r="IP38">
            <v>54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  <cell r="IB41">
            <v>279168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  <row r="70">
          <cell r="IP70">
            <v>34431</v>
          </cell>
        </row>
        <row r="71">
          <cell r="IP71">
            <v>69233</v>
          </cell>
        </row>
        <row r="73">
          <cell r="IP73">
            <v>508</v>
          </cell>
        </row>
        <row r="74">
          <cell r="IP74">
            <v>1020</v>
          </cell>
        </row>
      </sheetData>
      <sheetData sheetId="54"/>
      <sheetData sheetId="55">
        <row r="4">
          <cell r="IP4"/>
        </row>
        <row r="5">
          <cell r="IP5"/>
        </row>
        <row r="8">
          <cell r="IP8"/>
        </row>
        <row r="9">
          <cell r="IP9"/>
        </row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56">
        <row r="4">
          <cell r="IP4"/>
        </row>
        <row r="5">
          <cell r="IP5"/>
        </row>
        <row r="8">
          <cell r="IP8"/>
        </row>
        <row r="9">
          <cell r="IP9"/>
        </row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57">
        <row r="4">
          <cell r="IP4"/>
        </row>
        <row r="5">
          <cell r="IP5"/>
        </row>
        <row r="8">
          <cell r="IP8"/>
        </row>
        <row r="9">
          <cell r="IP9"/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G58"/>
        </row>
      </sheetData>
      <sheetData sheetId="58">
        <row r="4">
          <cell r="IP4"/>
        </row>
        <row r="5">
          <cell r="IP5"/>
        </row>
        <row r="8">
          <cell r="IP8"/>
        </row>
        <row r="9">
          <cell r="IP9"/>
        </row>
        <row r="22">
          <cell r="IP22"/>
        </row>
        <row r="23">
          <cell r="IP23"/>
        </row>
        <row r="27">
          <cell r="IP27"/>
        </row>
        <row r="28">
          <cell r="IP28"/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BH58"/>
        </row>
        <row r="70">
          <cell r="IP70"/>
        </row>
        <row r="71">
          <cell r="IP71"/>
        </row>
        <row r="73">
          <cell r="IP73"/>
        </row>
        <row r="74">
          <cell r="IP74"/>
        </row>
      </sheetData>
      <sheetData sheetId="59"/>
      <sheetData sheetId="60"/>
      <sheetData sheetId="61"/>
      <sheetData sheetId="62">
        <row r="4">
          <cell r="IP4"/>
        </row>
        <row r="5">
          <cell r="IP5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</row>
        <row r="22">
          <cell r="IP22"/>
        </row>
        <row r="23">
          <cell r="IP23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</sheetData>
      <sheetData sheetId="63">
        <row r="4">
          <cell r="IP4"/>
        </row>
        <row r="5">
          <cell r="IP5"/>
        </row>
        <row r="15">
          <cell r="IP15"/>
        </row>
        <row r="16">
          <cell r="IP16"/>
        </row>
        <row r="22">
          <cell r="IP22"/>
        </row>
        <row r="23">
          <cell r="IP23"/>
        </row>
        <row r="32">
          <cell r="IP32"/>
        </row>
        <row r="33">
          <cell r="IP33"/>
        </row>
      </sheetData>
      <sheetData sheetId="64">
        <row r="4">
          <cell r="IP4"/>
        </row>
        <row r="5">
          <cell r="IP5"/>
        </row>
        <row r="15">
          <cell r="IP15"/>
        </row>
        <row r="16">
          <cell r="IP16"/>
        </row>
        <row r="22">
          <cell r="IP22"/>
        </row>
        <row r="23">
          <cell r="IP23"/>
        </row>
        <row r="32">
          <cell r="IP32"/>
        </row>
        <row r="33">
          <cell r="IP33"/>
        </row>
      </sheetData>
      <sheetData sheetId="65">
        <row r="4">
          <cell r="IP4"/>
        </row>
        <row r="5">
          <cell r="IP5"/>
        </row>
        <row r="15">
          <cell r="IF15"/>
          <cell r="IG15">
            <v>2</v>
          </cell>
          <cell r="IH15"/>
          <cell r="II15"/>
          <cell r="IJ15"/>
          <cell r="IK15">
            <v>1</v>
          </cell>
          <cell r="IL15"/>
          <cell r="IM15"/>
          <cell r="IN15"/>
          <cell r="IO15"/>
          <cell r="IP15"/>
        </row>
        <row r="16">
          <cell r="IF16"/>
          <cell r="IG16">
            <v>2</v>
          </cell>
          <cell r="IH16"/>
          <cell r="II16"/>
          <cell r="IJ16"/>
          <cell r="IL16"/>
          <cell r="IM16"/>
          <cell r="IN16"/>
          <cell r="IO16"/>
          <cell r="IP16"/>
        </row>
        <row r="22">
          <cell r="IP22"/>
        </row>
        <row r="23">
          <cell r="IP23"/>
        </row>
        <row r="32">
          <cell r="IF32"/>
          <cell r="IG32">
            <v>216</v>
          </cell>
          <cell r="IH32"/>
          <cell r="II32"/>
          <cell r="IJ32">
            <v>551</v>
          </cell>
          <cell r="IK32">
            <v>444</v>
          </cell>
          <cell r="IL32"/>
          <cell r="IM32"/>
          <cell r="IN32"/>
          <cell r="IO32"/>
          <cell r="IP32"/>
        </row>
        <row r="33">
          <cell r="IF33"/>
          <cell r="IG33">
            <v>332</v>
          </cell>
          <cell r="IH33"/>
          <cell r="II33"/>
          <cell r="IJ33"/>
          <cell r="IK33"/>
          <cell r="IL33"/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</sheetData>
      <sheetData sheetId="66">
        <row r="4">
          <cell r="IP4"/>
        </row>
        <row r="5">
          <cell r="IP5"/>
        </row>
        <row r="15">
          <cell r="IF15">
            <v>1</v>
          </cell>
          <cell r="IG15">
            <v>1</v>
          </cell>
          <cell r="IH15">
            <v>1</v>
          </cell>
          <cell r="II15"/>
          <cell r="IJ15"/>
          <cell r="IL15">
            <v>2</v>
          </cell>
          <cell r="IM15"/>
          <cell r="IN15"/>
          <cell r="IO15"/>
          <cell r="IP15"/>
        </row>
        <row r="16">
          <cell r="IF16"/>
          <cell r="IG16"/>
          <cell r="IH16"/>
          <cell r="II16"/>
          <cell r="IJ16"/>
          <cell r="IL16">
            <v>1</v>
          </cell>
          <cell r="IM16"/>
          <cell r="IN16"/>
          <cell r="IO16"/>
          <cell r="IP16"/>
        </row>
        <row r="22">
          <cell r="IP22"/>
        </row>
        <row r="23">
          <cell r="IP23"/>
        </row>
        <row r="32">
          <cell r="IF32">
            <v>65</v>
          </cell>
          <cell r="IG32">
            <v>55</v>
          </cell>
          <cell r="IH32"/>
          <cell r="II32"/>
          <cell r="IJ32"/>
          <cell r="IK32"/>
          <cell r="IL32">
            <v>250</v>
          </cell>
          <cell r="IM32"/>
          <cell r="IN32"/>
          <cell r="IO32"/>
          <cell r="IP32"/>
        </row>
        <row r="33">
          <cell r="IF33"/>
          <cell r="IG33"/>
          <cell r="IH33"/>
          <cell r="II33"/>
          <cell r="IJ33"/>
          <cell r="IK33"/>
          <cell r="IL33">
            <v>160</v>
          </cell>
          <cell r="IM33"/>
          <cell r="IN33"/>
          <cell r="IO33"/>
          <cell r="IP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</row>
      </sheetData>
      <sheetData sheetId="67">
        <row r="4">
          <cell r="IP4"/>
        </row>
        <row r="5">
          <cell r="IP5"/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  <cell r="IA19">
            <v>64</v>
          </cell>
          <cell r="IB19">
            <v>58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P19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  <cell r="IA64">
            <v>4203543</v>
          </cell>
          <cell r="IB64">
            <v>3211931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P64">
            <v>0</v>
          </cell>
        </row>
      </sheetData>
      <sheetData sheetId="68">
        <row r="4">
          <cell r="IP4">
            <v>108</v>
          </cell>
        </row>
        <row r="5">
          <cell r="IP5">
            <v>108</v>
          </cell>
        </row>
        <row r="8">
          <cell r="IP8"/>
        </row>
        <row r="9">
          <cell r="IP9"/>
        </row>
        <row r="15">
          <cell r="IP15"/>
        </row>
        <row r="16">
          <cell r="IP16"/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  <cell r="IA19">
            <v>65</v>
          </cell>
          <cell r="IB19">
            <v>114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P19">
            <v>216</v>
          </cell>
        </row>
        <row r="47">
          <cell r="IP47">
            <v>2606963</v>
          </cell>
        </row>
        <row r="48">
          <cell r="IP48"/>
        </row>
        <row r="52">
          <cell r="IP52">
            <v>2469001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  <cell r="IA64">
            <v>1386834</v>
          </cell>
          <cell r="IB64">
            <v>2659123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P64">
            <v>5075964</v>
          </cell>
        </row>
      </sheetData>
      <sheetData sheetId="69">
        <row r="4">
          <cell r="IP4">
            <v>15</v>
          </cell>
        </row>
        <row r="5">
          <cell r="IP5">
            <v>15</v>
          </cell>
        </row>
        <row r="15">
          <cell r="IP15"/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P19">
            <v>30</v>
          </cell>
        </row>
        <row r="47">
          <cell r="IP47">
            <v>508465</v>
          </cell>
        </row>
        <row r="48">
          <cell r="IP48"/>
        </row>
        <row r="52">
          <cell r="IP52">
            <v>847615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P64">
            <v>1356080</v>
          </cell>
        </row>
      </sheetData>
      <sheetData sheetId="70">
        <row r="4">
          <cell r="IP4">
            <v>1</v>
          </cell>
        </row>
        <row r="5">
          <cell r="IP5">
            <v>1</v>
          </cell>
        </row>
        <row r="8">
          <cell r="IP8"/>
        </row>
        <row r="9">
          <cell r="IP9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P19">
            <v>2</v>
          </cell>
        </row>
        <row r="47">
          <cell r="IP47">
            <v>54645</v>
          </cell>
        </row>
        <row r="48">
          <cell r="IP48"/>
        </row>
        <row r="52">
          <cell r="IP52">
            <v>31173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P64">
            <v>85818</v>
          </cell>
        </row>
      </sheetData>
      <sheetData sheetId="71">
        <row r="4">
          <cell r="IR4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72">
        <row r="4">
          <cell r="IP4"/>
        </row>
        <row r="5">
          <cell r="IP5"/>
        </row>
        <row r="15">
          <cell r="IP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73">
        <row r="4">
          <cell r="IP4">
            <v>39</v>
          </cell>
        </row>
        <row r="5">
          <cell r="IP5">
            <v>39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  <cell r="IA19">
            <v>82</v>
          </cell>
          <cell r="IB19">
            <v>68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P19">
            <v>78</v>
          </cell>
        </row>
        <row r="47">
          <cell r="IP47">
            <v>54194</v>
          </cell>
        </row>
        <row r="48">
          <cell r="IP48"/>
        </row>
        <row r="52">
          <cell r="IP52">
            <v>56991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  <cell r="IA64">
            <v>100964</v>
          </cell>
          <cell r="IB64">
            <v>84106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P64">
            <v>111185</v>
          </cell>
        </row>
      </sheetData>
      <sheetData sheetId="74">
        <row r="4">
          <cell r="IP4"/>
        </row>
        <row r="5">
          <cell r="IP5"/>
        </row>
        <row r="12">
          <cell r="IP12">
            <v>0</v>
          </cell>
        </row>
        <row r="15">
          <cell r="IP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75">
        <row r="4">
          <cell r="IP4"/>
        </row>
        <row r="5">
          <cell r="IP5"/>
        </row>
        <row r="15">
          <cell r="IP15"/>
        </row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P19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P64">
            <v>0</v>
          </cell>
        </row>
      </sheetData>
      <sheetData sheetId="76">
        <row r="4">
          <cell r="IP4">
            <v>4</v>
          </cell>
        </row>
        <row r="5">
          <cell r="IP5">
            <v>4</v>
          </cell>
        </row>
        <row r="15">
          <cell r="IP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  <cell r="IA19">
            <v>76</v>
          </cell>
          <cell r="IB19">
            <v>82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P19">
            <v>8</v>
          </cell>
        </row>
        <row r="47">
          <cell r="IP47">
            <v>117684</v>
          </cell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  <cell r="IA64">
            <v>1189952</v>
          </cell>
          <cell r="IB64">
            <v>1257795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P64">
            <v>117684</v>
          </cell>
        </row>
      </sheetData>
      <sheetData sheetId="77">
        <row r="4">
          <cell r="IR4">
            <v>0</v>
          </cell>
        </row>
      </sheetData>
      <sheetData sheetId="78">
        <row r="4">
          <cell r="IP4">
            <v>7</v>
          </cell>
        </row>
        <row r="5">
          <cell r="IP5">
            <v>7</v>
          </cell>
        </row>
        <row r="15">
          <cell r="IP15"/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  <cell r="IA19">
            <v>10</v>
          </cell>
          <cell r="IB19">
            <v>10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P19">
            <v>14</v>
          </cell>
        </row>
        <row r="47">
          <cell r="IP47">
            <v>243088</v>
          </cell>
        </row>
        <row r="48">
          <cell r="IP48"/>
        </row>
        <row r="52">
          <cell r="IP52">
            <v>211474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  <cell r="IA64">
            <v>133471</v>
          </cell>
          <cell r="IB64">
            <v>117128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P64">
            <v>454562</v>
          </cell>
        </row>
      </sheetData>
      <sheetData sheetId="79">
        <row r="4">
          <cell r="IP4"/>
        </row>
        <row r="5">
          <cell r="IP5"/>
        </row>
        <row r="15">
          <cell r="IP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80"/>
      <sheetData sheetId="81">
        <row r="4">
          <cell r="IP4">
            <v>104</v>
          </cell>
        </row>
        <row r="5">
          <cell r="IP5">
            <v>104</v>
          </cell>
        </row>
        <row r="15">
          <cell r="IP15"/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  <cell r="IA19">
            <v>234</v>
          </cell>
          <cell r="IB19">
            <v>260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P19">
            <v>208</v>
          </cell>
        </row>
        <row r="47">
          <cell r="IP47">
            <v>7437386</v>
          </cell>
        </row>
        <row r="48">
          <cell r="IP48"/>
        </row>
        <row r="52">
          <cell r="IP52">
            <v>6313818</v>
          </cell>
        </row>
        <row r="53">
          <cell r="IP53"/>
        </row>
        <row r="57">
          <cell r="IP57"/>
        </row>
        <row r="58">
          <cell r="IP58"/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  <cell r="IA64">
            <v>14743955</v>
          </cell>
          <cell r="IB64">
            <v>15030231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P64">
            <v>13751204</v>
          </cell>
        </row>
      </sheetData>
      <sheetData sheetId="82">
        <row r="4">
          <cell r="IP4">
            <v>21</v>
          </cell>
        </row>
        <row r="5">
          <cell r="IP5">
            <v>21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  <cell r="IA19">
            <v>42</v>
          </cell>
          <cell r="IB19">
            <v>40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P19">
            <v>42</v>
          </cell>
        </row>
        <row r="47">
          <cell r="IP47"/>
        </row>
        <row r="48">
          <cell r="IP48">
            <v>48740</v>
          </cell>
        </row>
        <row r="52">
          <cell r="IP52"/>
        </row>
        <row r="53">
          <cell r="IP53">
            <v>96709</v>
          </cell>
        </row>
        <row r="57">
          <cell r="IP57"/>
        </row>
        <row r="58">
          <cell r="IP58"/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  <cell r="IA64">
            <v>167301</v>
          </cell>
          <cell r="IB64">
            <v>159749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P64">
            <v>145449</v>
          </cell>
        </row>
      </sheetData>
      <sheetData sheetId="83">
        <row r="4">
          <cell r="IP4">
            <v>17</v>
          </cell>
        </row>
        <row r="5">
          <cell r="IP5">
            <v>17</v>
          </cell>
        </row>
        <row r="15">
          <cell r="IP15"/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  <cell r="IA19">
            <v>32</v>
          </cell>
          <cell r="IB19">
            <v>30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P19">
            <v>34</v>
          </cell>
        </row>
        <row r="47">
          <cell r="IP47">
            <v>67665</v>
          </cell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  <cell r="IA64">
            <v>55160</v>
          </cell>
          <cell r="IB64">
            <v>61563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P64">
            <v>67665</v>
          </cell>
        </row>
      </sheetData>
      <sheetData sheetId="84">
        <row r="4">
          <cell r="IP4">
            <v>99</v>
          </cell>
        </row>
        <row r="5">
          <cell r="IP5">
            <v>83</v>
          </cell>
        </row>
        <row r="15">
          <cell r="IP15"/>
        </row>
        <row r="16">
          <cell r="IP16">
            <v>17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  <cell r="IA19">
            <v>244</v>
          </cell>
          <cell r="IB19">
            <v>264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P19">
            <v>199</v>
          </cell>
        </row>
        <row r="47">
          <cell r="IP47">
            <v>5666953</v>
          </cell>
        </row>
        <row r="48">
          <cell r="IP48">
            <v>42445</v>
          </cell>
        </row>
        <row r="52">
          <cell r="IP52">
            <v>4389267</v>
          </cell>
        </row>
        <row r="53">
          <cell r="IP53">
            <v>33290</v>
          </cell>
        </row>
        <row r="57">
          <cell r="IP57"/>
        </row>
        <row r="58">
          <cell r="IP58"/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  <cell r="IA64">
            <v>12069906</v>
          </cell>
          <cell r="IB64">
            <v>12678743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P64">
            <v>10131955</v>
          </cell>
        </row>
      </sheetData>
      <sheetData sheetId="85"/>
      <sheetData sheetId="86"/>
      <sheetData sheetId="87"/>
      <sheetData sheetId="88">
        <row r="4">
          <cell r="IP4">
            <v>184</v>
          </cell>
        </row>
        <row r="5">
          <cell r="IP5">
            <v>184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  <cell r="IA19">
            <v>364</v>
          </cell>
          <cell r="IB19">
            <v>428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P19">
            <v>368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90">
        <row r="4">
          <cell r="IP4"/>
        </row>
        <row r="5">
          <cell r="IP5"/>
        </row>
        <row r="8">
          <cell r="IP8"/>
        </row>
        <row r="9">
          <cell r="IP9"/>
        </row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10</v>
          </cell>
          <cell r="IB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P19">
            <v>0</v>
          </cell>
        </row>
        <row r="47">
          <cell r="IP47"/>
        </row>
        <row r="48">
          <cell r="IP48"/>
        </row>
        <row r="52">
          <cell r="IP52"/>
        </row>
        <row r="53">
          <cell r="IP53"/>
        </row>
        <row r="57">
          <cell r="IP57"/>
        </row>
        <row r="58">
          <cell r="IP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111244</v>
          </cell>
          <cell r="IB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P64">
            <v>0</v>
          </cell>
        </row>
      </sheetData>
      <sheetData sheetId="91">
        <row r="4">
          <cell r="IP4">
            <v>44</v>
          </cell>
        </row>
        <row r="5">
          <cell r="IP5">
            <v>43</v>
          </cell>
        </row>
      </sheetData>
      <sheetData sheetId="92">
        <row r="4">
          <cell r="IP4">
            <v>692</v>
          </cell>
        </row>
        <row r="5">
          <cell r="IP5">
            <v>692</v>
          </cell>
        </row>
      </sheetData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  <cell r="L25">
            <v>1454036</v>
          </cell>
          <cell r="M25">
            <v>1408918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121820</v>
          </cell>
          <cell r="C26">
            <v>128458</v>
          </cell>
          <cell r="L26">
            <v>1633239</v>
          </cell>
          <cell r="M26">
            <v>1624341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139115</v>
          </cell>
          <cell r="C27">
            <v>126500</v>
          </cell>
          <cell r="L27">
            <v>1715903</v>
          </cell>
          <cell r="M27">
            <v>1703844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180630</v>
          </cell>
          <cell r="I27">
            <v>2778188</v>
          </cell>
          <cell r="N27">
            <v>2958818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136198</v>
          </cell>
          <cell r="C28">
            <v>125692</v>
          </cell>
          <cell r="L28">
            <v>1683949</v>
          </cell>
          <cell r="M28">
            <v>1659442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181603</v>
          </cell>
          <cell r="I28">
            <v>2731608</v>
          </cell>
          <cell r="N28">
            <v>2913211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114472</v>
          </cell>
          <cell r="C29">
            <v>112599</v>
          </cell>
          <cell r="L29">
            <v>1416298</v>
          </cell>
          <cell r="M29">
            <v>1440790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146335</v>
          </cell>
          <cell r="I29">
            <v>2451268</v>
          </cell>
          <cell r="N29">
            <v>2597603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138306</v>
          </cell>
          <cell r="I30">
            <v>2551547</v>
          </cell>
          <cell r="N30">
            <v>2689853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L20" sqref="L20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45231</v>
      </c>
      <c r="B2" s="10"/>
      <c r="C2" s="10"/>
      <c r="D2" s="444" t="s">
        <v>228</v>
      </c>
      <c r="E2" s="444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5"/>
      <c r="E3" s="446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1159055</v>
      </c>
      <c r="C5" s="10">
        <f>'Major Airline Stats'!K5</f>
        <v>1186178</v>
      </c>
      <c r="D5" s="2">
        <f>'Major Airline Stats'!K6</f>
        <v>2345233</v>
      </c>
      <c r="E5" s="2">
        <f>'[1]Monthly Summary'!D5</f>
        <v>2067779</v>
      </c>
      <c r="F5" s="3">
        <f>(D5-E5)/E5</f>
        <v>0.13417971649774951</v>
      </c>
      <c r="G5" s="2">
        <f>+D5+'[2]Monthly Summary'!G5</f>
        <v>27388779</v>
      </c>
      <c r="H5" s="2">
        <f>'[1]Monthly Summary'!G5</f>
        <v>23139138</v>
      </c>
      <c r="I5" s="65">
        <f>(G5-H5)/H5</f>
        <v>0.18365597715869969</v>
      </c>
      <c r="J5" s="2"/>
    </row>
    <row r="6" spans="1:14" x14ac:dyDescent="0.2">
      <c r="A6" s="50" t="s">
        <v>5</v>
      </c>
      <c r="B6" s="217">
        <f>'Regional Major'!M5</f>
        <v>171558</v>
      </c>
      <c r="C6" s="217">
        <f>'Regional Major'!M6</f>
        <v>169215</v>
      </c>
      <c r="D6" s="2">
        <f>B6+C6</f>
        <v>340773</v>
      </c>
      <c r="E6" s="2">
        <f>'[1]Monthly Summary'!D6</f>
        <v>381137</v>
      </c>
      <c r="F6" s="3">
        <f>(D6-E6)/E6</f>
        <v>-0.1059041761886146</v>
      </c>
      <c r="G6" s="2">
        <f>+D6+'[2]Monthly Summary'!G6</f>
        <v>3698339</v>
      </c>
      <c r="H6" s="2">
        <f>'[1]Monthly Summary'!G6</f>
        <v>4784620</v>
      </c>
      <c r="I6" s="65">
        <f>(G6-H6)/H6</f>
        <v>-0.22703600285916123</v>
      </c>
      <c r="K6" s="2"/>
    </row>
    <row r="7" spans="1:14" x14ac:dyDescent="0.2">
      <c r="A7" s="50" t="s">
        <v>6</v>
      </c>
      <c r="B7" s="2">
        <f>Charter!H5</f>
        <v>0</v>
      </c>
      <c r="C7" s="217">
        <f>Charter!H6</f>
        <v>0</v>
      </c>
      <c r="D7" s="2">
        <f>B7+C7</f>
        <v>0</v>
      </c>
      <c r="E7" s="2">
        <f>'[1]Monthly Summary'!D7</f>
        <v>626</v>
      </c>
      <c r="F7" s="3">
        <f>(D7-E7)/E7</f>
        <v>-1</v>
      </c>
      <c r="G7" s="2">
        <f>+D7+'[2]Monthly Summary'!G7</f>
        <v>3390</v>
      </c>
      <c r="H7" s="2">
        <f>'[1]Monthly Summary'!G7</f>
        <v>6170</v>
      </c>
      <c r="I7" s="65">
        <f>(G7-H7)/H7</f>
        <v>-0.45056726094003241</v>
      </c>
      <c r="K7" s="2"/>
    </row>
    <row r="8" spans="1:14" x14ac:dyDescent="0.2">
      <c r="A8" s="52" t="s">
        <v>7</v>
      </c>
      <c r="B8" s="119">
        <f>SUM(B5:B7)</f>
        <v>1330613</v>
      </c>
      <c r="C8" s="119">
        <f>SUM(C5:C7)</f>
        <v>1355393</v>
      </c>
      <c r="D8" s="119">
        <f>SUM(D5:D7)</f>
        <v>2686006</v>
      </c>
      <c r="E8" s="119">
        <f>SUM(E5:E7)</f>
        <v>2449542</v>
      </c>
      <c r="F8" s="71">
        <f>(D8-E8)/E8</f>
        <v>9.6533964308429906E-2</v>
      </c>
      <c r="G8" s="119">
        <f>SUM(G5:G7)</f>
        <v>31090508</v>
      </c>
      <c r="H8" s="119">
        <f>SUM(H5:H7)</f>
        <v>27929928</v>
      </c>
      <c r="I8" s="70">
        <f>(G8-H8)/H8</f>
        <v>0.11316105075530448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40028</v>
      </c>
      <c r="C10" s="218">
        <f>'Major Airline Stats'!K10+'Regional Major'!M11</f>
        <v>40580</v>
      </c>
      <c r="D10" s="96">
        <f>SUM(B10:C10)</f>
        <v>80608</v>
      </c>
      <c r="E10" s="402">
        <f>'[1]Monthly Summary'!D10</f>
        <v>76185</v>
      </c>
      <c r="F10" s="72">
        <f>(D10-E10)/E10</f>
        <v>5.8056047778434074E-2</v>
      </c>
      <c r="G10" s="402">
        <f>+D10+'[2]Monthly Summary'!G10</f>
        <v>891282</v>
      </c>
      <c r="H10" s="402">
        <f>'[1]Monthly Summary'!G10</f>
        <v>819439</v>
      </c>
      <c r="I10" s="75">
        <f>(G10-H10)/H10</f>
        <v>8.7673396067309464E-2</v>
      </c>
      <c r="J10" s="169"/>
    </row>
    <row r="11" spans="1:14" ht="15.75" thickBot="1" x14ac:dyDescent="0.3">
      <c r="A11" s="51" t="s">
        <v>13</v>
      </c>
      <c r="B11" s="197">
        <f>B10+B8</f>
        <v>1370641</v>
      </c>
      <c r="C11" s="197">
        <f>C10+C8</f>
        <v>1395973</v>
      </c>
      <c r="D11" s="197">
        <f>D10+D8</f>
        <v>2766614</v>
      </c>
      <c r="E11" s="197">
        <f>E10+E8</f>
        <v>2525727</v>
      </c>
      <c r="F11" s="73">
        <f>(D11-E11)/E11</f>
        <v>9.5373332113882464E-2</v>
      </c>
      <c r="G11" s="197">
        <f>G8+G10</f>
        <v>31981790</v>
      </c>
      <c r="H11" s="197">
        <f>H8+H10</f>
        <v>28749367</v>
      </c>
      <c r="I11" s="76">
        <f>(G11-H11)/H11</f>
        <v>0.11243457986396709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  <c r="N12" s="391"/>
    </row>
    <row r="13" spans="1:14" ht="16.5" customHeight="1" x14ac:dyDescent="0.2">
      <c r="B13" s="10"/>
      <c r="C13" s="10"/>
      <c r="D13" s="444" t="s">
        <v>228</v>
      </c>
      <c r="E13" s="444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5"/>
      <c r="E14" s="446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8810</v>
      </c>
      <c r="C16" s="226">
        <f>'Major Airline Stats'!K16+'Major Airline Stats'!K20</f>
        <v>8816</v>
      </c>
      <c r="D16" s="31">
        <f t="shared" ref="D16:D21" si="0">SUM(B16:C16)</f>
        <v>17626</v>
      </c>
      <c r="E16" s="2">
        <f>'[1]Monthly Summary'!D16</f>
        <v>15000</v>
      </c>
      <c r="F16" s="74">
        <f t="shared" ref="F16:F22" si="1">(D16-E16)/E16</f>
        <v>0.17506666666666668</v>
      </c>
      <c r="G16" s="2">
        <f>+D16+'[2]Monthly Summary'!G16</f>
        <v>198502</v>
      </c>
      <c r="H16" s="2">
        <f>'[1]Monthly Summary'!G16</f>
        <v>165517</v>
      </c>
      <c r="I16" s="192">
        <f t="shared" ref="I16:I22" si="2">(G16-H16)/H16</f>
        <v>0.19928466562347069</v>
      </c>
      <c r="N16" s="95"/>
    </row>
    <row r="17" spans="1:14" x14ac:dyDescent="0.2">
      <c r="A17" s="50" t="s">
        <v>5</v>
      </c>
      <c r="B17" s="31">
        <f>'Regional Major'!M15+'Regional Major'!M18</f>
        <v>3003</v>
      </c>
      <c r="C17" s="31">
        <f>'Regional Major'!M16+'Regional Major'!M19</f>
        <v>3011</v>
      </c>
      <c r="D17" s="31">
        <f>SUM(B17:C17)</f>
        <v>6014</v>
      </c>
      <c r="E17" s="2">
        <f>'[1]Monthly Summary'!D17</f>
        <v>6655</v>
      </c>
      <c r="F17" s="74">
        <f t="shared" si="1"/>
        <v>-9.6318557475582267E-2</v>
      </c>
      <c r="G17" s="2">
        <f>+D17+'[2]Monthly Summary'!G17</f>
        <v>68357</v>
      </c>
      <c r="H17" s="2">
        <f>'[1]Monthly Summary'!G17</f>
        <v>88890</v>
      </c>
      <c r="I17" s="192">
        <f t="shared" si="2"/>
        <v>-0.23099336258296771</v>
      </c>
      <c r="L17" s="2"/>
      <c r="M17" s="2"/>
    </row>
    <row r="18" spans="1:14" x14ac:dyDescent="0.2">
      <c r="A18" s="50" t="s">
        <v>10</v>
      </c>
      <c r="B18" s="31">
        <f>Charter!H10</f>
        <v>0</v>
      </c>
      <c r="C18" s="31">
        <f>Charter!H11</f>
        <v>0</v>
      </c>
      <c r="D18" s="31">
        <f t="shared" si="0"/>
        <v>0</v>
      </c>
      <c r="E18" s="2">
        <f>'[1]Monthly Summary'!D18</f>
        <v>8</v>
      </c>
      <c r="F18" s="74">
        <f t="shared" si="1"/>
        <v>-1</v>
      </c>
      <c r="G18" s="2">
        <f>+D18+'[2]Monthly Summary'!G18</f>
        <v>58</v>
      </c>
      <c r="H18" s="2">
        <f>'[1]Monthly Summary'!G18</f>
        <v>60</v>
      </c>
      <c r="I18" s="192">
        <f t="shared" si="2"/>
        <v>-3.3333333333333333E-2</v>
      </c>
    </row>
    <row r="19" spans="1:14" x14ac:dyDescent="0.2">
      <c r="A19" s="50" t="s">
        <v>11</v>
      </c>
      <c r="B19" s="31">
        <f>Cargo!S4+Cargo!S8</f>
        <v>599</v>
      </c>
      <c r="C19" s="31">
        <f>Cargo!S5+Cargo!S9</f>
        <v>600</v>
      </c>
      <c r="D19" s="31">
        <f t="shared" si="0"/>
        <v>1199</v>
      </c>
      <c r="E19" s="2">
        <f>'[1]Monthly Summary'!D19</f>
        <v>1354</v>
      </c>
      <c r="F19" s="74">
        <f t="shared" si="1"/>
        <v>-0.11447562776957164</v>
      </c>
      <c r="G19" s="2">
        <f>+D19+'[2]Monthly Summary'!G19</f>
        <v>12778</v>
      </c>
      <c r="H19" s="2">
        <f>'[1]Monthly Summary'!G19</f>
        <v>14245</v>
      </c>
      <c r="I19" s="192">
        <f t="shared" si="2"/>
        <v>-0.10298350298350298</v>
      </c>
    </row>
    <row r="20" spans="1:14" x14ac:dyDescent="0.2">
      <c r="A20" s="50" t="s">
        <v>146</v>
      </c>
      <c r="B20" s="31">
        <f>'[3]General Avation'!$IP$4</f>
        <v>692</v>
      </c>
      <c r="C20" s="31">
        <f>'[3]General Avation'!$IP$5</f>
        <v>692</v>
      </c>
      <c r="D20" s="31">
        <f t="shared" si="0"/>
        <v>1384</v>
      </c>
      <c r="E20" s="2">
        <f>'[1]Monthly Summary'!D20</f>
        <v>1467</v>
      </c>
      <c r="F20" s="74">
        <f t="shared" si="1"/>
        <v>-5.6578050443081118E-2</v>
      </c>
      <c r="G20" s="2">
        <f>+D20+'[2]Monthly Summary'!G20</f>
        <v>16530</v>
      </c>
      <c r="H20" s="2">
        <f>'[1]Monthly Summary'!G20</f>
        <v>16270</v>
      </c>
      <c r="I20" s="192">
        <f t="shared" si="2"/>
        <v>1.5980331899200985E-2</v>
      </c>
      <c r="L20" s="2"/>
      <c r="M20" s="2"/>
    </row>
    <row r="21" spans="1:14" ht="12.75" customHeight="1" x14ac:dyDescent="0.2">
      <c r="A21" s="50" t="s">
        <v>12</v>
      </c>
      <c r="B21" s="11">
        <f>'[3]Military '!$IP$4</f>
        <v>44</v>
      </c>
      <c r="C21" s="11">
        <f>'[3]Military '!$IP$5</f>
        <v>43</v>
      </c>
      <c r="D21" s="11">
        <f t="shared" si="0"/>
        <v>87</v>
      </c>
      <c r="E21" s="402">
        <f>'[1]Monthly Summary'!D21</f>
        <v>70</v>
      </c>
      <c r="F21" s="190">
        <f t="shared" si="1"/>
        <v>0.24285714285714285</v>
      </c>
      <c r="G21" s="402">
        <f>+D21+'[2]Monthly Summary'!G21</f>
        <v>654</v>
      </c>
      <c r="H21" s="402">
        <f>'[1]Monthly Summary'!G21</f>
        <v>850</v>
      </c>
      <c r="I21" s="193">
        <f t="shared" si="2"/>
        <v>-0.23058823529411765</v>
      </c>
      <c r="K21" s="95"/>
      <c r="M21" s="436"/>
    </row>
    <row r="22" spans="1:14" ht="15.75" thickBot="1" x14ac:dyDescent="0.3">
      <c r="A22" s="51" t="s">
        <v>28</v>
      </c>
      <c r="B22" s="198">
        <f>SUM(B16:B21)</f>
        <v>13148</v>
      </c>
      <c r="C22" s="198">
        <f>SUM(C16:C21)</f>
        <v>13162</v>
      </c>
      <c r="D22" s="198">
        <f>SUM(D16:D21)</f>
        <v>26310</v>
      </c>
      <c r="E22" s="198">
        <f>SUM(E16:E21)</f>
        <v>24554</v>
      </c>
      <c r="F22" s="195">
        <f t="shared" si="1"/>
        <v>7.1515842632564955E-2</v>
      </c>
      <c r="G22" s="198">
        <f>SUM(G16:G21)</f>
        <v>296879</v>
      </c>
      <c r="H22" s="198">
        <f>SUM(H16:H21)</f>
        <v>285832</v>
      </c>
      <c r="I22" s="196">
        <f t="shared" si="2"/>
        <v>3.8648576786364019E-2</v>
      </c>
    </row>
    <row r="23" spans="1:14" x14ac:dyDescent="0.2">
      <c r="B23" s="95"/>
      <c r="C23" s="95"/>
      <c r="L23" s="2"/>
    </row>
    <row r="24" spans="1:14" ht="12.75" customHeight="1" x14ac:dyDescent="0.2">
      <c r="B24" s="10"/>
      <c r="C24" s="10"/>
      <c r="D24" s="444" t="s">
        <v>228</v>
      </c>
      <c r="E24" s="444" t="s">
        <v>220</v>
      </c>
      <c r="F24" s="5"/>
      <c r="G24" s="5"/>
      <c r="H24" s="5"/>
      <c r="I24" s="5"/>
    </row>
    <row r="25" spans="1:14" ht="13.5" thickBot="1" x14ac:dyDescent="0.25">
      <c r="B25" s="5" t="s">
        <v>0</v>
      </c>
      <c r="C25" s="5" t="s">
        <v>1</v>
      </c>
      <c r="D25" s="445"/>
      <c r="E25" s="446"/>
      <c r="F25" s="5" t="s">
        <v>2</v>
      </c>
      <c r="G25" s="5" t="s">
        <v>229</v>
      </c>
      <c r="H25" s="5" t="s">
        <v>221</v>
      </c>
      <c r="I25" s="5" t="s">
        <v>2</v>
      </c>
    </row>
    <row r="26" spans="1:14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4" x14ac:dyDescent="0.2">
      <c r="A27" s="45" t="s">
        <v>15</v>
      </c>
      <c r="B27" s="13">
        <f>(Cargo!S16+'Major Airline Stats'!K28+'Regional Major'!M25)*0.00045359237</f>
        <v>9706.1493372754667</v>
      </c>
      <c r="C27" s="13">
        <f>(Cargo!S21+'Major Airline Stats'!K33+'Regional Major'!M30)*0.00045359237</f>
        <v>7448.5177813467963</v>
      </c>
      <c r="D27" s="13">
        <f>(SUM(B27:C27)+('Cargo Summary'!E17*0.00045359237))</f>
        <v>17154.667118622263</v>
      </c>
      <c r="E27" s="2">
        <f>'[1]Monthly Summary'!D27</f>
        <v>17778.973422276991</v>
      </c>
      <c r="F27" s="77">
        <f>(D27-E27)/E27</f>
        <v>-3.5114867930027653E-2</v>
      </c>
      <c r="G27" s="2">
        <f>+D27+'[2]Monthly Summary'!G27</f>
        <v>174695.00792703836</v>
      </c>
      <c r="H27" s="2">
        <f>'[1]Monthly Summary'!G27</f>
        <v>189472.66777554314</v>
      </c>
      <c r="I27" s="79">
        <f>(G27-H27)/H27</f>
        <v>-7.7993623154190186E-2</v>
      </c>
      <c r="N27" s="95"/>
    </row>
    <row r="28" spans="1:14" x14ac:dyDescent="0.2">
      <c r="A28" s="45" t="s">
        <v>16</v>
      </c>
      <c r="B28" s="13">
        <f>(Cargo!S17+'Major Airline Stats'!K29+'Regional Major'!M26)*0.00045359237</f>
        <v>250.20790158518</v>
      </c>
      <c r="C28" s="13">
        <f>(Cargo!S22+'Major Airline Stats'!K34+'Regional Major'!M31)*0.00045359237</f>
        <v>261.67698466063001</v>
      </c>
      <c r="D28" s="13">
        <f>SUM(B28:C28)</f>
        <v>511.88488624580998</v>
      </c>
      <c r="E28" s="2">
        <f>'[1]Monthly Summary'!D28</f>
        <v>1934.8476958033298</v>
      </c>
      <c r="F28" s="77">
        <f>(D28-E28)/E28</f>
        <v>-0.73543918347884207</v>
      </c>
      <c r="G28" s="2">
        <f>+D28+'[2]Monthly Summary'!G28</f>
        <v>10883.036290301561</v>
      </c>
      <c r="H28" s="2">
        <f>'[1]Monthly Summary'!G28</f>
        <v>26734.373409710424</v>
      </c>
      <c r="I28" s="79">
        <f>(G28-H28)/H28</f>
        <v>-0.59291971711786451</v>
      </c>
    </row>
    <row r="29" spans="1:14" ht="15.75" thickBot="1" x14ac:dyDescent="0.3">
      <c r="A29" s="46" t="s">
        <v>62</v>
      </c>
      <c r="B29" s="38">
        <f>SUM(B27:B28)</f>
        <v>9956.3572388606462</v>
      </c>
      <c r="C29" s="38">
        <f>SUM(C27:C28)</f>
        <v>7710.1947660074266</v>
      </c>
      <c r="D29" s="38">
        <f>SUM(D27:D28)</f>
        <v>17666.552004868074</v>
      </c>
      <c r="E29" s="38">
        <f>SUM(E27:E28)</f>
        <v>19713.821118080319</v>
      </c>
      <c r="F29" s="78">
        <f>(D29-E29)/E29</f>
        <v>-0.10384943136846335</v>
      </c>
      <c r="G29" s="38">
        <f>SUM(G27:G28)</f>
        <v>185578.04421733992</v>
      </c>
      <c r="H29" s="38">
        <f>SUM(H27:H28)</f>
        <v>216207.04118525356</v>
      </c>
      <c r="I29" s="80">
        <f>(G29-H29)/H29</f>
        <v>-0.14166512246781857</v>
      </c>
    </row>
    <row r="30" spans="1:14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4" ht="13.5" thickBot="1" x14ac:dyDescent="0.25">
      <c r="B31" s="443" t="s">
        <v>142</v>
      </c>
      <c r="C31" s="442"/>
      <c r="D31" s="443" t="s">
        <v>149</v>
      </c>
      <c r="E31" s="442"/>
      <c r="F31" s="308"/>
      <c r="G31" s="309"/>
    </row>
    <row r="32" spans="1:14" x14ac:dyDescent="0.2">
      <c r="A32" s="290" t="s">
        <v>143</v>
      </c>
      <c r="B32" s="291">
        <f>C8-B33</f>
        <v>906324</v>
      </c>
      <c r="C32" s="292">
        <f>B32/C8</f>
        <v>0.66867985890439152</v>
      </c>
      <c r="D32" s="293">
        <f>+B32+'[2]Monthly Summary'!$D$32</f>
        <v>10559758</v>
      </c>
      <c r="E32" s="294">
        <f>+D32/D34</f>
        <v>0.68006875034374525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449069</v>
      </c>
      <c r="C33" s="297">
        <f>+B33/C8</f>
        <v>0.33132014109560842</v>
      </c>
      <c r="D33" s="298">
        <f>+B33+'[2]Monthly Summary'!$D$33</f>
        <v>4967728</v>
      </c>
      <c r="E33" s="299">
        <f>+D33/D34</f>
        <v>0.31993124965625475</v>
      </c>
      <c r="G33" s="230"/>
      <c r="H33" s="436"/>
      <c r="I33" s="307"/>
    </row>
    <row r="34" spans="1:14" ht="13.5" thickBot="1" x14ac:dyDescent="0.25">
      <c r="B34" s="230"/>
      <c r="D34" s="300">
        <f>SUM(D32:D33)</f>
        <v>15527486</v>
      </c>
    </row>
    <row r="35" spans="1:14" ht="13.5" thickBot="1" x14ac:dyDescent="0.25">
      <c r="B35" s="441" t="s">
        <v>251</v>
      </c>
      <c r="C35" s="442"/>
      <c r="D35" s="443" t="s">
        <v>230</v>
      </c>
      <c r="E35" s="442"/>
    </row>
    <row r="36" spans="1:14" x14ac:dyDescent="0.2">
      <c r="A36" s="290" t="s">
        <v>143</v>
      </c>
      <c r="B36" s="291">
        <f>'[1]Monthly Summary'!$B$32</f>
        <v>836199</v>
      </c>
      <c r="C36" s="292">
        <f>+B36/B38</f>
        <v>0.68052762520640875</v>
      </c>
      <c r="D36" s="293">
        <f>'[1]Monthly Summary'!$D$32</f>
        <v>9584637</v>
      </c>
      <c r="E36" s="294">
        <f>+D36/D38</f>
        <v>0.68733602990573561</v>
      </c>
    </row>
    <row r="37" spans="1:14" ht="13.5" thickBot="1" x14ac:dyDescent="0.25">
      <c r="A37" s="295" t="s">
        <v>144</v>
      </c>
      <c r="B37" s="296">
        <f>'[1]Monthly Summary'!$B$33</f>
        <v>392552</v>
      </c>
      <c r="C37" s="299">
        <f>+B37/B38</f>
        <v>0.3194723747935912</v>
      </c>
      <c r="D37" s="298">
        <f>'[1]Monthly Summary'!$D$33</f>
        <v>4359979</v>
      </c>
      <c r="E37" s="299">
        <f>+D37/D38</f>
        <v>0.31266397009426433</v>
      </c>
      <c r="G37" s="230"/>
      <c r="M37" s="1"/>
    </row>
    <row r="38" spans="1:14" x14ac:dyDescent="0.2">
      <c r="B38" s="312">
        <f>+SUM(B36:B37)</f>
        <v>1228751</v>
      </c>
      <c r="D38" s="300">
        <f>SUM(D36:D37)</f>
        <v>13944616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B9" sqref="B9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45231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[3]American!$IP$22</f>
        <v>46016</v>
      </c>
      <c r="C4" s="12">
        <f>[3]Delta!$IP$22+[3]Delta!$IP$32</f>
        <v>784182</v>
      </c>
      <c r="D4" s="12">
        <f>[3]United!$IP$22</f>
        <v>46204</v>
      </c>
      <c r="E4" s="12">
        <f>[3]Spirit!$IP$22</f>
        <v>15291</v>
      </c>
      <c r="F4" s="12">
        <f>[3]Condor!$IP$22+[3]Condor!$IP$32</f>
        <v>0</v>
      </c>
      <c r="G4" s="12">
        <f>'[3]Air France'!$IP$32</f>
        <v>0</v>
      </c>
      <c r="H4" s="12">
        <f>'[3]Jet Blue'!$IP$22</f>
        <v>393</v>
      </c>
      <c r="I4" s="12">
        <f>[3]KLM!$IP$22+[3]KLM!$IP$32</f>
        <v>3587</v>
      </c>
      <c r="J4" s="12">
        <f>'Other Major Airline Stats'!K5</f>
        <v>263382</v>
      </c>
      <c r="K4" s="205">
        <f>SUM(B4:J4)</f>
        <v>1159055</v>
      </c>
    </row>
    <row r="5" spans="1:20" x14ac:dyDescent="0.2">
      <c r="A5" s="45" t="s">
        <v>31</v>
      </c>
      <c r="B5" s="7">
        <f>[3]American!$IP$23</f>
        <v>47416</v>
      </c>
      <c r="C5" s="7">
        <f>[3]Delta!$IP$23+[3]Delta!$IP$33</f>
        <v>798987</v>
      </c>
      <c r="D5" s="7">
        <f>[3]United!$IP$23</f>
        <v>47211</v>
      </c>
      <c r="E5" s="7">
        <f>[3]Spirit!$IP$23</f>
        <v>15311</v>
      </c>
      <c r="F5" s="7">
        <f>[3]Condor!$IP$23+[3]Condor!$IP$33</f>
        <v>0</v>
      </c>
      <c r="G5" s="7">
        <f>'[3]Air France'!$IP$33</f>
        <v>0</v>
      </c>
      <c r="H5" s="7">
        <f>'[3]Jet Blue'!$IP$23</f>
        <v>2804</v>
      </c>
      <c r="I5" s="7">
        <f>[3]KLM!$IP$23+[3]KLM!$IP$33</f>
        <v>3218</v>
      </c>
      <c r="J5" s="7">
        <f>'Other Major Airline Stats'!K6</f>
        <v>271231</v>
      </c>
      <c r="K5" s="206">
        <f>SUM(B5:J5)</f>
        <v>1186178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93432</v>
      </c>
      <c r="C6" s="24">
        <f t="shared" si="0"/>
        <v>1583169</v>
      </c>
      <c r="D6" s="24">
        <f t="shared" si="0"/>
        <v>93415</v>
      </c>
      <c r="E6" s="24">
        <f t="shared" si="0"/>
        <v>30602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3197</v>
      </c>
      <c r="I6" s="24">
        <f t="shared" si="1"/>
        <v>6805</v>
      </c>
      <c r="J6" s="24">
        <f>SUM(J4:J5)</f>
        <v>534613</v>
      </c>
      <c r="K6" s="207">
        <f>SUM(B6:J6)</f>
        <v>2345233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[3]American!$IP$27</f>
        <v>1607</v>
      </c>
      <c r="C9" s="12">
        <f>[3]Delta!$IP$27+[3]Delta!$IP$37</f>
        <v>26150</v>
      </c>
      <c r="D9" s="12">
        <f>[3]United!$IP$27</f>
        <v>1827</v>
      </c>
      <c r="E9" s="12">
        <f>[3]Spirit!$IP$27</f>
        <v>115</v>
      </c>
      <c r="F9" s="12">
        <f>[3]Condor!$IP$27+[3]Condor!$IP$37</f>
        <v>0</v>
      </c>
      <c r="G9" s="12">
        <f>'[3]Air France'!$IP$37</f>
        <v>0</v>
      </c>
      <c r="H9" s="12">
        <f>'[3]Jet Blue'!$IP$27</f>
        <v>79</v>
      </c>
      <c r="I9" s="12">
        <f>[3]KLM!$IP$27+[3]KLM!$IP$37</f>
        <v>18</v>
      </c>
      <c r="J9" s="12">
        <f>'Other Major Airline Stats'!K10</f>
        <v>4831</v>
      </c>
      <c r="K9" s="205">
        <f>SUM(B9:J9)</f>
        <v>34627</v>
      </c>
      <c r="N9" s="230"/>
    </row>
    <row r="10" spans="1:20" x14ac:dyDescent="0.2">
      <c r="A10" s="45" t="s">
        <v>33</v>
      </c>
      <c r="B10" s="7">
        <f>[3]American!$IP$28</f>
        <v>1819</v>
      </c>
      <c r="C10" s="7">
        <f>[3]Delta!$IP$28+[3]Delta!$IP$38</f>
        <v>26020</v>
      </c>
      <c r="D10" s="7">
        <f>[3]United!$IP$28</f>
        <v>1881</v>
      </c>
      <c r="E10" s="7">
        <f>[3]Spirit!$IP$28</f>
        <v>151</v>
      </c>
      <c r="F10" s="7">
        <f>[3]Condor!$IP$28+[3]Condor!$IP$38</f>
        <v>0</v>
      </c>
      <c r="G10" s="7">
        <f>'[3]Air France'!$IP$38</f>
        <v>0</v>
      </c>
      <c r="H10" s="7">
        <f>'[3]Jet Blue'!$IP$28</f>
        <v>86</v>
      </c>
      <c r="I10" s="7">
        <f>[3]KLM!$IP$28+[3]KLM!$IP$38</f>
        <v>0</v>
      </c>
      <c r="J10" s="7">
        <f>'Other Major Airline Stats'!K11</f>
        <v>5203</v>
      </c>
      <c r="K10" s="206">
        <f>SUM(B10:J10)</f>
        <v>35160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3426</v>
      </c>
      <c r="C11" s="208">
        <f t="shared" si="3"/>
        <v>52170</v>
      </c>
      <c r="D11" s="208">
        <f t="shared" si="3"/>
        <v>3708</v>
      </c>
      <c r="E11" s="208">
        <f t="shared" si="3"/>
        <v>266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165</v>
      </c>
      <c r="I11" s="208">
        <f t="shared" si="4"/>
        <v>18</v>
      </c>
      <c r="J11" s="208">
        <f t="shared" si="3"/>
        <v>10034</v>
      </c>
      <c r="K11" s="209">
        <f>SUM(B11:J11)</f>
        <v>69787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[3]American!$IP$4</f>
        <v>320</v>
      </c>
      <c r="C15" s="12">
        <f>[3]Delta!$IP$4+[3]Delta!$IP$15</f>
        <v>5844</v>
      </c>
      <c r="D15" s="12">
        <f>[3]United!$IP$4</f>
        <v>369</v>
      </c>
      <c r="E15" s="12">
        <f>[3]Spirit!$IP$4</f>
        <v>113</v>
      </c>
      <c r="F15" s="12">
        <f>[3]Condor!$IP$15</f>
        <v>0</v>
      </c>
      <c r="G15" s="12">
        <f>'[3]Air France'!$IP$15</f>
        <v>0</v>
      </c>
      <c r="H15" s="12">
        <f>'[3]Jet Blue'!$IP$4</f>
        <v>29</v>
      </c>
      <c r="I15" s="12">
        <f>[3]KLM!$IP$4+[3]KLM!$IP$15</f>
        <v>16</v>
      </c>
      <c r="J15" s="12">
        <f>'Other Major Airline Stats'!K16</f>
        <v>2031</v>
      </c>
      <c r="K15" s="17">
        <f>SUM(B15:J15)</f>
        <v>8722</v>
      </c>
    </row>
    <row r="16" spans="1:20" x14ac:dyDescent="0.2">
      <c r="A16" s="45" t="s">
        <v>23</v>
      </c>
      <c r="B16" s="7">
        <f>[3]American!$IP$5</f>
        <v>322</v>
      </c>
      <c r="C16" s="7">
        <f>[3]Delta!$IP$5+[3]Delta!$IP$16</f>
        <v>5842</v>
      </c>
      <c r="D16" s="7">
        <f>[3]United!$IP$5</f>
        <v>369</v>
      </c>
      <c r="E16" s="7">
        <f>[3]Spirit!$IP$5</f>
        <v>113</v>
      </c>
      <c r="F16" s="7">
        <f>[3]Condor!$IP$5+[3]Condor!$IP$16</f>
        <v>0</v>
      </c>
      <c r="G16" s="7">
        <f>'[3]Air France'!$IP$16</f>
        <v>0</v>
      </c>
      <c r="H16" s="7">
        <f>'[3]Jet Blue'!$IP$5</f>
        <v>29</v>
      </c>
      <c r="I16" s="7">
        <f>[3]KLM!$IP$5+[3]KLM!$IP$16</f>
        <v>16</v>
      </c>
      <c r="J16" s="7">
        <f>'Other Major Airline Stats'!K17</f>
        <v>2037</v>
      </c>
      <c r="K16" s="23">
        <f>SUM(B16:J16)</f>
        <v>8728</v>
      </c>
    </row>
    <row r="17" spans="1:11" x14ac:dyDescent="0.2">
      <c r="A17" s="45" t="s">
        <v>24</v>
      </c>
      <c r="B17" s="212">
        <f t="shared" ref="B17:J17" si="6">SUM(B15:B16)</f>
        <v>642</v>
      </c>
      <c r="C17" s="210">
        <f t="shared" si="6"/>
        <v>11686</v>
      </c>
      <c r="D17" s="210">
        <f t="shared" si="6"/>
        <v>738</v>
      </c>
      <c r="E17" s="210">
        <f t="shared" si="6"/>
        <v>226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58</v>
      </c>
      <c r="I17" s="210">
        <f t="shared" si="7"/>
        <v>32</v>
      </c>
      <c r="J17" s="210">
        <f t="shared" si="6"/>
        <v>4068</v>
      </c>
      <c r="K17" s="211">
        <f>SUM(B17:J17)</f>
        <v>17450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[3]American!$IP$8</f>
        <v>0</v>
      </c>
      <c r="C19" s="12">
        <f>[3]Delta!$IP$8</f>
        <v>3</v>
      </c>
      <c r="D19" s="12">
        <f>[3]United!$IP$8</f>
        <v>0</v>
      </c>
      <c r="E19" s="12">
        <f>[3]Spirit!$IP$8</f>
        <v>0</v>
      </c>
      <c r="F19" s="12">
        <f>[3]Condor!$IP$8</f>
        <v>0</v>
      </c>
      <c r="G19" s="12">
        <f>'[3]Air France'!$IP$8</f>
        <v>0</v>
      </c>
      <c r="H19" s="12">
        <f>'[3]Jet Blue'!$IP$8</f>
        <v>0</v>
      </c>
      <c r="I19" s="12">
        <f>[3]KLM!$IP$8</f>
        <v>0</v>
      </c>
      <c r="J19" s="12">
        <f>'Other Major Airline Stats'!K20</f>
        <v>85</v>
      </c>
      <c r="K19" s="17">
        <f>SUM(B19:J19)</f>
        <v>88</v>
      </c>
    </row>
    <row r="20" spans="1:11" x14ac:dyDescent="0.2">
      <c r="A20" s="45" t="s">
        <v>26</v>
      </c>
      <c r="B20" s="7">
        <f>[3]American!$IP$9</f>
        <v>0</v>
      </c>
      <c r="C20" s="7">
        <f>[3]Delta!$IP$9</f>
        <v>5</v>
      </c>
      <c r="D20" s="7">
        <f>[3]United!$IP$9</f>
        <v>0</v>
      </c>
      <c r="E20" s="7">
        <f>[3]Spirit!$IP$9</f>
        <v>0</v>
      </c>
      <c r="F20" s="7">
        <f>[3]Condor!$IP$9</f>
        <v>0</v>
      </c>
      <c r="G20" s="7">
        <f>'[3]Air France'!$IP$9</f>
        <v>0</v>
      </c>
      <c r="H20" s="7">
        <f>'[3]Jet Blue'!$IP$9</f>
        <v>0</v>
      </c>
      <c r="I20" s="7">
        <f>[3]KLM!$IP$9</f>
        <v>0</v>
      </c>
      <c r="J20" s="7">
        <f>'Other Major Airline Stats'!K21</f>
        <v>83</v>
      </c>
      <c r="K20" s="23">
        <f>SUM(B20:J20)</f>
        <v>88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8</v>
      </c>
      <c r="D21" s="210">
        <f t="shared" si="9"/>
        <v>0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168</v>
      </c>
      <c r="K21" s="145">
        <f>SUM(B21:J21)</f>
        <v>176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642</v>
      </c>
      <c r="C23" s="18">
        <f t="shared" si="12"/>
        <v>11694</v>
      </c>
      <c r="D23" s="18">
        <f t="shared" si="12"/>
        <v>738</v>
      </c>
      <c r="E23" s="18">
        <f>E17+E21</f>
        <v>226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58</v>
      </c>
      <c r="I23" s="18">
        <f t="shared" si="13"/>
        <v>32</v>
      </c>
      <c r="J23" s="18">
        <f t="shared" si="12"/>
        <v>4236</v>
      </c>
      <c r="K23" s="19">
        <f>SUM(B23:J23)</f>
        <v>17626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[3]American!$IP$47</f>
        <v>34790</v>
      </c>
      <c r="C28" s="12">
        <f>[3]Delta!$IP$47</f>
        <v>4001471</v>
      </c>
      <c r="D28" s="12">
        <f>[3]United!$IP$47</f>
        <v>29630</v>
      </c>
      <c r="E28" s="12">
        <f>[3]Spirit!$IP$47</f>
        <v>0</v>
      </c>
      <c r="F28" s="12">
        <f>[3]Condor!$IP$47</f>
        <v>0</v>
      </c>
      <c r="G28" s="12">
        <f>'[3]Air France'!$IP$47</f>
        <v>0</v>
      </c>
      <c r="H28" s="12">
        <f>'[3]Jet Blue'!$IP$47</f>
        <v>0</v>
      </c>
      <c r="I28" s="12">
        <f>[3]KLM!$IP$47</f>
        <v>354772</v>
      </c>
      <c r="J28" s="12">
        <f>'Other Major Airline Stats'!K28</f>
        <v>201787</v>
      </c>
      <c r="K28" s="17">
        <f>SUM(B28:J28)</f>
        <v>4622450</v>
      </c>
    </row>
    <row r="29" spans="1:11" x14ac:dyDescent="0.2">
      <c r="A29" s="45" t="s">
        <v>38</v>
      </c>
      <c r="B29" s="7">
        <f>[3]American!$IP$48</f>
        <v>4533</v>
      </c>
      <c r="C29" s="7">
        <f>[3]Delta!$IP$48</f>
        <v>451853</v>
      </c>
      <c r="D29" s="7">
        <f>[3]United!$IP$48</f>
        <v>3944</v>
      </c>
      <c r="E29" s="7">
        <f>[3]Spirit!$IP$48</f>
        <v>0</v>
      </c>
      <c r="F29" s="7">
        <f>[3]Condor!$IP$48</f>
        <v>0</v>
      </c>
      <c r="G29" s="7">
        <f>'[3]Air France'!$IP$48</f>
        <v>0</v>
      </c>
      <c r="H29" s="7">
        <f>'[3]Jet Blue'!$IP$48</f>
        <v>0</v>
      </c>
      <c r="I29" s="7">
        <f>[3]KLM!$IP$48</f>
        <v>0</v>
      </c>
      <c r="J29" s="7">
        <f>'Other Major Airline Stats'!K29</f>
        <v>99</v>
      </c>
      <c r="K29" s="23">
        <f>SUM(B29:J29)</f>
        <v>460429</v>
      </c>
    </row>
    <row r="30" spans="1:11" x14ac:dyDescent="0.2">
      <c r="A30" s="49" t="s">
        <v>39</v>
      </c>
      <c r="B30" s="212">
        <f t="shared" ref="B30:J30" si="15">SUM(B28:B29)</f>
        <v>39323</v>
      </c>
      <c r="C30" s="212">
        <f t="shared" si="15"/>
        <v>4453324</v>
      </c>
      <c r="D30" s="212">
        <f t="shared" si="15"/>
        <v>33574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354772</v>
      </c>
      <c r="J30" s="212">
        <f t="shared" si="15"/>
        <v>201886</v>
      </c>
      <c r="K30" s="17">
        <f>SUM(B30:J30)</f>
        <v>5082879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[3]American!$IP$52</f>
        <v>11914</v>
      </c>
      <c r="C33" s="12">
        <f>[3]Delta!$IP$52</f>
        <v>1980204</v>
      </c>
      <c r="D33" s="12">
        <f>[3]United!$IP$52</f>
        <v>12236</v>
      </c>
      <c r="E33" s="12">
        <f>[3]Spirit!$IP$52</f>
        <v>0</v>
      </c>
      <c r="F33" s="12">
        <f>[3]Condor!$IP$52</f>
        <v>0</v>
      </c>
      <c r="G33" s="12">
        <f>'[3]Air France'!$IP$52</f>
        <v>0</v>
      </c>
      <c r="H33" s="12">
        <f>'[3]Jet Blue'!$IP$52</f>
        <v>0</v>
      </c>
      <c r="I33" s="12">
        <f>[3]KLM!$IP$52</f>
        <v>34566</v>
      </c>
      <c r="J33" s="12">
        <f>'Other Major Airline Stats'!K33</f>
        <v>47129</v>
      </c>
      <c r="K33" s="17">
        <f t="shared" si="18"/>
        <v>2086049</v>
      </c>
    </row>
    <row r="34" spans="1:11" x14ac:dyDescent="0.2">
      <c r="A34" s="45" t="s">
        <v>38</v>
      </c>
      <c r="B34" s="7">
        <f>[3]American!$IP$53</f>
        <v>2017</v>
      </c>
      <c r="C34" s="7">
        <f>[3]Delta!$IP$53</f>
        <v>444387</v>
      </c>
      <c r="D34" s="7">
        <f>[3]United!$IP$53</f>
        <v>77</v>
      </c>
      <c r="E34" s="7">
        <f>[3]Spirit!$IP$53</f>
        <v>0</v>
      </c>
      <c r="F34" s="7">
        <f>[3]Condor!$IP$53</f>
        <v>0</v>
      </c>
      <c r="G34" s="7">
        <f>'[3]Air France'!$IP$53</f>
        <v>0</v>
      </c>
      <c r="H34" s="7">
        <f>'[3]Jet Blue'!$IP$53</f>
        <v>0</v>
      </c>
      <c r="I34" s="7">
        <f>[3]KLM!$IP$53</f>
        <v>0</v>
      </c>
      <c r="J34" s="7">
        <f>'Other Major Airline Stats'!K34</f>
        <v>419</v>
      </c>
      <c r="K34" s="23">
        <f t="shared" si="18"/>
        <v>446900</v>
      </c>
    </row>
    <row r="35" spans="1:11" x14ac:dyDescent="0.2">
      <c r="A35" s="49" t="s">
        <v>41</v>
      </c>
      <c r="B35" s="212">
        <f t="shared" ref="B35:J35" si="19">SUM(B33:B34)</f>
        <v>13931</v>
      </c>
      <c r="C35" s="212">
        <f t="shared" si="19"/>
        <v>2424591</v>
      </c>
      <c r="D35" s="212">
        <f t="shared" si="19"/>
        <v>12313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34566</v>
      </c>
      <c r="J35" s="212">
        <f t="shared" si="19"/>
        <v>47548</v>
      </c>
      <c r="K35" s="17">
        <f t="shared" si="18"/>
        <v>2532949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[3]American!$IP$57</f>
        <v>0</v>
      </c>
      <c r="C38" s="12">
        <f>[3]Delta!$IP$57</f>
        <v>0</v>
      </c>
      <c r="D38" s="12">
        <f>[3]United!$IP$57</f>
        <v>0</v>
      </c>
      <c r="E38" s="12">
        <f>[3]Spirit!$IP$57</f>
        <v>0</v>
      </c>
      <c r="F38" s="12">
        <f>[3]Condor!$IP$57</f>
        <v>0</v>
      </c>
      <c r="G38" s="12">
        <f>'[3]Air France'!$IP$57</f>
        <v>0</v>
      </c>
      <c r="H38" s="12">
        <f>'[3]Jet Blue'!$IP$57</f>
        <v>0</v>
      </c>
      <c r="I38" s="12">
        <f>[3]KLM!$IP$57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[3]American!$IP$58</f>
        <v>0</v>
      </c>
      <c r="C39" s="7">
        <f>[3]Delta!$IP$58</f>
        <v>0</v>
      </c>
      <c r="D39" s="7">
        <f>[3]United!$IP$58</f>
        <v>0</v>
      </c>
      <c r="E39" s="7">
        <f>[3]Spirit!$IP$58</f>
        <v>0</v>
      </c>
      <c r="F39" s="7">
        <f>[3]Condor!$IP$58</f>
        <v>0</v>
      </c>
      <c r="G39" s="7">
        <f>'[3]Air France'!$IP$58</f>
        <v>0</v>
      </c>
      <c r="H39" s="7">
        <f>'[3]Jet Blue'!$IP$58</f>
        <v>0</v>
      </c>
      <c r="I39" s="7">
        <f>[3]KLM!$IP$58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46704</v>
      </c>
      <c r="C43" s="12">
        <f t="shared" si="25"/>
        <v>5981675</v>
      </c>
      <c r="D43" s="12">
        <f t="shared" si="25"/>
        <v>41866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389338</v>
      </c>
      <c r="J43" s="12">
        <f t="shared" si="25"/>
        <v>248916</v>
      </c>
      <c r="K43" s="17">
        <f>SUM(B43:J43)</f>
        <v>6708499</v>
      </c>
    </row>
    <row r="44" spans="1:11" x14ac:dyDescent="0.2">
      <c r="A44" s="45" t="s">
        <v>38</v>
      </c>
      <c r="B44" s="7">
        <f t="shared" si="25"/>
        <v>6550</v>
      </c>
      <c r="C44" s="7">
        <f t="shared" si="25"/>
        <v>896240</v>
      </c>
      <c r="D44" s="7">
        <f t="shared" si="25"/>
        <v>4021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518</v>
      </c>
      <c r="K44" s="17">
        <f>SUM(B44:J44)</f>
        <v>907329</v>
      </c>
    </row>
    <row r="45" spans="1:11" ht="15.75" thickBot="1" x14ac:dyDescent="0.3">
      <c r="A45" s="46" t="s">
        <v>46</v>
      </c>
      <c r="B45" s="213">
        <f t="shared" ref="B45:J45" si="30">SUM(B43:B44)</f>
        <v>53254</v>
      </c>
      <c r="C45" s="213">
        <f t="shared" si="30"/>
        <v>6877915</v>
      </c>
      <c r="D45" s="213">
        <f t="shared" si="30"/>
        <v>45887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389338</v>
      </c>
      <c r="J45" s="213">
        <f t="shared" si="30"/>
        <v>249434</v>
      </c>
      <c r="K45" s="214">
        <f>SUM(B45:J45)</f>
        <v>7615828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[3]Delta!$IP$70+[3]Delta!$IP$73</f>
        <v>448034</v>
      </c>
      <c r="D47" s="227"/>
      <c r="E47" s="227"/>
      <c r="F47" s="227"/>
      <c r="G47" s="227"/>
      <c r="H47" s="227"/>
      <c r="I47" s="227"/>
      <c r="J47" s="227"/>
      <c r="K47" s="228">
        <f>SUM(B47:J47)</f>
        <v>448034</v>
      </c>
    </row>
    <row r="48" spans="1:11" hidden="1" x14ac:dyDescent="0.2">
      <c r="A48" s="277" t="s">
        <v>121</v>
      </c>
      <c r="C48" s="239">
        <f>[3]Delta!$IP$71+[3]Delta!$IP$74</f>
        <v>350953</v>
      </c>
      <c r="D48" s="227"/>
      <c r="E48" s="227"/>
      <c r="F48" s="227"/>
      <c r="G48" s="227"/>
      <c r="H48" s="227"/>
      <c r="I48" s="227"/>
      <c r="J48" s="227"/>
      <c r="K48" s="228">
        <f>SUM(B48:J48)</f>
        <v>350953</v>
      </c>
    </row>
    <row r="49" spans="1:11" hidden="1" x14ac:dyDescent="0.2">
      <c r="A49" s="278" t="s">
        <v>122</v>
      </c>
      <c r="C49" s="240">
        <f>SUM(C47:C48)</f>
        <v>798987</v>
      </c>
      <c r="K49" s="228">
        <f>SUM(B49:J49)</f>
        <v>798987</v>
      </c>
    </row>
    <row r="50" spans="1:11" x14ac:dyDescent="0.2">
      <c r="A50" s="276" t="s">
        <v>120</v>
      </c>
      <c r="B50" s="287"/>
      <c r="C50" s="242">
        <f>[3]Delta!$IP$70+[3]Delta!$IP$73</f>
        <v>448034</v>
      </c>
      <c r="D50" s="287"/>
      <c r="E50" s="242">
        <f>[3]Spirit!$IP$70+[3]Spirit!$IP$73</f>
        <v>0</v>
      </c>
      <c r="F50" s="287"/>
      <c r="G50" s="287"/>
      <c r="H50" s="287"/>
      <c r="I50" s="287"/>
      <c r="J50" s="241">
        <f>'Other Major Airline Stats'!K48</f>
        <v>235978</v>
      </c>
      <c r="K50" s="231">
        <f>SUM(B50:J50)</f>
        <v>684012</v>
      </c>
    </row>
    <row r="51" spans="1:11" x14ac:dyDescent="0.2">
      <c r="A51" s="289" t="s">
        <v>121</v>
      </c>
      <c r="B51" s="287"/>
      <c r="C51" s="242">
        <f>[3]Delta!$IP$71+[3]Delta!$IP$74</f>
        <v>350953</v>
      </c>
      <c r="D51" s="287"/>
      <c r="E51" s="242">
        <f>[3]Spirit!$IP$71+[3]Spirit!$IP$74</f>
        <v>0</v>
      </c>
      <c r="F51" s="287"/>
      <c r="G51" s="287"/>
      <c r="H51" s="287"/>
      <c r="I51" s="287"/>
      <c r="J51" s="241">
        <f>+'Other Major Airline Stats'!K49</f>
        <v>680</v>
      </c>
      <c r="K51" s="231">
        <f>SUM(B51:J51)</f>
        <v>351633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6" sqref="F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45231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246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[3]Frontier!$IP$22+[3]Frontier!$IP$32</f>
        <v>12969</v>
      </c>
      <c r="C5" s="95">
        <f>'[3]Allegiant '!$IP$22</f>
        <v>4814</v>
      </c>
      <c r="D5" s="95">
        <f>'[3]Aer Lingus'!$IP$22+'[3]Aer Lingus'!$IP$32</f>
        <v>0</v>
      </c>
      <c r="E5" s="95">
        <f>'[3]Denver Air'!$IP$22+'[3]Denver Air'!$IP$32</f>
        <v>823</v>
      </c>
      <c r="F5" s="95">
        <f>[3]WestJet!$IP$22+[3]WestJet!$IP$32</f>
        <v>4135</v>
      </c>
      <c r="G5" s="95">
        <f>[3]Icelandair!$IP$32</f>
        <v>2370</v>
      </c>
      <c r="H5" s="95">
        <f>[3]Southwest!$IP$22</f>
        <v>66978</v>
      </c>
      <c r="I5" s="95">
        <f>'[3]Sun Country'!$IP$22+'[3]Sun Country'!$IP$32</f>
        <v>162305</v>
      </c>
      <c r="J5" s="95">
        <f>[3]Alaska!$IP$22</f>
        <v>8988</v>
      </c>
      <c r="K5" s="118">
        <f>SUM(B5:J5)</f>
        <v>263382</v>
      </c>
      <c r="N5" s="95"/>
    </row>
    <row r="6" spans="1:14" x14ac:dyDescent="0.2">
      <c r="A6" s="45" t="s">
        <v>31</v>
      </c>
      <c r="B6" s="95">
        <f>[3]Frontier!$IP$23+[3]Frontier!$IP$33</f>
        <v>13799</v>
      </c>
      <c r="C6" s="95">
        <f>'[3]Allegiant '!$IP$23</f>
        <v>5045</v>
      </c>
      <c r="D6" s="95">
        <f>'[3]Aer Lingus'!$IP$23+'[3]Aer Lingus'!$IP$33</f>
        <v>0</v>
      </c>
      <c r="E6" s="95">
        <f>'[3]Denver Air'!$IP$23+'[3]Denver Air'!$IP$33</f>
        <v>784</v>
      </c>
      <c r="F6" s="95">
        <f>[3]WestJet!$IP$23+[3]WestJet!$IP$33</f>
        <v>4033</v>
      </c>
      <c r="G6" s="95">
        <f>[3]Icelandair!$IP$33</f>
        <v>2157</v>
      </c>
      <c r="H6" s="95">
        <f>[3]Southwest!$IP$23</f>
        <v>67800</v>
      </c>
      <c r="I6" s="95">
        <f>'[3]Sun Country'!$IP$23+'[3]Sun Country'!$IP$33</f>
        <v>168858</v>
      </c>
      <c r="J6" s="95">
        <f>[3]Alaska!$IP$23</f>
        <v>8755</v>
      </c>
      <c r="K6" s="118">
        <f>SUM(B6:J6)</f>
        <v>271231</v>
      </c>
    </row>
    <row r="7" spans="1:14" ht="15" x14ac:dyDescent="0.25">
      <c r="A7" s="43" t="s">
        <v>7</v>
      </c>
      <c r="B7" s="126">
        <f>SUM(B5:B6)</f>
        <v>26768</v>
      </c>
      <c r="C7" s="126">
        <f t="shared" ref="C7:F7" si="0">SUM(C5:C6)</f>
        <v>9859</v>
      </c>
      <c r="D7" s="126">
        <f>SUM(D5:D6)</f>
        <v>0</v>
      </c>
      <c r="E7" s="126">
        <f>SUM(E5:E6)</f>
        <v>1607</v>
      </c>
      <c r="F7" s="126">
        <f t="shared" si="0"/>
        <v>8168</v>
      </c>
      <c r="G7" s="126">
        <f t="shared" ref="G7:J7" si="1">SUM(G5:G6)</f>
        <v>4527</v>
      </c>
      <c r="H7" s="126">
        <f t="shared" si="1"/>
        <v>134778</v>
      </c>
      <c r="I7" s="126">
        <f>SUM(I5:I6)</f>
        <v>331163</v>
      </c>
      <c r="J7" s="126">
        <f t="shared" si="1"/>
        <v>17743</v>
      </c>
      <c r="K7" s="127">
        <f>SUM(B7:J7)</f>
        <v>534613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[3]Frontier!$IP$27+[3]Frontier!$IP$37</f>
        <v>62</v>
      </c>
      <c r="C10" s="125">
        <f>'[3]Allegiant '!$IP$27</f>
        <v>0</v>
      </c>
      <c r="D10" s="359">
        <f>'[3]Aer Lingus'!$IP$27+'[3]Aer Lingus'!$IP$37</f>
        <v>0</v>
      </c>
      <c r="E10" s="125">
        <f>'[3]Denver Air'!$IP$27+'[3]Denver Air'!$IP$37</f>
        <v>36</v>
      </c>
      <c r="F10" s="125">
        <f>[3]WestJet!$IP$27+[3]WestJet!$IP$37</f>
        <v>1</v>
      </c>
      <c r="G10" s="125">
        <f>[3]Icelandair!$IP$37</f>
        <v>57</v>
      </c>
      <c r="H10" s="125">
        <f>[3]Southwest!$IP$27</f>
        <v>1619</v>
      </c>
      <c r="I10" s="125">
        <f>'[3]Sun Country'!$IP$27+'[3]Sun Country'!$IP$37</f>
        <v>2706</v>
      </c>
      <c r="J10" s="125">
        <f>[3]Alaska!$IP$27</f>
        <v>350</v>
      </c>
      <c r="K10" s="118">
        <f>SUM(B10:J10)</f>
        <v>4831</v>
      </c>
    </row>
    <row r="11" spans="1:14" x14ac:dyDescent="0.2">
      <c r="A11" s="45" t="s">
        <v>33</v>
      </c>
      <c r="B11" s="128">
        <f>[3]Frontier!$IP$28+[3]Frontier!$IP$38</f>
        <v>72</v>
      </c>
      <c r="C11" s="128">
        <f>'[3]Allegiant '!$IP$28</f>
        <v>0</v>
      </c>
      <c r="D11" s="128">
        <f>'[3]Aer Lingus'!$IP$28+'[3]Aer Lingus'!$IP$38</f>
        <v>0</v>
      </c>
      <c r="E11" s="128">
        <f>'[3]Denver Air'!$IP$28+'[3]Denver Air'!$IP$38</f>
        <v>35</v>
      </c>
      <c r="F11" s="128">
        <f>[3]WestJet!$IP$28+[3]WestJet!$IP$38</f>
        <v>0</v>
      </c>
      <c r="G11" s="128">
        <f>[3]Icelandair!$IP$38</f>
        <v>70</v>
      </c>
      <c r="H11" s="128">
        <f>[3]Southwest!$IP$28</f>
        <v>1706</v>
      </c>
      <c r="I11" s="128">
        <f>'[3]Sun Country'!$IP$28+'[3]Sun Country'!$IP$38</f>
        <v>2915</v>
      </c>
      <c r="J11" s="128">
        <f>[3]Alaska!$IP$28</f>
        <v>405</v>
      </c>
      <c r="K11" s="118">
        <f>SUM(B11:J11)</f>
        <v>5203</v>
      </c>
    </row>
    <row r="12" spans="1:14" ht="15.75" thickBot="1" x14ac:dyDescent="0.3">
      <c r="A12" s="46" t="s">
        <v>34</v>
      </c>
      <c r="B12" s="121">
        <f>SUM(B10:B11)</f>
        <v>134</v>
      </c>
      <c r="C12" s="121">
        <f t="shared" ref="C12:F12" si="2">SUM(C10:C11)</f>
        <v>0</v>
      </c>
      <c r="D12" s="121">
        <f>SUM(D10:D11)</f>
        <v>0</v>
      </c>
      <c r="E12" s="121">
        <f>SUM(E10:E11)</f>
        <v>71</v>
      </c>
      <c r="F12" s="121">
        <f t="shared" si="2"/>
        <v>1</v>
      </c>
      <c r="G12" s="121">
        <f t="shared" ref="G12:J12" si="3">SUM(G10:G11)</f>
        <v>127</v>
      </c>
      <c r="H12" s="121">
        <f t="shared" si="3"/>
        <v>3325</v>
      </c>
      <c r="I12" s="121">
        <f>SUM(I10:I11)</f>
        <v>5621</v>
      </c>
      <c r="J12" s="121">
        <f t="shared" si="3"/>
        <v>755</v>
      </c>
      <c r="K12" s="129">
        <f>SUM(B12:J12)</f>
        <v>10034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[3]Frontier!$IP$4+[3]Frontier!$IP$15</f>
        <v>92</v>
      </c>
      <c r="C16" s="85">
        <f>'[3]Allegiant '!$IP$4</f>
        <v>36</v>
      </c>
      <c r="D16" s="95">
        <f>'[3]Aer Lingus'!$IP$4+'[3]Aer Lingus'!$IP$15</f>
        <v>0</v>
      </c>
      <c r="E16" s="95">
        <f>'[3]Denver Air'!$IP$4+'[3]Denver Air'!$IP$15</f>
        <v>78</v>
      </c>
      <c r="F16" s="85">
        <f>[3]WestJet!$IP$4+[3]WestJet!$IP$15</f>
        <v>35</v>
      </c>
      <c r="G16" s="95">
        <f>[3]Icelandair!$IP$15</f>
        <v>17</v>
      </c>
      <c r="H16" s="85">
        <f>[3]Southwest!$IP$4</f>
        <v>666</v>
      </c>
      <c r="I16" s="95">
        <f>'[3]Sun Country'!$IP$4+'[3]Sun Country'!$IP$15</f>
        <v>1037</v>
      </c>
      <c r="J16" s="95">
        <f>[3]Alaska!$IP$4</f>
        <v>70</v>
      </c>
      <c r="K16" s="118">
        <f>SUM(B16:J16)</f>
        <v>2031</v>
      </c>
    </row>
    <row r="17" spans="1:258" x14ac:dyDescent="0.2">
      <c r="A17" s="45" t="s">
        <v>23</v>
      </c>
      <c r="B17" s="95">
        <f>[3]Frontier!$IP$5+[3]Frontier!$IP$16</f>
        <v>93</v>
      </c>
      <c r="C17" s="85">
        <f>'[3]Allegiant '!$IP$5</f>
        <v>36</v>
      </c>
      <c r="D17" s="95">
        <f>'[3]Aer Lingus'!$IP$5+'[3]Aer Lingus'!$IP$16</f>
        <v>0</v>
      </c>
      <c r="E17" s="95">
        <f>'[3]Denver Air'!$IP$5+'[3]Denver Air'!$IP$16</f>
        <v>78</v>
      </c>
      <c r="F17" s="85">
        <f>[3]WestJet!$IP$5+[3]WestJet!$IP$16</f>
        <v>35</v>
      </c>
      <c r="G17" s="95">
        <f>[3]Icelandair!$IP$16</f>
        <v>17</v>
      </c>
      <c r="H17" s="85">
        <f>[3]Southwest!$IP$5</f>
        <v>665</v>
      </c>
      <c r="I17" s="95">
        <f>'[3]Sun Country'!$IP$5+'[3]Sun Country'!$IP$16</f>
        <v>1043</v>
      </c>
      <c r="J17" s="95">
        <f>[3]Alaska!$IP$5</f>
        <v>70</v>
      </c>
      <c r="K17" s="118">
        <f>SUM(B17:J17)</f>
        <v>2037</v>
      </c>
    </row>
    <row r="18" spans="1:258" x14ac:dyDescent="0.2">
      <c r="A18" s="49" t="s">
        <v>24</v>
      </c>
      <c r="B18" s="119">
        <f t="shared" ref="B18" si="4">SUM(B16:B17)</f>
        <v>185</v>
      </c>
      <c r="C18" s="119">
        <f t="shared" ref="C18:F18" si="5">SUM(C16:C17)</f>
        <v>72</v>
      </c>
      <c r="D18" s="119">
        <f t="shared" si="5"/>
        <v>0</v>
      </c>
      <c r="E18" s="119">
        <f t="shared" si="5"/>
        <v>156</v>
      </c>
      <c r="F18" s="119">
        <f t="shared" si="5"/>
        <v>70</v>
      </c>
      <c r="G18" s="119">
        <f t="shared" ref="G18:J18" si="6">SUM(G16:G17)</f>
        <v>34</v>
      </c>
      <c r="H18" s="119">
        <f t="shared" si="6"/>
        <v>1331</v>
      </c>
      <c r="I18" s="119">
        <f t="shared" si="6"/>
        <v>2080</v>
      </c>
      <c r="J18" s="119">
        <f t="shared" si="6"/>
        <v>140</v>
      </c>
      <c r="K18" s="120">
        <f>SUM(B18:J18)</f>
        <v>4068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[3]Frontier!$IP$8</f>
        <v>0</v>
      </c>
      <c r="C20" s="95">
        <f>'[3]Allegiant '!$IP$8</f>
        <v>0</v>
      </c>
      <c r="D20" s="95">
        <f>'[3]Aer Lingus'!$IP$8</f>
        <v>0</v>
      </c>
      <c r="E20" s="95">
        <f>'[3]Denver Air'!$IP$8</f>
        <v>0</v>
      </c>
      <c r="F20" s="95">
        <f>[3]WestJet!$IP$8</f>
        <v>0</v>
      </c>
      <c r="G20" s="95">
        <f>[3]Icelandair!$IP$8</f>
        <v>0</v>
      </c>
      <c r="H20" s="95">
        <f>[3]Southwest!$IP$8</f>
        <v>0</v>
      </c>
      <c r="I20" s="95">
        <f>'[3]Sun Country'!$IP$8</f>
        <v>84</v>
      </c>
      <c r="J20" s="95">
        <f>[3]Alaska!$IP$8</f>
        <v>1</v>
      </c>
      <c r="K20" s="118">
        <f>SUM(B20:J20)</f>
        <v>85</v>
      </c>
    </row>
    <row r="21" spans="1:258" x14ac:dyDescent="0.2">
      <c r="A21" s="45" t="s">
        <v>26</v>
      </c>
      <c r="B21" s="95">
        <f>[3]Frontier!$IP$9</f>
        <v>0</v>
      </c>
      <c r="C21" s="95">
        <f>'[3]Allegiant '!$IP$9</f>
        <v>0</v>
      </c>
      <c r="D21" s="95">
        <f>'[3]Aer Lingus'!$IP$9</f>
        <v>0</v>
      </c>
      <c r="E21" s="95">
        <f>'[3]Denver Air'!$IP$9</f>
        <v>0</v>
      </c>
      <c r="F21" s="95">
        <f>[3]WestJet!$IP$9</f>
        <v>0</v>
      </c>
      <c r="G21" s="95">
        <f>[3]Icelandair!$IP$9</f>
        <v>0</v>
      </c>
      <c r="H21" s="95">
        <f>[3]Southwest!$IP$9</f>
        <v>0</v>
      </c>
      <c r="I21" s="95">
        <f>'[3]Sun Country'!$IP$9</f>
        <v>82</v>
      </c>
      <c r="J21" s="95">
        <f>[3]Alaska!$IP$9</f>
        <v>1</v>
      </c>
      <c r="K21" s="118">
        <f>SUM(B21:J21)</f>
        <v>83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166</v>
      </c>
      <c r="J22" s="119">
        <f t="shared" si="9"/>
        <v>2</v>
      </c>
      <c r="K22" s="120">
        <f>SUM(B22:J22)</f>
        <v>168</v>
      </c>
    </row>
    <row r="23" spans="1:258" ht="15.75" thickBot="1" x14ac:dyDescent="0.3">
      <c r="A23" s="46" t="s">
        <v>28</v>
      </c>
      <c r="B23" s="121">
        <f t="shared" ref="B23" si="10">B22+B18</f>
        <v>185</v>
      </c>
      <c r="C23" s="121">
        <f t="shared" ref="C23:F23" si="11">C22+C18</f>
        <v>72</v>
      </c>
      <c r="D23" s="121">
        <f t="shared" si="11"/>
        <v>0</v>
      </c>
      <c r="E23" s="121">
        <f t="shared" si="11"/>
        <v>156</v>
      </c>
      <c r="F23" s="121">
        <f t="shared" si="11"/>
        <v>70</v>
      </c>
      <c r="G23" s="121">
        <f t="shared" ref="G23:J23" si="12">G22+G18</f>
        <v>34</v>
      </c>
      <c r="H23" s="121">
        <f t="shared" si="12"/>
        <v>1331</v>
      </c>
      <c r="I23" s="121">
        <f>I22+I18</f>
        <v>2246</v>
      </c>
      <c r="J23" s="121">
        <f t="shared" si="12"/>
        <v>142</v>
      </c>
      <c r="K23" s="122">
        <f>SUM(B23:J23)</f>
        <v>4236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[3]Frontier!$IP$47</f>
        <v>0</v>
      </c>
      <c r="C28" s="95">
        <f>'[3]Allegiant '!$IP$47</f>
        <v>0</v>
      </c>
      <c r="D28" s="95">
        <f>'[3]Aer Lingus'!$IP$47</f>
        <v>0</v>
      </c>
      <c r="E28" s="95">
        <f>'[3]Denver Air'!$IP$47</f>
        <v>0</v>
      </c>
      <c r="F28" s="95">
        <f>[3]WestJet!$IP$47</f>
        <v>0</v>
      </c>
      <c r="G28" s="95">
        <f>[3]Icelandair!$IP$47</f>
        <v>11063</v>
      </c>
      <c r="H28" s="95">
        <f>[3]Southwest!$IP$47</f>
        <v>180341</v>
      </c>
      <c r="I28" s="95">
        <f>'[3]Sun Country'!$IP$47</f>
        <v>0</v>
      </c>
      <c r="J28" s="95">
        <f>[3]Alaska!$IP$47</f>
        <v>10383</v>
      </c>
      <c r="K28" s="118">
        <f>SUM(B28:J28)</f>
        <v>201787</v>
      </c>
    </row>
    <row r="29" spans="1:258" x14ac:dyDescent="0.2">
      <c r="A29" s="45" t="s">
        <v>38</v>
      </c>
      <c r="B29" s="95">
        <f>[3]Frontier!$IP$48</f>
        <v>0</v>
      </c>
      <c r="C29" s="95">
        <f>'[3]Allegiant '!$IP$48</f>
        <v>0</v>
      </c>
      <c r="D29" s="95">
        <f>'[3]Aer Lingus'!$IP$48</f>
        <v>0</v>
      </c>
      <c r="E29" s="95">
        <f>'[3]Denver Air'!$IP$48</f>
        <v>0</v>
      </c>
      <c r="F29" s="95">
        <f>[3]WestJet!$IP$48</f>
        <v>0</v>
      </c>
      <c r="G29" s="95">
        <f>[3]Icelandair!$IP$48</f>
        <v>99</v>
      </c>
      <c r="H29" s="95">
        <f>[3]Southwest!$IP$48</f>
        <v>0</v>
      </c>
      <c r="I29" s="95">
        <f>'[3]Sun Country'!$IP$48</f>
        <v>0</v>
      </c>
      <c r="J29" s="95">
        <f>[3]Alaska!$IP$48</f>
        <v>0</v>
      </c>
      <c r="K29" s="118">
        <f>SUM(B29:J29)</f>
        <v>99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11162</v>
      </c>
      <c r="H30" s="133">
        <f t="shared" si="15"/>
        <v>180341</v>
      </c>
      <c r="I30" s="133">
        <f t="shared" si="15"/>
        <v>0</v>
      </c>
      <c r="J30" s="133">
        <f t="shared" si="15"/>
        <v>10383</v>
      </c>
      <c r="K30" s="135">
        <f>SUM(B30:J30)</f>
        <v>201886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[3]Frontier!$IP$52</f>
        <v>0</v>
      </c>
      <c r="C33" s="95">
        <f>'[3]Allegiant '!$IP$52</f>
        <v>0</v>
      </c>
      <c r="D33" s="95">
        <f>'[3]Aer Lingus'!$IP$52</f>
        <v>0</v>
      </c>
      <c r="E33" s="95">
        <f>'[3]Denver Air'!$IP$52</f>
        <v>0</v>
      </c>
      <c r="F33" s="95">
        <f>[3]WestJet!$IP$52</f>
        <v>0</v>
      </c>
      <c r="G33" s="95">
        <f>[3]Icelandair!$IP$52</f>
        <v>70</v>
      </c>
      <c r="H33" s="95">
        <f>[3]Southwest!$IP$52</f>
        <v>35817</v>
      </c>
      <c r="I33" s="95">
        <f>'[3]Sun Country'!$IP$52</f>
        <v>0</v>
      </c>
      <c r="J33" s="95">
        <f>[3]Alaska!$IP$52</f>
        <v>11242</v>
      </c>
      <c r="K33" s="118">
        <f>SUM(B33:J33)</f>
        <v>47129</v>
      </c>
    </row>
    <row r="34" spans="1:11" x14ac:dyDescent="0.2">
      <c r="A34" s="45" t="s">
        <v>38</v>
      </c>
      <c r="B34" s="95">
        <f>[3]Frontier!$IP$53</f>
        <v>0</v>
      </c>
      <c r="C34" s="95">
        <f>'[3]Allegiant '!$IP$53</f>
        <v>0</v>
      </c>
      <c r="D34" s="95">
        <f>'[3]Aer Lingus'!$IP$53</f>
        <v>0</v>
      </c>
      <c r="E34" s="95">
        <f>'[3]Denver Air'!$IP$53</f>
        <v>0</v>
      </c>
      <c r="F34" s="95">
        <f>[3]WestJet!$IP$53</f>
        <v>0</v>
      </c>
      <c r="G34" s="95">
        <f>[3]Icelandair!$IP$53</f>
        <v>0</v>
      </c>
      <c r="H34" s="95">
        <f>[3]Southwest!$IP$53</f>
        <v>0</v>
      </c>
      <c r="I34" s="95">
        <f>'[3]Sun Country'!$IP$53</f>
        <v>0</v>
      </c>
      <c r="J34" s="95">
        <f>[3]Alaska!$IP$53</f>
        <v>419</v>
      </c>
      <c r="K34" s="134">
        <f>SUM(B34:J34)</f>
        <v>419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70</v>
      </c>
      <c r="H35" s="119">
        <f t="shared" si="18"/>
        <v>35817</v>
      </c>
      <c r="I35" s="119">
        <f t="shared" si="18"/>
        <v>0</v>
      </c>
      <c r="J35" s="119">
        <f t="shared" si="18"/>
        <v>11661</v>
      </c>
      <c r="K35" s="135">
        <f>SUM(B35:J35)</f>
        <v>47548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[3]Frontier!$IP$57</f>
        <v>0</v>
      </c>
      <c r="C38" s="125">
        <f>'[3]Allegiant '!$IP$57</f>
        <v>0</v>
      </c>
      <c r="D38" s="359">
        <f>'[3]Aer Lingus'!$IP$57</f>
        <v>0</v>
      </c>
      <c r="E38" s="125">
        <f>'[3]Denver Air'!$IP$57</f>
        <v>0</v>
      </c>
      <c r="F38" s="125">
        <f>[3]WestJet!$IP$57</f>
        <v>0</v>
      </c>
      <c r="G38" s="125">
        <f>[3]Icelandair!$IP$57</f>
        <v>0</v>
      </c>
      <c r="H38" s="125">
        <f>[3]Southwest!$IP$57</f>
        <v>0</v>
      </c>
      <c r="I38" s="125">
        <f>'[3]Sun Country'!$IP$57</f>
        <v>0</v>
      </c>
      <c r="J38" s="125">
        <f>[3]Alaska!$IP$57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[3]Frontier!$IP$58</f>
        <v>0</v>
      </c>
      <c r="C39" s="128">
        <f>'[3]Allegiant '!$IP$58</f>
        <v>0</v>
      </c>
      <c r="D39" s="128">
        <f>'[3]Aer Lingus'!$IP$58</f>
        <v>0</v>
      </c>
      <c r="E39" s="128">
        <f>'[3]Denver Air'!$IP$58</f>
        <v>0</v>
      </c>
      <c r="F39" s="128">
        <f>[3]WestJet!$IP$58</f>
        <v>0</v>
      </c>
      <c r="G39" s="128">
        <f>[3]Icelandair!$IP$58</f>
        <v>0</v>
      </c>
      <c r="H39" s="128">
        <f>[3]Southwest!$IP$58</f>
        <v>0</v>
      </c>
      <c r="I39" s="128">
        <f>'[3]Sun Country'!$IP$58</f>
        <v>0</v>
      </c>
      <c r="J39" s="128">
        <f>[3]Alaska!$IP$58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11133</v>
      </c>
      <c r="H43" s="125">
        <f t="shared" si="24"/>
        <v>216158</v>
      </c>
      <c r="I43" s="125">
        <f t="shared" si="24"/>
        <v>0</v>
      </c>
      <c r="J43" s="125">
        <f t="shared" si="24"/>
        <v>21625</v>
      </c>
      <c r="K43" s="118">
        <f>SUM(B43:J43)</f>
        <v>248916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99</v>
      </c>
      <c r="H44" s="128">
        <f t="shared" si="27"/>
        <v>0</v>
      </c>
      <c r="I44" s="128">
        <f t="shared" si="27"/>
        <v>0</v>
      </c>
      <c r="J44" s="128">
        <f t="shared" si="27"/>
        <v>419</v>
      </c>
      <c r="K44" s="118">
        <f>SUM(B44:J44)</f>
        <v>518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11232</v>
      </c>
      <c r="H45" s="137">
        <f t="shared" si="30"/>
        <v>216158</v>
      </c>
      <c r="I45" s="137">
        <f t="shared" si="30"/>
        <v>0</v>
      </c>
      <c r="J45" s="137">
        <f t="shared" si="30"/>
        <v>22044</v>
      </c>
      <c r="K45" s="138">
        <f>SUM(B45:J45)</f>
        <v>249434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[3]Southwest!$IP$70+[3]Southwest!$IP$73</f>
        <v>67120</v>
      </c>
      <c r="I48" s="242">
        <f>'[3]Sun Country'!$IP$70+'[3]Sun Country'!$IP$73</f>
        <v>168858</v>
      </c>
      <c r="J48" s="287"/>
      <c r="K48" s="231">
        <f>SUM(B48:J48)</f>
        <v>235978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[3]Southwest!$IP$71+[3]Southwest!$IP$74</f>
        <v>680</v>
      </c>
      <c r="I49" s="242">
        <f>'[3]Sun Country'!$IP$71+'[3]Sun Country'!$IP$74</f>
        <v>0</v>
      </c>
      <c r="J49" s="287"/>
      <c r="K49" s="231">
        <f>SUM(B49:J49)</f>
        <v>680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November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H8" sqref="H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45231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[3]Pinnacle!$IP$22+[3]Pinnacle!$IP$32</f>
        <v>39461</v>
      </c>
      <c r="C5" s="87">
        <f>[3]MESA_UA!$IP$22</f>
        <v>3069</v>
      </c>
      <c r="D5" s="95">
        <f>'[3]Sky West'!$IP$22+'[3]Sky West'!$IP$32</f>
        <v>107214</v>
      </c>
      <c r="E5" s="95">
        <f>'[3]Sky West_UA'!$IP$22</f>
        <v>285</v>
      </c>
      <c r="F5" s="95">
        <f>'[3]Sky West_AS'!$IP$22</f>
        <v>0</v>
      </c>
      <c r="G5" s="95">
        <f>'[3]Sky West_AA'!$IP$22</f>
        <v>0</v>
      </c>
      <c r="H5" s="95">
        <f>[3]Republic!$IP$22</f>
        <v>4302</v>
      </c>
      <c r="I5" s="95">
        <f>[3]Republic_UA!$IP$22</f>
        <v>3813</v>
      </c>
      <c r="J5" s="95">
        <f>'[3]Sky Regional'!$IP$32</f>
        <v>0</v>
      </c>
      <c r="K5" s="95">
        <f>'[3]American Eagle'!$IP$22</f>
        <v>2054</v>
      </c>
      <c r="L5" s="95">
        <f>'Other Regional'!L5</f>
        <v>11360</v>
      </c>
      <c r="M5" s="88">
        <f>SUM(B5:L5)</f>
        <v>171558</v>
      </c>
    </row>
    <row r="6" spans="1:16" s="6" customFormat="1" x14ac:dyDescent="0.2">
      <c r="A6" s="45" t="s">
        <v>31</v>
      </c>
      <c r="B6" s="87">
        <f>[3]Pinnacle!$IP$23+[3]Pinnacle!$IP$33</f>
        <v>39677</v>
      </c>
      <c r="C6" s="87">
        <f>[3]MESA_UA!$IP$23</f>
        <v>3093</v>
      </c>
      <c r="D6" s="95">
        <f>'[3]Sky West'!$IP$23+'[3]Sky West'!$IP$33</f>
        <v>105192</v>
      </c>
      <c r="E6" s="95">
        <f>'[3]Sky West_UA'!$IP$23</f>
        <v>279</v>
      </c>
      <c r="F6" s="95">
        <f>'[3]Sky West_AS'!$IP$23</f>
        <v>0</v>
      </c>
      <c r="G6" s="95">
        <f>'[3]Sky West_AA'!$IP$23</f>
        <v>0</v>
      </c>
      <c r="H6" s="95">
        <f>[3]Republic!$IP$23</f>
        <v>5013</v>
      </c>
      <c r="I6" s="95">
        <f>[3]Republic_UA!$IP$23</f>
        <v>3758</v>
      </c>
      <c r="J6" s="95">
        <f>'[3]Sky Regional'!$IP$33</f>
        <v>0</v>
      </c>
      <c r="K6" s="95">
        <f>'[3]American Eagle'!$IP$23</f>
        <v>1819</v>
      </c>
      <c r="L6" s="95">
        <f>'Other Regional'!L6</f>
        <v>10384</v>
      </c>
      <c r="M6" s="92">
        <f>SUM(B6:L6)</f>
        <v>169215</v>
      </c>
    </row>
    <row r="7" spans="1:16" ht="15" thickBot="1" x14ac:dyDescent="0.25">
      <c r="A7" s="54" t="s">
        <v>7</v>
      </c>
      <c r="B7" s="105">
        <f>SUM(B5:B6)</f>
        <v>79138</v>
      </c>
      <c r="C7" s="105">
        <f t="shared" ref="C7:L7" si="0">SUM(C5:C6)</f>
        <v>6162</v>
      </c>
      <c r="D7" s="105">
        <f t="shared" si="0"/>
        <v>212406</v>
      </c>
      <c r="E7" s="105">
        <f t="shared" si="0"/>
        <v>564</v>
      </c>
      <c r="F7" s="105">
        <f t="shared" ref="F7:G7" si="1">SUM(F5:F6)</f>
        <v>0</v>
      </c>
      <c r="G7" s="105">
        <f t="shared" si="1"/>
        <v>0</v>
      </c>
      <c r="H7" s="105">
        <f t="shared" si="0"/>
        <v>9315</v>
      </c>
      <c r="I7" s="105">
        <f t="shared" si="0"/>
        <v>7571</v>
      </c>
      <c r="J7" s="105">
        <f t="shared" si="0"/>
        <v>0</v>
      </c>
      <c r="K7" s="105">
        <f t="shared" si="0"/>
        <v>3873</v>
      </c>
      <c r="L7" s="105">
        <f t="shared" si="0"/>
        <v>21744</v>
      </c>
      <c r="M7" s="106">
        <f>SUM(B7:L7)</f>
        <v>340773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[3]Pinnacle!$IP$27+[3]Pinnacle!$IP$37</f>
        <v>1224</v>
      </c>
      <c r="C10" s="87">
        <f>[3]MESA_UA!$IP$27</f>
        <v>109</v>
      </c>
      <c r="D10" s="95">
        <f>'[3]Sky West'!$IP$27+'[3]Sky West'!$IP$37</f>
        <v>3423</v>
      </c>
      <c r="E10" s="95">
        <f>'[3]Sky West_UA'!$IP$27</f>
        <v>18</v>
      </c>
      <c r="F10" s="95">
        <f>'[3]Sky West_AS'!$IP$27</f>
        <v>0</v>
      </c>
      <c r="G10" s="95">
        <f>'[3]Sky West_AA'!$IP$27</f>
        <v>0</v>
      </c>
      <c r="H10" s="95">
        <f>[3]Republic!$IP$27</f>
        <v>177</v>
      </c>
      <c r="I10" s="95">
        <f>[3]Republic_UA!$IP$27</f>
        <v>120</v>
      </c>
      <c r="J10" s="95">
        <f>'[3]Sky Regional'!$IP$37</f>
        <v>0</v>
      </c>
      <c r="K10" s="95">
        <f>'[3]American Eagle'!$IP$27</f>
        <v>117</v>
      </c>
      <c r="L10" s="95">
        <f>'Other Regional'!L10</f>
        <v>213</v>
      </c>
      <c r="M10" s="88">
        <f>SUM(B10:L10)</f>
        <v>5401</v>
      </c>
    </row>
    <row r="11" spans="1:16" x14ac:dyDescent="0.2">
      <c r="A11" s="45" t="s">
        <v>33</v>
      </c>
      <c r="B11" s="87">
        <f>[3]Pinnacle!$IP$28+[3]Pinnacle!$IP$38</f>
        <v>1274</v>
      </c>
      <c r="C11" s="87">
        <f>[3]MESA_UA!$IP$28</f>
        <v>119</v>
      </c>
      <c r="D11" s="95">
        <f>'[3]Sky West'!$IP$28+'[3]Sky West'!$IP$38</f>
        <v>3354</v>
      </c>
      <c r="E11" s="95">
        <f>'[3]Sky West_UA'!$IP$28</f>
        <v>7</v>
      </c>
      <c r="F11" s="95">
        <f>'[3]Sky West_AS'!$IP$28</f>
        <v>0</v>
      </c>
      <c r="G11" s="95">
        <f>'[3]Sky West_AA'!$IP$28</f>
        <v>0</v>
      </c>
      <c r="H11" s="95">
        <f>[3]Republic!$IP$28</f>
        <v>177</v>
      </c>
      <c r="I11" s="95">
        <f>[3]Republic_UA!$IP$28</f>
        <v>164</v>
      </c>
      <c r="J11" s="95">
        <f>'[3]Sky Regional'!$IP$38</f>
        <v>0</v>
      </c>
      <c r="K11" s="95">
        <f>'[3]American Eagle'!$IP$28</f>
        <v>105</v>
      </c>
      <c r="L11" s="95">
        <f>'Other Regional'!L11</f>
        <v>220</v>
      </c>
      <c r="M11" s="92">
        <f>SUM(B11:L11)</f>
        <v>5420</v>
      </c>
    </row>
    <row r="12" spans="1:16" ht="15" thickBot="1" x14ac:dyDescent="0.25">
      <c r="A12" s="55" t="s">
        <v>34</v>
      </c>
      <c r="B12" s="108">
        <f t="shared" ref="B12:L12" si="2">SUM(B10:B11)</f>
        <v>2498</v>
      </c>
      <c r="C12" s="108">
        <f t="shared" si="2"/>
        <v>228</v>
      </c>
      <c r="D12" s="108">
        <f t="shared" si="2"/>
        <v>6777</v>
      </c>
      <c r="E12" s="108">
        <f t="shared" si="2"/>
        <v>25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354</v>
      </c>
      <c r="I12" s="108">
        <f t="shared" si="2"/>
        <v>284</v>
      </c>
      <c r="J12" s="108">
        <f t="shared" si="2"/>
        <v>0</v>
      </c>
      <c r="K12" s="108">
        <f t="shared" si="2"/>
        <v>222</v>
      </c>
      <c r="L12" s="108">
        <f t="shared" si="2"/>
        <v>433</v>
      </c>
      <c r="M12" s="109">
        <f>SUM(B12:L12)</f>
        <v>10821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248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[3]Pinnacle!$IP$4+[3]Pinnacle!$IP$15</f>
        <v>634</v>
      </c>
      <c r="C15" s="86">
        <f>[3]MESA_UA!$IP$4</f>
        <v>47</v>
      </c>
      <c r="D15" s="85">
        <f>'[3]Sky West'!$IP$4+'[3]Sky West'!$IP$15</f>
        <v>1953</v>
      </c>
      <c r="E15" s="85">
        <f>'[3]Sky West_UA'!$IP$4</f>
        <v>4</v>
      </c>
      <c r="F15" s="85">
        <f>'[3]Sky West_AS'!$IP$4</f>
        <v>0</v>
      </c>
      <c r="G15" s="85">
        <f>'[3]Sky West_AA'!$IP$4</f>
        <v>0</v>
      </c>
      <c r="H15" s="87">
        <f>[3]Republic!$IP$4</f>
        <v>75</v>
      </c>
      <c r="I15" s="333">
        <f>[3]Republic_UA!$IP$4</f>
        <v>56</v>
      </c>
      <c r="J15" s="333">
        <f>'[3]Sky Regional'!$IP$15</f>
        <v>0</v>
      </c>
      <c r="K15" s="87">
        <f>'[3]American Eagle'!$IP$4</f>
        <v>35</v>
      </c>
      <c r="L15" s="86">
        <f>'Other Regional'!L15</f>
        <v>198</v>
      </c>
      <c r="M15" s="88">
        <f t="shared" ref="M15:M20" si="5">SUM(B15:L15)</f>
        <v>3002</v>
      </c>
    </row>
    <row r="16" spans="1:16" x14ac:dyDescent="0.2">
      <c r="A16" s="45" t="s">
        <v>54</v>
      </c>
      <c r="B16" s="7">
        <f>[3]Pinnacle!$IP$5+[3]Pinnacle!$IP$16</f>
        <v>633</v>
      </c>
      <c r="C16" s="90">
        <f>[3]MESA_UA!$IP$5</f>
        <v>47</v>
      </c>
      <c r="D16" s="89">
        <f>'[3]Sky West'!$IP$5+'[3]Sky West'!$IP$16</f>
        <v>1959</v>
      </c>
      <c r="E16" s="89">
        <f>'[3]Sky West_UA'!$IP$5</f>
        <v>4</v>
      </c>
      <c r="F16" s="89">
        <f>'[3]Sky West_AS'!$IP$5</f>
        <v>0</v>
      </c>
      <c r="G16" s="89">
        <f>'[3]Sky West_AA'!$IP$5</f>
        <v>0</v>
      </c>
      <c r="H16" s="91">
        <f>[3]Republic!$IP$5</f>
        <v>75</v>
      </c>
      <c r="I16" s="218">
        <f>[3]Republic_UA!$IP$5</f>
        <v>57</v>
      </c>
      <c r="J16" s="218">
        <f>'[3]Sky Regional'!$IP$16</f>
        <v>0</v>
      </c>
      <c r="K16" s="91">
        <f>'[3]American Eagle'!$IP$5</f>
        <v>34</v>
      </c>
      <c r="L16" s="90">
        <f>'Other Regional'!L16</f>
        <v>201</v>
      </c>
      <c r="M16" s="92">
        <f t="shared" si="5"/>
        <v>3010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1267</v>
      </c>
      <c r="C17" s="93">
        <f t="shared" si="6"/>
        <v>94</v>
      </c>
      <c r="D17" s="93">
        <f t="shared" si="6"/>
        <v>3912</v>
      </c>
      <c r="E17" s="93">
        <f t="shared" si="6"/>
        <v>8</v>
      </c>
      <c r="F17" s="93">
        <f t="shared" ref="F17:G17" si="7">SUM(F15:F16)</f>
        <v>0</v>
      </c>
      <c r="G17" s="93">
        <f t="shared" si="7"/>
        <v>0</v>
      </c>
      <c r="H17" s="93">
        <f>SUM(H15:H16)</f>
        <v>150</v>
      </c>
      <c r="I17" s="93">
        <f t="shared" ref="I17:J17" si="8">SUM(I15:I16)</f>
        <v>113</v>
      </c>
      <c r="J17" s="93">
        <f t="shared" si="8"/>
        <v>0</v>
      </c>
      <c r="K17" s="93">
        <f>SUM(K15:K16)</f>
        <v>69</v>
      </c>
      <c r="L17" s="93">
        <f>SUM(L15:L16)</f>
        <v>399</v>
      </c>
      <c r="M17" s="94">
        <f t="shared" si="5"/>
        <v>6012</v>
      </c>
    </row>
    <row r="18" spans="1:13" x14ac:dyDescent="0.2">
      <c r="A18" s="45" t="s">
        <v>56</v>
      </c>
      <c r="B18" s="95">
        <f>[3]Pinnacle!$IP$8</f>
        <v>0</v>
      </c>
      <c r="C18" s="87">
        <f>[3]MESA_UA!$IP$8</f>
        <v>0</v>
      </c>
      <c r="D18" s="95">
        <f>'[3]Sky West'!$IP$8</f>
        <v>0</v>
      </c>
      <c r="E18" s="95">
        <f>'[3]Sky West_UA'!$IP$8</f>
        <v>0</v>
      </c>
      <c r="F18" s="95">
        <f>'[3]Sky West_AS'!$IP$8</f>
        <v>0</v>
      </c>
      <c r="G18" s="95">
        <f>'[3]Sky West_AA'!$IP$8</f>
        <v>0</v>
      </c>
      <c r="H18" s="95">
        <f>[3]Republic!$IP$8</f>
        <v>0</v>
      </c>
      <c r="I18" s="95">
        <f>[3]Republic_UA!$IP$8</f>
        <v>1</v>
      </c>
      <c r="J18" s="95">
        <f>'[3]Sky Regional'!$IP$8</f>
        <v>0</v>
      </c>
      <c r="K18" s="95">
        <f>'[3]American Eagle'!$IP$8</f>
        <v>0</v>
      </c>
      <c r="L18" s="95">
        <f>'Other Regional'!L18</f>
        <v>0</v>
      </c>
      <c r="M18" s="88">
        <f t="shared" si="5"/>
        <v>1</v>
      </c>
    </row>
    <row r="19" spans="1:13" x14ac:dyDescent="0.2">
      <c r="A19" s="45" t="s">
        <v>57</v>
      </c>
      <c r="B19" s="96">
        <f>[3]Pinnacle!$IP$9</f>
        <v>0</v>
      </c>
      <c r="C19" s="91">
        <f>[3]MESA_UA!$IP$9</f>
        <v>0</v>
      </c>
      <c r="D19" s="96">
        <f>'[3]Sky West'!$IP$9</f>
        <v>0</v>
      </c>
      <c r="E19" s="96">
        <f>'[3]Sky West_UA'!$IP$9</f>
        <v>0</v>
      </c>
      <c r="F19" s="96">
        <f>'[3]Sky West_AS'!$IP$9</f>
        <v>0</v>
      </c>
      <c r="G19" s="96">
        <f>'[3]Sky West_AA'!$IP$9</f>
        <v>0</v>
      </c>
      <c r="H19" s="96">
        <f>[3]Republic!$IP$9</f>
        <v>0</v>
      </c>
      <c r="I19" s="96">
        <f>[3]Republic_UA!$IP$9</f>
        <v>1</v>
      </c>
      <c r="J19" s="96">
        <f>'[3]Sky Regional'!$IP$9</f>
        <v>0</v>
      </c>
      <c r="K19" s="96">
        <f>'[3]American Eagle'!$IP$9</f>
        <v>0</v>
      </c>
      <c r="L19" s="96">
        <f>'Other Regional'!L19</f>
        <v>0</v>
      </c>
      <c r="M19" s="92">
        <f t="shared" si="5"/>
        <v>1</v>
      </c>
    </row>
    <row r="20" spans="1:13" x14ac:dyDescent="0.2">
      <c r="A20" s="49" t="s">
        <v>58</v>
      </c>
      <c r="B20" s="93">
        <f t="shared" ref="B20:L20" si="9">SUM(B18:B19)</f>
        <v>0</v>
      </c>
      <c r="C20" s="93">
        <f t="shared" si="9"/>
        <v>0</v>
      </c>
      <c r="D20" s="93">
        <f t="shared" si="9"/>
        <v>0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2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2</v>
      </c>
    </row>
    <row r="21" spans="1:13" ht="15.75" thickBot="1" x14ac:dyDescent="0.3">
      <c r="A21" s="53" t="s">
        <v>28</v>
      </c>
      <c r="B21" s="97">
        <f>SUM(B20,B17)</f>
        <v>1267</v>
      </c>
      <c r="C21" s="97">
        <f t="shared" ref="C21:K21" si="11">SUM(C20,C17)</f>
        <v>94</v>
      </c>
      <c r="D21" s="97">
        <f t="shared" si="11"/>
        <v>3912</v>
      </c>
      <c r="E21" s="97">
        <f t="shared" si="11"/>
        <v>8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150</v>
      </c>
      <c r="I21" s="97">
        <f t="shared" si="11"/>
        <v>115</v>
      </c>
      <c r="J21" s="97">
        <f t="shared" si="11"/>
        <v>0</v>
      </c>
      <c r="K21" s="97">
        <f t="shared" si="11"/>
        <v>69</v>
      </c>
      <c r="L21" s="97">
        <f>SUM(L20,L17)</f>
        <v>399</v>
      </c>
      <c r="M21" s="98">
        <f>SUM(B21:L21)</f>
        <v>6014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[3]Pinnacle!$IP$47</f>
        <v>0</v>
      </c>
      <c r="C25" s="87">
        <f>[3]MESA_UA!$IP$47</f>
        <v>0</v>
      </c>
      <c r="D25" s="95">
        <f>'[3]Sky West'!$IP$47</f>
        <v>0</v>
      </c>
      <c r="E25" s="95">
        <f>'[3]Sky West_UA'!$IP$47</f>
        <v>0</v>
      </c>
      <c r="F25" s="95">
        <f>'[3]Sky West_AS'!$IP$47</f>
        <v>0</v>
      </c>
      <c r="G25" s="95">
        <f>'[3]Sky West_AA'!$IP$47</f>
        <v>0</v>
      </c>
      <c r="H25" s="95">
        <f>[3]Republic!$IP$47</f>
        <v>1570</v>
      </c>
      <c r="I25" s="95">
        <f>[3]Republic_UA!$IP$47</f>
        <v>0</v>
      </c>
      <c r="J25" s="95">
        <f>'[3]Sky Regional'!$IP$47</f>
        <v>0</v>
      </c>
      <c r="K25" s="95">
        <f>'[3]American Eagle'!$IP$47</f>
        <v>176</v>
      </c>
      <c r="L25" s="95">
        <f>'Other Regional'!L25</f>
        <v>17157.400000000001</v>
      </c>
      <c r="M25" s="88">
        <f>SUM(B25:L25)</f>
        <v>18903.400000000001</v>
      </c>
    </row>
    <row r="26" spans="1:13" x14ac:dyDescent="0.2">
      <c r="A26" s="45" t="s">
        <v>38</v>
      </c>
      <c r="B26" s="95">
        <f>[3]Pinnacle!$IP$48</f>
        <v>0</v>
      </c>
      <c r="C26" s="87">
        <f>[3]MESA_UA!$IP$48</f>
        <v>0</v>
      </c>
      <c r="D26" s="95">
        <f>'[3]Sky West'!$IP$48</f>
        <v>0</v>
      </c>
      <c r="E26" s="95">
        <f>'[3]Sky West_UA'!$IP$48</f>
        <v>0</v>
      </c>
      <c r="F26" s="95">
        <f>'[3]Sky West_AS'!$IP$48</f>
        <v>0</v>
      </c>
      <c r="G26" s="95">
        <f>'[3]Sky West_AA'!$IP$48</f>
        <v>0</v>
      </c>
      <c r="H26" s="95">
        <f>[3]Republic!$IP$48</f>
        <v>0</v>
      </c>
      <c r="I26" s="95">
        <f>[3]Republic_UA!$IP$48</f>
        <v>0</v>
      </c>
      <c r="J26" s="95">
        <f>'[3]Sky Regional'!$IP$48</f>
        <v>0</v>
      </c>
      <c r="K26" s="95">
        <f>'[3]American Eagle'!$IP$48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1570</v>
      </c>
      <c r="I27" s="105">
        <f t="shared" si="13"/>
        <v>0</v>
      </c>
      <c r="J27" s="105">
        <f t="shared" si="13"/>
        <v>0</v>
      </c>
      <c r="K27" s="105">
        <f t="shared" si="13"/>
        <v>176</v>
      </c>
      <c r="L27" s="105">
        <f t="shared" si="13"/>
        <v>17157.400000000001</v>
      </c>
      <c r="M27" s="106">
        <f>SUM(B27:L27)</f>
        <v>18903.400000000001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[3]Pinnacle!$IP$52</f>
        <v>0</v>
      </c>
      <c r="C30" s="87">
        <f>[3]MESA_UA!$IP$52</f>
        <v>0</v>
      </c>
      <c r="D30" s="95">
        <f>'[3]Sky West'!$IP$52</f>
        <v>0</v>
      </c>
      <c r="E30" s="95">
        <f>'[3]Sky West_UA'!$IP$52</f>
        <v>0</v>
      </c>
      <c r="F30" s="95">
        <f>'[3]Sky West_AS'!$IP$52</f>
        <v>0</v>
      </c>
      <c r="G30" s="95">
        <f>'[3]Sky West_AA'!$IP$52</f>
        <v>0</v>
      </c>
      <c r="H30" s="95">
        <f>[3]Republic!$IP$52</f>
        <v>250</v>
      </c>
      <c r="I30" s="95">
        <f>[3]Republic_UA!$IP$52</f>
        <v>0</v>
      </c>
      <c r="J30" s="95">
        <f>'[3]Sky Regional'!$IP$52</f>
        <v>0</v>
      </c>
      <c r="K30" s="95">
        <f>'[3]American Eagle'!$IP$52</f>
        <v>0</v>
      </c>
      <c r="L30" s="95">
        <f>'Other Regional'!L30</f>
        <v>15532.8</v>
      </c>
      <c r="M30" s="88">
        <f t="shared" ref="M30:M37" si="15">SUM(B30:L30)</f>
        <v>15782.8</v>
      </c>
    </row>
    <row r="31" spans="1:13" x14ac:dyDescent="0.2">
      <c r="A31" s="45" t="s">
        <v>60</v>
      </c>
      <c r="B31" s="95">
        <f>[3]Pinnacle!$IP$53</f>
        <v>0</v>
      </c>
      <c r="C31" s="87">
        <f>[3]MESA_UA!$IP$53</f>
        <v>0</v>
      </c>
      <c r="D31" s="95">
        <f>'[3]Sky West'!$IP$53</f>
        <v>0</v>
      </c>
      <c r="E31" s="95">
        <f>'[3]Sky West_UA'!$IP$53</f>
        <v>0</v>
      </c>
      <c r="F31" s="95">
        <f>'[3]Sky West_AS'!$IP$53</f>
        <v>0</v>
      </c>
      <c r="G31" s="95">
        <f>'[3]Sky West_AA'!$IP$53</f>
        <v>0</v>
      </c>
      <c r="H31" s="95">
        <f>[3]Republic!$IP$53</f>
        <v>0</v>
      </c>
      <c r="I31" s="95">
        <f>[3]Republic_UA!$IP$53</f>
        <v>0</v>
      </c>
      <c r="J31" s="95">
        <f>'[3]Sky Regional'!$IP$53</f>
        <v>0</v>
      </c>
      <c r="K31" s="95">
        <f>'[3]American Eagle'!$IP$53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250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15532.8</v>
      </c>
      <c r="M32" s="106">
        <f t="shared" si="15"/>
        <v>15782.8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[3]Pinnacle!$IP$57</f>
        <v>0</v>
      </c>
      <c r="C35" s="87">
        <f>[3]MESA_UA!$IP$57</f>
        <v>0</v>
      </c>
      <c r="D35" s="95">
        <f>'[3]Sky West'!$IP$57</f>
        <v>0</v>
      </c>
      <c r="E35" s="95">
        <f>'[3]Sky West_UA'!$IP$57</f>
        <v>0</v>
      </c>
      <c r="F35" s="95">
        <f>'[3]Sky West_AS'!$IP$57</f>
        <v>0</v>
      </c>
      <c r="G35" s="95">
        <f>'[3]Sky West_AA'!$IP$57</f>
        <v>0</v>
      </c>
      <c r="H35" s="95">
        <f>[3]Republic!$IP$57</f>
        <v>0</v>
      </c>
      <c r="I35" s="95">
        <f>[3]Republic!$IP$57</f>
        <v>0</v>
      </c>
      <c r="J35" s="95">
        <f>[3]Republic!$IP$57</f>
        <v>0</v>
      </c>
      <c r="K35" s="95">
        <f>'[3]American Eagle'!$IP$57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[3]Pinnacle!$IP$58</f>
        <v>0</v>
      </c>
      <c r="C36" s="87">
        <f>[3]MESA_UA!$IP$58</f>
        <v>0</v>
      </c>
      <c r="D36" s="95">
        <f>'[3]Sky West'!$IP$58</f>
        <v>0</v>
      </c>
      <c r="E36" s="95">
        <f>'[3]Sky West_UA'!$IP$58</f>
        <v>0</v>
      </c>
      <c r="F36" s="95">
        <f>'[3]Sky West_AS'!$IP$58</f>
        <v>0</v>
      </c>
      <c r="G36" s="95">
        <f>'[3]Sky West_AA'!$IP$58</f>
        <v>0</v>
      </c>
      <c r="H36" s="95">
        <f>[3]Republic!$IP$58</f>
        <v>0</v>
      </c>
      <c r="I36" s="95">
        <f>[3]Republic!$IP$58</f>
        <v>0</v>
      </c>
      <c r="J36" s="95">
        <f>[3]Republic!$IP$58</f>
        <v>0</v>
      </c>
      <c r="K36" s="95">
        <f>'[3]American Eagle'!$IP$58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1820</v>
      </c>
      <c r="I40" s="95">
        <f t="shared" si="20"/>
        <v>0</v>
      </c>
      <c r="J40" s="95">
        <f t="shared" si="20"/>
        <v>0</v>
      </c>
      <c r="K40" s="95">
        <f>SUM(K35,K30,K25)</f>
        <v>176</v>
      </c>
      <c r="L40" s="95">
        <f>L35+L30+L25</f>
        <v>32690.2</v>
      </c>
      <c r="M40" s="88">
        <f>SUM(B40:L40)</f>
        <v>34686.199999999997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1820</v>
      </c>
      <c r="I42" s="108">
        <f t="shared" si="20"/>
        <v>0</v>
      </c>
      <c r="J42" s="108">
        <f t="shared" si="20"/>
        <v>0</v>
      </c>
      <c r="K42" s="108">
        <f>SUM(K37,K32,K27)</f>
        <v>176</v>
      </c>
      <c r="L42" s="108">
        <f>SUM(L37,L32,L27)</f>
        <v>32690.2</v>
      </c>
      <c r="M42" s="109">
        <f>SUM(B42:L42)</f>
        <v>34686.199999999997</v>
      </c>
    </row>
    <row r="44" spans="1:13" x14ac:dyDescent="0.2">
      <c r="A44" s="276" t="s">
        <v>120</v>
      </c>
      <c r="B44" s="241">
        <f>[3]Pinnacle!$IP$70+[3]Pinnacle!$IP$73</f>
        <v>12494</v>
      </c>
      <c r="D44" s="242">
        <f>'[3]Sky West'!$IP$70+'[3]Sky West'!$IP$73</f>
        <v>34939</v>
      </c>
      <c r="E44" s="2"/>
      <c r="F44" s="2"/>
      <c r="G44" s="2"/>
      <c r="L44" s="242">
        <f>+'Other Regional'!L46</f>
        <v>0</v>
      </c>
      <c r="M44" s="231">
        <f>SUM(B44:L44)</f>
        <v>47433</v>
      </c>
    </row>
    <row r="45" spans="1:13" x14ac:dyDescent="0.2">
      <c r="A45" s="289" t="s">
        <v>121</v>
      </c>
      <c r="B45" s="241">
        <f>[3]Pinnacle!$IP$71+[3]Pinnacle!$IP$74</f>
        <v>27183</v>
      </c>
      <c r="D45" s="242">
        <f>'[3]Sky West'!$IP$71+'[3]Sky West'!$IP$74</f>
        <v>70253</v>
      </c>
      <c r="E45" s="2"/>
      <c r="F45" s="2"/>
      <c r="G45" s="2"/>
      <c r="L45" s="242">
        <f>+'Other Regional'!L47</f>
        <v>0</v>
      </c>
      <c r="M45" s="231">
        <f>SUM(B45:L45)</f>
        <v>97436</v>
      </c>
    </row>
    <row r="46" spans="1:13" x14ac:dyDescent="0.2">
      <c r="A46" s="232" t="s">
        <v>122</v>
      </c>
      <c r="B46" s="233">
        <f>SUM(B44:B45)</f>
        <v>39677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November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R9" sqref="R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45231</v>
      </c>
      <c r="B2" s="405" t="s">
        <v>169</v>
      </c>
      <c r="C2" s="405" t="s">
        <v>168</v>
      </c>
      <c r="D2" s="405" t="s">
        <v>190</v>
      </c>
      <c r="E2" s="405" t="s">
        <v>249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America'!$IP$22</f>
        <v>0</v>
      </c>
      <c r="C5" s="87">
        <f>'[3]Shuttle America_Delta'!$IP$22</f>
        <v>0</v>
      </c>
      <c r="D5" s="333">
        <f>[3]Horizon_AS!$IP$22+[3]Horizon_AS!$IP$32</f>
        <v>0</v>
      </c>
      <c r="E5" s="333">
        <f>'[3]Air Wisconsin'!$IP$22</f>
        <v>2293</v>
      </c>
      <c r="F5" s="333">
        <f>[3]Jazz_AC!$IP$22+[3]Jazz_AC!$IP$32</f>
        <v>5047</v>
      </c>
      <c r="G5" s="333">
        <f>[3]PSA!$IP$22</f>
        <v>4020</v>
      </c>
      <c r="H5" s="87">
        <f>'[3]Atlantic Southeast'!$IP$22+'[3]Atlantic Southeast'!$IP$32</f>
        <v>0</v>
      </c>
      <c r="I5" s="87">
        <f>'[3]Continental Express'!$IP$22</f>
        <v>0</v>
      </c>
      <c r="J5" s="95">
        <f>'[3]Go Jet_UA'!$IP$22</f>
        <v>0</v>
      </c>
      <c r="K5" s="12">
        <f>'[3]Go Jet'!$IP$22+'[3]Go Jet'!$IP$32</f>
        <v>0</v>
      </c>
      <c r="L5" s="88">
        <f>SUM(B5:K5)</f>
        <v>11360</v>
      </c>
    </row>
    <row r="6" spans="1:12" s="6" customFormat="1" x14ac:dyDescent="0.2">
      <c r="A6" s="45" t="s">
        <v>31</v>
      </c>
      <c r="B6" s="87">
        <f>'[3]Shuttle America'!$IP$23</f>
        <v>0</v>
      </c>
      <c r="C6" s="87">
        <f>'[3]Shuttle America_Delta'!$IP$23</f>
        <v>0</v>
      </c>
      <c r="D6" s="333">
        <f>[3]Horizon_AS!$IP$23+[3]Horizon_AS!$IP$33</f>
        <v>0</v>
      </c>
      <c r="E6" s="333">
        <f>'[3]Air Wisconsin'!$IP$23</f>
        <v>2235</v>
      </c>
      <c r="F6" s="333">
        <f>[3]Jazz_AC!$IP$23+[3]Jazz_AC!$IP$33</f>
        <v>4158</v>
      </c>
      <c r="G6" s="333">
        <f>[3]PSA!$IP$23</f>
        <v>3991</v>
      </c>
      <c r="H6" s="87">
        <f>'[3]Atlantic Southeast'!$IP$23+'[3]Atlantic Southeast'!$IP$33</f>
        <v>0</v>
      </c>
      <c r="I6" s="87">
        <f>'[3]Continental Express'!$IP$23</f>
        <v>0</v>
      </c>
      <c r="J6" s="95">
        <f>'[3]Go Jet_UA'!$IP$23</f>
        <v>0</v>
      </c>
      <c r="K6" s="7">
        <f>'[3]Go Jet'!$IP$23+'[3]Go Jet'!$IP$33</f>
        <v>0</v>
      </c>
      <c r="L6" s="92">
        <f>SUM(B6:K6)</f>
        <v>10384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4528</v>
      </c>
      <c r="F7" s="105">
        <f t="shared" si="1"/>
        <v>9205</v>
      </c>
      <c r="G7" s="105">
        <f t="shared" si="0"/>
        <v>8011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21744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America'!$IP$27</f>
        <v>0</v>
      </c>
      <c r="C10" s="87">
        <f>'[3]Shuttle America_Delta'!$IP$27</f>
        <v>0</v>
      </c>
      <c r="D10" s="333">
        <f>[3]Horizon_AS!$IP$27+[3]Horizon_AS!$IP$37</f>
        <v>0</v>
      </c>
      <c r="E10" s="333">
        <f>'[3]Air Wisconsin'!$IP$27</f>
        <v>72</v>
      </c>
      <c r="F10" s="333">
        <f>[3]Jazz_AC!$IP$27+[3]Jazz_AC!$IP$37</f>
        <v>49</v>
      </c>
      <c r="G10" s="333">
        <f>[3]PSA!$IP$27</f>
        <v>92</v>
      </c>
      <c r="H10" s="12">
        <f>'[3]Atlantic Southeast'!$IP$27+'[3]Atlantic Southeast'!$IP$37</f>
        <v>0</v>
      </c>
      <c r="I10" s="87">
        <f>'[3]Continental Express'!$IP$27</f>
        <v>0</v>
      </c>
      <c r="J10" s="95">
        <f>'[3]Go Jet_UA'!$IP$27</f>
        <v>0</v>
      </c>
      <c r="K10" s="12">
        <f>'[3]Go Jet'!$IP$27+'[3]Go Jet'!$IP$37</f>
        <v>0</v>
      </c>
      <c r="L10" s="88">
        <f>SUM(B10:K10)</f>
        <v>213</v>
      </c>
    </row>
    <row r="11" spans="1:12" x14ac:dyDescent="0.2">
      <c r="A11" s="45" t="s">
        <v>33</v>
      </c>
      <c r="B11" s="87">
        <f>'[3]Shuttle America'!$IP$28</f>
        <v>0</v>
      </c>
      <c r="C11" s="87">
        <f>'[3]Shuttle America_Delta'!$IP$28</f>
        <v>0</v>
      </c>
      <c r="D11" s="333">
        <f>[3]Horizon_AS!$IP$28+[3]Horizon_AS!$IP$38</f>
        <v>0</v>
      </c>
      <c r="E11" s="333">
        <f>'[3]Air Wisconsin'!$IP$28</f>
        <v>69</v>
      </c>
      <c r="F11" s="333">
        <f>[3]Jazz_AC!$IP$28+[3]Jazz_AC!$IP$38</f>
        <v>59</v>
      </c>
      <c r="G11" s="333">
        <f>[3]PSA!$IP$28</f>
        <v>92</v>
      </c>
      <c r="H11" s="7">
        <f>'[3]Atlantic Southeast'!$IP$28+'[3]Atlantic Southeast'!$IP$38</f>
        <v>0</v>
      </c>
      <c r="I11" s="87">
        <f>'[3]Continental Express'!$IP$28</f>
        <v>0</v>
      </c>
      <c r="J11" s="95">
        <f>'[3]Go Jet_UA'!$IP$28</f>
        <v>0</v>
      </c>
      <c r="K11" s="7">
        <f>'[3]Go Jet'!$IP$28+'[3]Go Jet'!$IP$38</f>
        <v>0</v>
      </c>
      <c r="L11" s="92">
        <f>SUM(B11:K11)</f>
        <v>220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141</v>
      </c>
      <c r="F12" s="108">
        <f t="shared" si="3"/>
        <v>108</v>
      </c>
      <c r="G12" s="108">
        <f t="shared" si="2"/>
        <v>184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433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America'!$IP$4</f>
        <v>0</v>
      </c>
      <c r="C15" s="85">
        <f>'[3]Shuttle America_Delta'!$IP$4</f>
        <v>0</v>
      </c>
      <c r="D15" s="334">
        <f>[3]Horizon_AS!$IP$4</f>
        <v>0</v>
      </c>
      <c r="E15" s="334">
        <f>'[3]Air Wisconsin'!$IP$4</f>
        <v>49</v>
      </c>
      <c r="F15" s="334">
        <f>[3]Jazz_AC!$IP$4+[3]Jazz_AC!$IP$15</f>
        <v>90</v>
      </c>
      <c r="G15" s="334">
        <f>[3]PSA!$IP$4</f>
        <v>59</v>
      </c>
      <c r="H15" s="86">
        <f>'[3]Atlantic Southeast'!$IP$4+'[3]Atlantic Southeast'!$IP$15</f>
        <v>0</v>
      </c>
      <c r="I15" s="86">
        <f>'[3]Continental Express'!$IP$4</f>
        <v>0</v>
      </c>
      <c r="J15" s="85">
        <f>'[3]Go Jet_UA'!$IP$4</f>
        <v>0</v>
      </c>
      <c r="K15" s="12">
        <f>'[3]Go Jet'!$IP$4+'[3]Go Jet'!$IP$15</f>
        <v>0</v>
      </c>
      <c r="L15" s="88">
        <f t="shared" ref="L15:L20" si="6">SUM(B15:K15)</f>
        <v>198</v>
      </c>
    </row>
    <row r="16" spans="1:12" x14ac:dyDescent="0.2">
      <c r="A16" s="45" t="s">
        <v>54</v>
      </c>
      <c r="B16" s="89">
        <f>'[3]Shuttle America'!$IP$5</f>
        <v>0</v>
      </c>
      <c r="C16" s="89">
        <f>'[3]Shuttle America_Delta'!$IP$5</f>
        <v>0</v>
      </c>
      <c r="D16" s="335">
        <f>[3]Horizon_AS!$IP$5</f>
        <v>0</v>
      </c>
      <c r="E16" s="335">
        <f>'[3]Air Wisconsin'!$IP$5</f>
        <v>49</v>
      </c>
      <c r="F16" s="335">
        <f>[3]Jazz_AC!$IP$5+[3]Jazz_AC!$IP$16</f>
        <v>93</v>
      </c>
      <c r="G16" s="335">
        <f>[3]PSA!$IP$5</f>
        <v>59</v>
      </c>
      <c r="H16" s="90">
        <f>'[3]Atlantic Southeast'!$IP$5+'[3]Atlantic Southeast'!$IP$16</f>
        <v>0</v>
      </c>
      <c r="I16" s="90">
        <f>'[3]Continental Express'!$IP$5</f>
        <v>0</v>
      </c>
      <c r="J16" s="89">
        <f>'[3]Go Jet_UA'!$IP$5</f>
        <v>0</v>
      </c>
      <c r="K16" s="7">
        <f>'[3]Go Jet'!$IP$5+'[3]Go Jet'!$IP$16</f>
        <v>0</v>
      </c>
      <c r="L16" s="92">
        <f t="shared" si="6"/>
        <v>201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98</v>
      </c>
      <c r="F17" s="93">
        <f t="shared" si="8"/>
        <v>183</v>
      </c>
      <c r="G17" s="93">
        <f t="shared" si="7"/>
        <v>118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399</v>
      </c>
    </row>
    <row r="18" spans="1:15" x14ac:dyDescent="0.2">
      <c r="A18" s="45" t="s">
        <v>56</v>
      </c>
      <c r="B18" s="95">
        <f>'[3]Shuttle America'!$IP$8</f>
        <v>0</v>
      </c>
      <c r="C18" s="95">
        <f>'[3]Shuttle America_Delta'!$IP$8</f>
        <v>0</v>
      </c>
      <c r="D18" s="95">
        <f>[3]Horizon_AS!$IP$8</f>
        <v>0</v>
      </c>
      <c r="E18" s="95">
        <f>'[3]Air Wisconsin'!$IP$8</f>
        <v>0</v>
      </c>
      <c r="F18" s="95">
        <f>[3]Jazz_AC!$IP$8</f>
        <v>0</v>
      </c>
      <c r="G18" s="95">
        <f>[3]PSA!$IP$8</f>
        <v>0</v>
      </c>
      <c r="H18" s="87">
        <f>'[3]Atlantic Southeast'!$IP$8</f>
        <v>0</v>
      </c>
      <c r="I18" s="87">
        <f>'[3]Continental Express'!$IP$8</f>
        <v>0</v>
      </c>
      <c r="J18" s="95">
        <f>'[3]Go Jet_UA'!$IP$8</f>
        <v>0</v>
      </c>
      <c r="K18" s="12">
        <f>'[3]Go Jet'!$IP$8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America'!$IP$9</f>
        <v>0</v>
      </c>
      <c r="C19" s="96">
        <f>'[3]Shuttle America_Delta'!$IP$9</f>
        <v>0</v>
      </c>
      <c r="D19" s="96">
        <f>[3]Horizon_AS!$IP$9</f>
        <v>0</v>
      </c>
      <c r="E19" s="96">
        <f>'[3]Air Wisconsin'!$IP$9</f>
        <v>0</v>
      </c>
      <c r="F19" s="96">
        <f>[3]Jazz_AC!$IP$9</f>
        <v>0</v>
      </c>
      <c r="G19" s="96">
        <f>[3]PSA!$IP$9</f>
        <v>0</v>
      </c>
      <c r="H19" s="91">
        <f>'[3]Atlantic Southeast'!$IP$9</f>
        <v>0</v>
      </c>
      <c r="I19" s="91">
        <f>'[3]Continental Express'!$IP$9</f>
        <v>0</v>
      </c>
      <c r="J19" s="96">
        <f>'[3]Go Jet_UA'!$IP$9</f>
        <v>0</v>
      </c>
      <c r="K19" s="7">
        <f>'[3]Go Jet'!$IP$9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98</v>
      </c>
      <c r="F21" s="97">
        <f t="shared" si="14"/>
        <v>183</v>
      </c>
      <c r="G21" s="97">
        <f t="shared" si="13"/>
        <v>118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399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America'!$IP$47</f>
        <v>0</v>
      </c>
      <c r="C25" s="95">
        <f>'[3]Shuttle America_Delta'!$IP$47</f>
        <v>0</v>
      </c>
      <c r="D25" s="95">
        <f>[3]Horizon_AS!$IP$47</f>
        <v>0</v>
      </c>
      <c r="E25" s="95">
        <f>'[3]Air Wisconsin'!$IP$47</f>
        <v>1068</v>
      </c>
      <c r="F25" s="95">
        <f>[3]Jazz_AC!$IP$47</f>
        <v>15010.4</v>
      </c>
      <c r="G25" s="95">
        <f>[3]PSA!$IP$47</f>
        <v>1079</v>
      </c>
      <c r="H25" s="87">
        <f>'[3]Atlantic Southeast'!$IP$47</f>
        <v>0</v>
      </c>
      <c r="I25" s="87">
        <f>'[3]Continental Express'!$IP$47</f>
        <v>0</v>
      </c>
      <c r="J25" s="95">
        <f>'[3]Go Jet_UA'!$IP$47</f>
        <v>0</v>
      </c>
      <c r="K25" s="95">
        <f>'[3]Go Jet'!$IP$47</f>
        <v>0</v>
      </c>
      <c r="L25" s="88">
        <f>SUM(B25:K25)</f>
        <v>17157.400000000001</v>
      </c>
    </row>
    <row r="26" spans="1:15" x14ac:dyDescent="0.2">
      <c r="A26" s="45" t="s">
        <v>38</v>
      </c>
      <c r="B26" s="95">
        <f>'[3]Shuttle America'!$IP$48</f>
        <v>0</v>
      </c>
      <c r="C26" s="95">
        <f>'[3]Shuttle America_Delta'!$IP$48</f>
        <v>0</v>
      </c>
      <c r="D26" s="95">
        <f>[3]Horizon_AS!$IP$48</f>
        <v>0</v>
      </c>
      <c r="E26" s="95">
        <f>'[3]Air Wisconsin'!$IP$48</f>
        <v>0</v>
      </c>
      <c r="F26" s="95">
        <f>[3]Jazz_AC!$IP$48</f>
        <v>0</v>
      </c>
      <c r="G26" s="95">
        <f>[3]PSA!$IP$48</f>
        <v>0</v>
      </c>
      <c r="H26" s="87">
        <f>'[3]Atlantic Southeast'!$IP$48</f>
        <v>0</v>
      </c>
      <c r="I26" s="87">
        <f>'[3]Continental Express'!$IP$48</f>
        <v>0</v>
      </c>
      <c r="J26" s="95">
        <f>'[3]Go Jet_UA'!$IP$48</f>
        <v>0</v>
      </c>
      <c r="K26" s="95">
        <f>'[3]Go Jet'!$IP$48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1068</v>
      </c>
      <c r="F27" s="105">
        <f t="shared" si="18"/>
        <v>15010.4</v>
      </c>
      <c r="G27" s="105">
        <f t="shared" si="17"/>
        <v>1079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17157.400000000001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America'!$IP$52</f>
        <v>0</v>
      </c>
      <c r="C30" s="95">
        <f>'[3]Shuttle America_Delta'!$IP$52</f>
        <v>0</v>
      </c>
      <c r="D30" s="95">
        <f>[3]Horizon_AS!$IP$52</f>
        <v>0</v>
      </c>
      <c r="E30" s="95">
        <f>'[3]Air Wisconsin'!$IP$52</f>
        <v>95</v>
      </c>
      <c r="F30" s="95">
        <f>[3]Jazz_AC!$IP$52</f>
        <v>15437.8</v>
      </c>
      <c r="G30" s="95">
        <f>[3]PSA!$IP$52</f>
        <v>0</v>
      </c>
      <c r="H30" s="87">
        <f>'[3]Atlantic Southeast'!$IP$52</f>
        <v>0</v>
      </c>
      <c r="I30" s="87">
        <f>'[3]Continental Express'!$IP$52</f>
        <v>0</v>
      </c>
      <c r="J30" s="95">
        <f>'[3]Go Jet_UA'!$IP$52</f>
        <v>0</v>
      </c>
      <c r="K30" s="95">
        <f>'[3]Go Jet'!$IP$52</f>
        <v>0</v>
      </c>
      <c r="L30" s="88">
        <f>SUM(B30:K30)</f>
        <v>15532.8</v>
      </c>
    </row>
    <row r="31" spans="1:15" x14ac:dyDescent="0.2">
      <c r="A31" s="45" t="s">
        <v>60</v>
      </c>
      <c r="B31" s="95">
        <f>'[3]Shuttle America'!$IP$53</f>
        <v>0</v>
      </c>
      <c r="C31" s="95">
        <f>'[3]Shuttle America_Delta'!$IP$53</f>
        <v>0</v>
      </c>
      <c r="D31" s="95">
        <f>[3]Horizon_AS!$IP$53</f>
        <v>0</v>
      </c>
      <c r="E31" s="95">
        <f>'[3]Air Wisconsin'!$IP$53</f>
        <v>0</v>
      </c>
      <c r="F31" s="95">
        <f>[3]Jazz_AC!$IP$53</f>
        <v>0</v>
      </c>
      <c r="G31" s="95">
        <f>[3]PSA!$IP$53</f>
        <v>0</v>
      </c>
      <c r="H31" s="87">
        <f>'[3]Atlantic Southeast'!$IP$53</f>
        <v>0</v>
      </c>
      <c r="I31" s="87">
        <f>'[3]Continental Express'!$IP$53</f>
        <v>0</v>
      </c>
      <c r="J31" s="95">
        <f>'[3]Go Jet_UA'!$IP$53</f>
        <v>0</v>
      </c>
      <c r="K31" s="95">
        <f>'[3]Go Jet'!$IP$53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95</v>
      </c>
      <c r="F32" s="105">
        <f t="shared" si="21"/>
        <v>15437.8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15532.8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America'!$IP$57</f>
        <v>0</v>
      </c>
      <c r="C35" s="95">
        <f>'[3]Shuttle America_Delta'!$IP$57</f>
        <v>0</v>
      </c>
      <c r="D35" s="95">
        <f>[3]Horizon_AS!$IP$57</f>
        <v>0</v>
      </c>
      <c r="E35" s="95">
        <f>'[3]Air Wisconsin'!$IP$57</f>
        <v>0</v>
      </c>
      <c r="F35" s="95">
        <f>[3]Jazz_AC!$IP$57</f>
        <v>0</v>
      </c>
      <c r="G35" s="95">
        <f>[3]PSA!$IP$57</f>
        <v>0</v>
      </c>
      <c r="H35" s="87">
        <f>'[3]Atlantic Southeast'!$IP$57</f>
        <v>0</v>
      </c>
      <c r="I35" s="87">
        <f>'[3]Continental Express'!$IP$57</f>
        <v>0</v>
      </c>
      <c r="J35" s="95">
        <f>'[3]Go Jet_UA'!$AJ$57</f>
        <v>0</v>
      </c>
      <c r="K35" s="95">
        <f>'[3]Go Jet'!$IP$57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1163</v>
      </c>
      <c r="F40" s="95">
        <f t="shared" si="28"/>
        <v>30448.199999999997</v>
      </c>
      <c r="G40" s="95">
        <f t="shared" si="27"/>
        <v>1079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32690.199999999997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1163</v>
      </c>
      <c r="F42" s="108">
        <f t="shared" si="34"/>
        <v>30448.199999999997</v>
      </c>
      <c r="G42" s="108">
        <f t="shared" si="33"/>
        <v>1079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32690.199999999997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America_Delta'!$IP$70+'[3]Shuttle America_Delta'!$IP$73</f>
        <v>0</v>
      </c>
      <c r="D46" s="2"/>
      <c r="E46" s="2"/>
      <c r="H46" s="242">
        <f>'[3]Atlantic Southeast'!$IP$70+'[3]Atlantic Southeast'!$IP$73</f>
        <v>0</v>
      </c>
      <c r="K46" s="242">
        <f>'[3]Go Jet'!$IP$70+'[3]Go Jet'!$IP$73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America_Delta'!$IP$71+'[3]Shuttle America_Delta'!$IP$74</f>
        <v>0</v>
      </c>
      <c r="D47" s="2"/>
      <c r="E47" s="2"/>
      <c r="H47" s="242">
        <f>'[3]Atlantic Southeast'!$IP$71+'[3]Atlantic Southeast'!$IP$74</f>
        <v>0</v>
      </c>
      <c r="K47" s="242">
        <f>'[3]Go Jet'!$IP$71+'[3]Go Jet'!$IP$74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="115" zoomScaleNormal="115" workbookViewId="0">
      <selection activeCell="O33" sqref="O3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8" ht="26.25" thickBot="1" x14ac:dyDescent="0.25">
      <c r="A2" s="396">
        <v>45231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247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Misc'!$IP$22</f>
        <v>0</v>
      </c>
      <c r="C5" s="151">
        <f>[3]Ryan!$IP$22</f>
        <v>0</v>
      </c>
      <c r="D5" s="151">
        <f>'[3]Charter Misc'!$IP$32</f>
        <v>0</v>
      </c>
      <c r="E5" s="151">
        <f>[3]Omni!$IP$32+[3]Omni!$IP$22</f>
        <v>0</v>
      </c>
      <c r="F5" s="151">
        <f>'[3]Red Way'!$IP$32+'[3]Red Way'!$IP$22</f>
        <v>0</v>
      </c>
      <c r="G5" s="151">
        <f>[3]Xtra!$IP$32+[3]Xtra!$IP$22</f>
        <v>0</v>
      </c>
      <c r="H5" s="249">
        <f>SUM(B5:G5)</f>
        <v>0</v>
      </c>
    </row>
    <row r="6" spans="1:18" x14ac:dyDescent="0.2">
      <c r="A6" s="45" t="s">
        <v>31</v>
      </c>
      <c r="B6" s="314">
        <f>'[3]Charter Misc'!$IP$23</f>
        <v>0</v>
      </c>
      <c r="C6" s="154">
        <f>[3]Ryan!$IP$23</f>
        <v>0</v>
      </c>
      <c r="D6" s="154">
        <f>'[3]Charter Misc'!$IP$33</f>
        <v>0</v>
      </c>
      <c r="E6" s="154">
        <f>[3]Omni!$IP$33+[3]Omni!$IP$23</f>
        <v>0</v>
      </c>
      <c r="F6" s="154">
        <f>'[3]Red Way'!$IP$33+'[3]Red Way'!$IP$23</f>
        <v>0</v>
      </c>
      <c r="G6" s="154">
        <f>[3]Xtra!$IP$33+[3]Xtra!$IP$23</f>
        <v>0</v>
      </c>
      <c r="H6" s="249">
        <f>SUM(B6:G6)</f>
        <v>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0</v>
      </c>
      <c r="F7" s="219">
        <f t="shared" si="0"/>
        <v>0</v>
      </c>
      <c r="G7" s="219">
        <f t="shared" si="0"/>
        <v>0</v>
      </c>
      <c r="H7" s="220">
        <f>SUM(B7:G7)</f>
        <v>0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Misc'!$IP$4</f>
        <v>0</v>
      </c>
      <c r="C10" s="151">
        <f>[3]Ryan!$IP$4</f>
        <v>0</v>
      </c>
      <c r="D10" s="151">
        <f>'[3]Charter Misc'!$IP$15</f>
        <v>0</v>
      </c>
      <c r="E10" s="151">
        <f>[3]Omni!$IP$15+[3]Omni!$IP$4</f>
        <v>0</v>
      </c>
      <c r="F10" s="151">
        <f>'[3]Red Way'!$IP$15+'[3]Red Way'!$IP$4</f>
        <v>0</v>
      </c>
      <c r="G10" s="151">
        <f>[3]Xtra!$IP$15+[3]Xtra!$IP$4</f>
        <v>0</v>
      </c>
      <c r="H10" s="248">
        <f>SUM(B10:G10)</f>
        <v>0</v>
      </c>
    </row>
    <row r="11" spans="1:18" x14ac:dyDescent="0.2">
      <c r="A11" s="149" t="s">
        <v>80</v>
      </c>
      <c r="B11" s="313">
        <f>'[3]Charter Misc'!$IP$5</f>
        <v>0</v>
      </c>
      <c r="C11" s="151">
        <f>[3]Ryan!$IP$5</f>
        <v>0</v>
      </c>
      <c r="D11" s="151">
        <f>'[3]Charter Misc'!$IP$16</f>
        <v>0</v>
      </c>
      <c r="E11" s="151">
        <f>[3]Omni!$IP$16+[3]Omni!$IP$5</f>
        <v>0</v>
      </c>
      <c r="F11" s="151">
        <f>'[3]Red Way'!$IP$16+'[3]Red Way'!$IP$5</f>
        <v>0</v>
      </c>
      <c r="G11" s="151">
        <f>[3]Xtra!$IP$16+[3]Xtra!$IP$5</f>
        <v>0</v>
      </c>
      <c r="H11" s="248">
        <f>SUM(B11:G11)</f>
        <v>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0</v>
      </c>
      <c r="F12" s="221">
        <f t="shared" si="1"/>
        <v>0</v>
      </c>
      <c r="G12" s="221">
        <f t="shared" si="1"/>
        <v>0</v>
      </c>
      <c r="H12" s="222">
        <f>SUM(B12:G12)</f>
        <v>0</v>
      </c>
      <c r="R12" s="95"/>
    </row>
    <row r="17" spans="1:16" x14ac:dyDescent="0.2">
      <c r="B17" s="447" t="s">
        <v>148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9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50" t="s">
        <v>117</v>
      </c>
      <c r="C19" s="451"/>
      <c r="D19" s="451"/>
      <c r="E19" s="452"/>
      <c r="G19" s="450" t="s">
        <v>118</v>
      </c>
      <c r="H19" s="453"/>
      <c r="I19" s="453"/>
      <c r="J19" s="454"/>
      <c r="L19" s="455" t="s">
        <v>119</v>
      </c>
      <c r="M19" s="456"/>
      <c r="N19" s="456"/>
      <c r="O19" s="457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8" si="6"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33">
        <f t="shared" si="6"/>
        <v>3034560</v>
      </c>
      <c r="O23" s="423">
        <f>[9]Charter!N23</f>
        <v>2828968</v>
      </c>
      <c r="P23" s="420">
        <f t="shared" si="11"/>
        <v>7.2673851383260615E-2</v>
      </c>
    </row>
    <row r="24" spans="1:16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3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6" ht="14.1" customHeight="1" x14ac:dyDescent="0.2">
      <c r="A25" s="174" t="s">
        <v>75</v>
      </c>
      <c r="B25" s="433">
        <f>+[12]Charter!B25</f>
        <v>102957</v>
      </c>
      <c r="C25" s="433">
        <f>+[12]Charter!C25</f>
        <v>111285</v>
      </c>
      <c r="D25" s="423">
        <f t="shared" ref="D25" si="20">SUM(B25:C25)</f>
        <v>214242</v>
      </c>
      <c r="E25" s="423">
        <f>[13]Charter!D25</f>
        <v>131276</v>
      </c>
      <c r="F25" s="427">
        <f t="shared" si="3"/>
        <v>0.63199670922331574</v>
      </c>
      <c r="G25" s="423">
        <f t="shared" ref="G25" si="21">L25-B25</f>
        <v>1351079</v>
      </c>
      <c r="H25" s="423">
        <f t="shared" ref="H25" si="22">M25-C25</f>
        <v>1297633</v>
      </c>
      <c r="I25" s="423">
        <f t="shared" ref="I25" si="23">SUM(G25:H25)</f>
        <v>2648712</v>
      </c>
      <c r="J25" s="423">
        <f>[13]Charter!I25</f>
        <v>2565837</v>
      </c>
      <c r="K25" s="432">
        <f t="shared" si="5"/>
        <v>3.2299401715697451E-2</v>
      </c>
      <c r="L25" s="433">
        <f>+[12]Charter!L25</f>
        <v>1454036</v>
      </c>
      <c r="M25" s="433">
        <f>+[12]Charter!M25</f>
        <v>1408918</v>
      </c>
      <c r="N25" s="433">
        <f t="shared" si="6"/>
        <v>2862954</v>
      </c>
      <c r="O25" s="423">
        <f>[13]Charter!N25</f>
        <v>2697113</v>
      </c>
      <c r="P25" s="421">
        <f t="shared" si="11"/>
        <v>6.1488339569013235E-2</v>
      </c>
    </row>
    <row r="26" spans="1:16" ht="14.1" customHeight="1" x14ac:dyDescent="0.2">
      <c r="A26" s="181" t="s">
        <v>106</v>
      </c>
      <c r="B26" s="433">
        <f>+[14]Charter!B26</f>
        <v>121820</v>
      </c>
      <c r="C26" s="433">
        <f>+[14]Charter!C26</f>
        <v>128458</v>
      </c>
      <c r="D26" s="423">
        <f t="shared" ref="D26" si="24">SUM(B26:C26)</f>
        <v>250278</v>
      </c>
      <c r="E26" s="423">
        <f>[15]Charter!D26</f>
        <v>180003</v>
      </c>
      <c r="F26" s="426">
        <f t="shared" si="3"/>
        <v>0.39041015983066951</v>
      </c>
      <c r="G26" s="423">
        <f t="shared" ref="G26" si="25">L26-B26</f>
        <v>1511419</v>
      </c>
      <c r="H26" s="423">
        <f t="shared" ref="H26" si="26">M26-C26</f>
        <v>1495883</v>
      </c>
      <c r="I26" s="423">
        <f t="shared" ref="I26" si="27">SUM(G26:H26)</f>
        <v>3007302</v>
      </c>
      <c r="J26" s="423">
        <f>[15]Charter!I26</f>
        <v>2666878</v>
      </c>
      <c r="K26" s="431">
        <f t="shared" si="5"/>
        <v>0.12764888382595679</v>
      </c>
      <c r="L26" s="433">
        <f>+[14]Charter!L26</f>
        <v>1633239</v>
      </c>
      <c r="M26" s="433">
        <f>+[14]Charter!M26</f>
        <v>1624341</v>
      </c>
      <c r="N26" s="433">
        <f t="shared" si="6"/>
        <v>3257580</v>
      </c>
      <c r="O26" s="423">
        <f>[15]Charter!N26</f>
        <v>2846881</v>
      </c>
      <c r="P26" s="420">
        <f t="shared" si="11"/>
        <v>0.1442627914549291</v>
      </c>
    </row>
    <row r="27" spans="1:16" ht="14.1" customHeight="1" x14ac:dyDescent="0.2">
      <c r="A27" s="174" t="s">
        <v>107</v>
      </c>
      <c r="B27" s="433">
        <f>+[16]Charter!B27</f>
        <v>139115</v>
      </c>
      <c r="C27" s="433">
        <f>+[16]Charter!C27</f>
        <v>126500</v>
      </c>
      <c r="D27" s="423">
        <f t="shared" ref="D27" si="28">SUM(B27:C27)</f>
        <v>265615</v>
      </c>
      <c r="E27" s="423">
        <f>[17]Charter!D27</f>
        <v>180630</v>
      </c>
      <c r="F27" s="427">
        <f t="shared" si="3"/>
        <v>0.47049216630681506</v>
      </c>
      <c r="G27" s="423">
        <f t="shared" ref="G27" si="29">L27-B27</f>
        <v>1576788</v>
      </c>
      <c r="H27" s="423">
        <f t="shared" ref="H27" si="30">M27-C27</f>
        <v>1577344</v>
      </c>
      <c r="I27" s="423">
        <f t="shared" ref="I27" si="31">SUM(G27:H27)</f>
        <v>3154132</v>
      </c>
      <c r="J27" s="423">
        <f>[17]Charter!I27</f>
        <v>2778188</v>
      </c>
      <c r="K27" s="432">
        <f t="shared" si="5"/>
        <v>0.1353198559636713</v>
      </c>
      <c r="L27" s="433">
        <f>+[16]Charter!L27</f>
        <v>1715903</v>
      </c>
      <c r="M27" s="433">
        <f>+[16]Charter!M27</f>
        <v>1703844</v>
      </c>
      <c r="N27" s="433">
        <f t="shared" si="6"/>
        <v>3419747</v>
      </c>
      <c r="O27" s="423">
        <f>[17]Charter!N27</f>
        <v>2958818</v>
      </c>
      <c r="P27" s="421">
        <f t="shared" si="11"/>
        <v>0.15578146408464461</v>
      </c>
    </row>
    <row r="28" spans="1:16" ht="14.1" customHeight="1" x14ac:dyDescent="0.2">
      <c r="A28" s="181" t="s">
        <v>108</v>
      </c>
      <c r="B28" s="433">
        <f>+[18]Charter!B28</f>
        <v>136198</v>
      </c>
      <c r="C28" s="433">
        <f>+[18]Charter!C28</f>
        <v>125692</v>
      </c>
      <c r="D28" s="423">
        <f t="shared" ref="D28" si="32">SUM(B28:C28)</f>
        <v>261890</v>
      </c>
      <c r="E28" s="423">
        <f>[19]Charter!D28</f>
        <v>181603</v>
      </c>
      <c r="F28" s="426">
        <f t="shared" si="3"/>
        <v>0.44210172739437126</v>
      </c>
      <c r="G28" s="423">
        <f t="shared" ref="G28" si="33">L28-B28</f>
        <v>1547751</v>
      </c>
      <c r="H28" s="423">
        <f t="shared" ref="H28" si="34">M28-C28</f>
        <v>1533750</v>
      </c>
      <c r="I28" s="423">
        <f t="shared" ref="I28" si="35">SUM(G28:H28)</f>
        <v>3081501</v>
      </c>
      <c r="J28" s="423">
        <f>[19]Charter!I28</f>
        <v>2731608</v>
      </c>
      <c r="K28" s="431">
        <f t="shared" si="5"/>
        <v>0.1280904873612905</v>
      </c>
      <c r="L28" s="433">
        <f>+[18]Charter!L28</f>
        <v>1683949</v>
      </c>
      <c r="M28" s="433">
        <f>+[18]Charter!M28</f>
        <v>1659442</v>
      </c>
      <c r="N28" s="433">
        <f t="shared" si="6"/>
        <v>3343391</v>
      </c>
      <c r="O28" s="423">
        <f>[19]Charter!N28</f>
        <v>2913211</v>
      </c>
      <c r="P28" s="420">
        <f t="shared" si="11"/>
        <v>0.14766523949003352</v>
      </c>
    </row>
    <row r="29" spans="1:16" ht="14.1" customHeight="1" x14ac:dyDescent="0.2">
      <c r="A29" s="174" t="s">
        <v>109</v>
      </c>
      <c r="B29" s="433">
        <f>+[20]Charter!B29</f>
        <v>114472</v>
      </c>
      <c r="C29" s="433">
        <f>+[20]Charter!C29</f>
        <v>112599</v>
      </c>
      <c r="D29" s="423">
        <f t="shared" ref="D29" si="36">SUM(B29:C29)</f>
        <v>227071</v>
      </c>
      <c r="E29" s="423">
        <f>[21]Charter!D29</f>
        <v>146335</v>
      </c>
      <c r="F29" s="427">
        <f t="shared" si="3"/>
        <v>0.55172036764957122</v>
      </c>
      <c r="G29" s="423">
        <f t="shared" ref="G29" si="37">L29-B29</f>
        <v>1301826</v>
      </c>
      <c r="H29" s="423">
        <f t="shared" ref="H29" si="38">M29-C29</f>
        <v>1328191</v>
      </c>
      <c r="I29" s="423">
        <f t="shared" ref="I29" si="39">SUM(G29:H29)</f>
        <v>2630017</v>
      </c>
      <c r="J29" s="423">
        <f>[21]Charter!I29</f>
        <v>2451268</v>
      </c>
      <c r="K29" s="432">
        <f t="shared" si="5"/>
        <v>7.2921035154050878E-2</v>
      </c>
      <c r="L29" s="433">
        <f>+[20]Charter!L29</f>
        <v>1416298</v>
      </c>
      <c r="M29" s="433">
        <f>+[20]Charter!M29</f>
        <v>1440790</v>
      </c>
      <c r="N29" s="433">
        <f t="shared" ref="N29" si="40">SUM(L29:M29)</f>
        <v>2857088</v>
      </c>
      <c r="O29" s="423">
        <f>[21]Charter!N29</f>
        <v>2597603</v>
      </c>
      <c r="P29" s="421">
        <f t="shared" si="11"/>
        <v>9.9894017677066127E-2</v>
      </c>
    </row>
    <row r="30" spans="1:16" ht="14.1" customHeight="1" x14ac:dyDescent="0.2">
      <c r="A30" s="181" t="s">
        <v>110</v>
      </c>
      <c r="B30" s="433">
        <f>+[2]Charter!B30</f>
        <v>113368</v>
      </c>
      <c r="C30" s="433">
        <f>+[2]Charter!C30</f>
        <v>104951</v>
      </c>
      <c r="D30" s="423">
        <f t="shared" ref="D30" si="41">SUM(B30:C30)</f>
        <v>218319</v>
      </c>
      <c r="E30" s="423">
        <f>[22]Charter!D30</f>
        <v>138306</v>
      </c>
      <c r="F30" s="426">
        <f t="shared" si="3"/>
        <v>0.57852153919569649</v>
      </c>
      <c r="G30" s="423">
        <f t="shared" ref="G30" si="42">L30-B30</f>
        <v>1371335</v>
      </c>
      <c r="H30" s="423">
        <f t="shared" ref="H30" si="43">M30-C30</f>
        <v>1413534</v>
      </c>
      <c r="I30" s="423">
        <f t="shared" ref="I30" si="44">SUM(G30:H30)</f>
        <v>2784869</v>
      </c>
      <c r="J30" s="423">
        <f>[22]Charter!I30</f>
        <v>2551547</v>
      </c>
      <c r="K30" s="431">
        <f t="shared" si="5"/>
        <v>9.1443347898353428E-2</v>
      </c>
      <c r="L30" s="433">
        <f>+[2]Charter!L30</f>
        <v>1484703</v>
      </c>
      <c r="M30" s="433">
        <f>+[2]Charter!M30</f>
        <v>1518485</v>
      </c>
      <c r="N30" s="433">
        <f t="shared" ref="N30" si="45">SUM(L30:M30)</f>
        <v>3003188</v>
      </c>
      <c r="O30" s="423">
        <f>[22]Charter!N30</f>
        <v>2689853</v>
      </c>
      <c r="P30" s="420">
        <f t="shared" si="11"/>
        <v>0.11648777832840679</v>
      </c>
    </row>
    <row r="31" spans="1:16" ht="14.1" customHeight="1" x14ac:dyDescent="0.2">
      <c r="A31" s="174" t="s">
        <v>111</v>
      </c>
      <c r="B31" s="423">
        <f>+'Intl Detail'!$Q$4+'Intl Detail'!$Q$9</f>
        <v>93683</v>
      </c>
      <c r="C31" s="423">
        <f>+'Intl Detail'!$Q$5+'Intl Detail'!$Q$10</f>
        <v>95057</v>
      </c>
      <c r="D31" s="423">
        <f t="shared" ref="D31" si="46">SUM(B31:C31)</f>
        <v>188740</v>
      </c>
      <c r="E31" s="423">
        <f>[1]Charter!D31</f>
        <v>148527</v>
      </c>
      <c r="F31" s="427">
        <f t="shared" si="3"/>
        <v>0.27074538636072903</v>
      </c>
      <c r="G31" s="423">
        <f t="shared" ref="G31" si="47">L31-B31</f>
        <v>1276958</v>
      </c>
      <c r="H31" s="423">
        <f t="shared" ref="H31" si="48">M31-C31</f>
        <v>1300916</v>
      </c>
      <c r="I31" s="423">
        <f t="shared" ref="I31" si="49">SUM(G31:H31)</f>
        <v>2577874</v>
      </c>
      <c r="J31" s="423">
        <f>[1]Charter!I31</f>
        <v>2377200</v>
      </c>
      <c r="K31" s="432">
        <f t="shared" si="5"/>
        <v>8.4416119804812381E-2</v>
      </c>
      <c r="L31" s="423">
        <f>+'Monthly Summary'!$B$11</f>
        <v>1370641</v>
      </c>
      <c r="M31" s="423">
        <f>+'Monthly Summary'!$C$11</f>
        <v>1395973</v>
      </c>
      <c r="N31" s="433">
        <f t="shared" ref="N31" si="50">SUM(L31:M31)</f>
        <v>2766614</v>
      </c>
      <c r="O31" s="423">
        <f>[1]Charter!N31</f>
        <v>2525727</v>
      </c>
      <c r="P31" s="421">
        <f t="shared" si="11"/>
        <v>9.5373332113882464E-2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3"/>
        <v>#DIV/0!</v>
      </c>
      <c r="G32" s="423"/>
      <c r="H32" s="423"/>
      <c r="I32" s="423"/>
      <c r="J32" s="423"/>
      <c r="K32" s="428" t="e">
        <f t="shared" si="5"/>
        <v>#DIV/0!</v>
      </c>
      <c r="L32" s="423"/>
      <c r="M32" s="423"/>
      <c r="N32" s="423"/>
      <c r="O32" s="423"/>
      <c r="P32" s="422" t="e">
        <f t="shared" si="11"/>
        <v>#DIV/0!</v>
      </c>
    </row>
    <row r="33" spans="1:16" ht="13.5" thickBot="1" x14ac:dyDescent="0.25">
      <c r="A33" s="179" t="s">
        <v>76</v>
      </c>
      <c r="B33" s="185">
        <f>SUM(B21:B32)</f>
        <v>1379074</v>
      </c>
      <c r="C33" s="186">
        <f>SUM(C21:C32)</f>
        <v>1345177</v>
      </c>
      <c r="D33" s="186">
        <f>SUM(D21:D32)</f>
        <v>2724251</v>
      </c>
      <c r="E33" s="187">
        <f>SUM(E21:E32)</f>
        <v>1833376</v>
      </c>
      <c r="F33" s="177">
        <f>(D33-E33)/E33</f>
        <v>0.4859205094863247</v>
      </c>
      <c r="G33" s="188">
        <f>SUM(G21:G32)</f>
        <v>14626864</v>
      </c>
      <c r="H33" s="186">
        <f>SUM(H21:H32)</f>
        <v>14630675</v>
      </c>
      <c r="I33" s="186">
        <f>SUM(I21:I32)</f>
        <v>29257539</v>
      </c>
      <c r="J33" s="189">
        <f>SUM(J21:J32)</f>
        <v>26915991</v>
      </c>
      <c r="K33" s="178">
        <f>(I33-J33)/J33</f>
        <v>8.6994679111016202E-2</v>
      </c>
      <c r="L33" s="188">
        <f>SUM(L21:L32)</f>
        <v>16005938</v>
      </c>
      <c r="M33" s="186">
        <f>SUM(M21:M32)</f>
        <v>15975852</v>
      </c>
      <c r="N33" s="186">
        <f>SUM(N21:N32)</f>
        <v>31981790</v>
      </c>
      <c r="O33" s="187">
        <f>SUM(O21:O32)</f>
        <v>28749367</v>
      </c>
      <c r="P33" s="176">
        <f>(N33-O33)/O33</f>
        <v>0.11243457986396709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November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C5" sqref="C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58" t="s">
        <v>197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60"/>
    </row>
    <row r="2" spans="1:23" s="27" customFormat="1" ht="43.5" customHeight="1" thickBot="1" x14ac:dyDescent="0.25">
      <c r="A2" s="396">
        <v>45231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Air'!$IP$4</f>
        <v>0</v>
      </c>
      <c r="C4" s="132">
        <f>[3]DHL!$IP$8+[3]DHL!$IP$4</f>
        <v>1</v>
      </c>
      <c r="D4" s="132">
        <f>[3]Airborne!$IP$4+[3]Airborne!$IP$15</f>
        <v>15</v>
      </c>
      <c r="E4" s="95">
        <f>[3]DHL_Bemidji!$IP$4</f>
        <v>39</v>
      </c>
      <c r="F4" s="95">
        <f>[3]Bemidji!$IP$4</f>
        <v>184</v>
      </c>
      <c r="G4" s="132">
        <f>[3]DHL_Encore!$IP$4+[3]DHL_Encore!$IP$15</f>
        <v>0</v>
      </c>
      <c r="H4" s="132">
        <f>[3]DHL_Mesa!$IP$4+[3]DHL_Mesa!$IP$15</f>
        <v>4</v>
      </c>
      <c r="I4" s="132">
        <f>[3]Encore!$IP$4+[3]Encore!$IP$15</f>
        <v>0</v>
      </c>
      <c r="J4" s="132">
        <f>[3]FedEx!$IP$4+[3]FedEx!$IP$15</f>
        <v>104</v>
      </c>
      <c r="K4" s="132">
        <f>[3]IFL!$IP$4+[3]IFL!$IP$15</f>
        <v>17</v>
      </c>
      <c r="L4" s="132">
        <f>[3]DHL_Kalitta!$IP$4+[3]DHL_Kalitta!$IP$15</f>
        <v>0</v>
      </c>
      <c r="M4" s="95">
        <f>'[3]Mountain Cargo'!$IP$4</f>
        <v>21</v>
      </c>
      <c r="N4" s="132">
        <f>[3]DHL_Amerijet!$IP$4+[3]DHL_Amerijet!$IP$15</f>
        <v>0</v>
      </c>
      <c r="O4" s="132">
        <f>[3]DHL_Swift!$IP$4+[3]DHL_Swift!$IP$15</f>
        <v>7</v>
      </c>
      <c r="P4" s="132">
        <f>+'[3]Sun Country Cargo'!$IP$4+'[3]Sun Country Cargo'!$IP$8+'[3]Sun Country Cargo'!$IP$15</f>
        <v>108</v>
      </c>
      <c r="Q4" s="132">
        <f>[3]UPS!$IP$4+[3]UPS!$IP$15</f>
        <v>99</v>
      </c>
      <c r="R4" s="95">
        <f>'[3]Misc Cargo'!$IP$4</f>
        <v>0</v>
      </c>
      <c r="S4" s="368">
        <f>SUM(B4:R4)</f>
        <v>599</v>
      </c>
      <c r="U4" s="340"/>
      <c r="V4" s="340"/>
      <c r="W4" s="217"/>
    </row>
    <row r="5" spans="1:23" x14ac:dyDescent="0.2">
      <c r="A5" s="37" t="s">
        <v>54</v>
      </c>
      <c r="B5" s="369">
        <f>'[3]Atlas Air'!$IP$5</f>
        <v>0</v>
      </c>
      <c r="C5" s="156">
        <f>[3]DHL!$IP$9+[3]DHL!$IP$5</f>
        <v>1</v>
      </c>
      <c r="D5" s="156">
        <f>[3]Airborne!$IP$5</f>
        <v>15</v>
      </c>
      <c r="E5" s="96">
        <f>[3]DHL_Bemidji!$IP$5</f>
        <v>39</v>
      </c>
      <c r="F5" s="96">
        <f>[3]Bemidji!$IP$5</f>
        <v>184</v>
      </c>
      <c r="G5" s="156">
        <f>[3]DHL_Encore!$IP$5</f>
        <v>0</v>
      </c>
      <c r="H5" s="156">
        <f>[3]DHL_Mesa!$IP$5</f>
        <v>4</v>
      </c>
      <c r="I5" s="156">
        <f>[3]Encore!$IP$5</f>
        <v>0</v>
      </c>
      <c r="J5" s="156">
        <f>[3]FedEx!$IP$5</f>
        <v>104</v>
      </c>
      <c r="K5" s="156">
        <f>[3]IFL!$IP$5</f>
        <v>17</v>
      </c>
      <c r="L5" s="156">
        <f>[3]DHL_Kalitta!$IP$5</f>
        <v>0</v>
      </c>
      <c r="M5" s="96">
        <f>'[3]Mountain Cargo'!$IP$5</f>
        <v>21</v>
      </c>
      <c r="N5" s="156">
        <f>[3]DHL_Amerijet!$IP$5</f>
        <v>0</v>
      </c>
      <c r="O5" s="156">
        <f>[3]DHL_Swift!$IP$5</f>
        <v>7</v>
      </c>
      <c r="P5" s="156">
        <f>+'[3]Sun Country Cargo'!$IP$5+'[3]Sun Country Cargo'!$IP$9+'[3]Sun Country Cargo'!$IP$16</f>
        <v>108</v>
      </c>
      <c r="Q5" s="156">
        <f>[3]UPS!$IP$5+[3]UPS!$IP$16</f>
        <v>100</v>
      </c>
      <c r="R5" s="96">
        <f>'[3]Misc Cargo'!$IP$5</f>
        <v>0</v>
      </c>
      <c r="S5" s="368">
        <f>SUM(B5:R5)</f>
        <v>600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0</v>
      </c>
      <c r="C6" s="371">
        <f t="shared" si="0"/>
        <v>2</v>
      </c>
      <c r="D6" s="371">
        <f t="shared" ref="D6:E6" si="1">SUM(D4:D5)</f>
        <v>30</v>
      </c>
      <c r="E6" s="93">
        <f t="shared" si="1"/>
        <v>78</v>
      </c>
      <c r="F6" s="93">
        <f t="shared" si="0"/>
        <v>368</v>
      </c>
      <c r="G6" s="371">
        <f t="shared" si="0"/>
        <v>0</v>
      </c>
      <c r="H6" s="371">
        <f t="shared" ref="H6" si="2">SUM(H4:H5)</f>
        <v>8</v>
      </c>
      <c r="I6" s="371">
        <f t="shared" si="0"/>
        <v>0</v>
      </c>
      <c r="J6" s="371">
        <f t="shared" si="0"/>
        <v>208</v>
      </c>
      <c r="K6" s="371">
        <f t="shared" si="0"/>
        <v>34</v>
      </c>
      <c r="L6" s="371">
        <f t="shared" si="0"/>
        <v>0</v>
      </c>
      <c r="M6" s="93">
        <f t="shared" si="0"/>
        <v>42</v>
      </c>
      <c r="N6" s="371">
        <f t="shared" si="0"/>
        <v>0</v>
      </c>
      <c r="O6" s="371">
        <f t="shared" si="0"/>
        <v>14</v>
      </c>
      <c r="P6" s="371">
        <f t="shared" si="0"/>
        <v>216</v>
      </c>
      <c r="Q6" s="371">
        <f t="shared" si="0"/>
        <v>199</v>
      </c>
      <c r="R6" s="93">
        <f t="shared" si="0"/>
        <v>0</v>
      </c>
      <c r="S6" s="368">
        <f t="shared" ref="S6:S10" si="3">SUM(B6:R6)</f>
        <v>1199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Cargo'!$IP$8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Cargo'!$IP$9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0</v>
      </c>
      <c r="C12" s="161">
        <f t="shared" si="7"/>
        <v>2</v>
      </c>
      <c r="D12" s="161">
        <f t="shared" ref="D12:E12" si="8">D6+D10</f>
        <v>30</v>
      </c>
      <c r="E12" s="162">
        <f t="shared" si="8"/>
        <v>78</v>
      </c>
      <c r="F12" s="162">
        <f t="shared" si="7"/>
        <v>368</v>
      </c>
      <c r="G12" s="161">
        <f t="shared" si="7"/>
        <v>0</v>
      </c>
      <c r="H12" s="161">
        <f t="shared" ref="H12" si="9">H6+H10</f>
        <v>8</v>
      </c>
      <c r="I12" s="161">
        <f t="shared" si="7"/>
        <v>0</v>
      </c>
      <c r="J12" s="161">
        <f t="shared" si="7"/>
        <v>208</v>
      </c>
      <c r="K12" s="161">
        <f t="shared" si="7"/>
        <v>34</v>
      </c>
      <c r="L12" s="161">
        <f t="shared" si="7"/>
        <v>0</v>
      </c>
      <c r="M12" s="162">
        <f t="shared" si="7"/>
        <v>42</v>
      </c>
      <c r="N12" s="161">
        <f t="shared" si="7"/>
        <v>0</v>
      </c>
      <c r="O12" s="161">
        <f t="shared" si="7"/>
        <v>14</v>
      </c>
      <c r="P12" s="161">
        <f t="shared" si="7"/>
        <v>216</v>
      </c>
      <c r="Q12" s="161">
        <f t="shared" si="7"/>
        <v>199</v>
      </c>
      <c r="R12" s="162">
        <f t="shared" si="7"/>
        <v>0</v>
      </c>
      <c r="S12" s="374">
        <f>SUM(B12:R12)</f>
        <v>1199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Air'!$IP$47</f>
        <v>0</v>
      </c>
      <c r="C16" s="132">
        <f>[3]DHL!$IP$47</f>
        <v>54645</v>
      </c>
      <c r="D16" s="132">
        <f>[3]Airborne!$IP$47</f>
        <v>508465</v>
      </c>
      <c r="E16" s="132">
        <f>[3]DHL_Bemidji!$IP$47</f>
        <v>54194</v>
      </c>
      <c r="F16" s="461" t="s">
        <v>86</v>
      </c>
      <c r="G16" s="132">
        <f>[3]DHL_Encore!$IP$47</f>
        <v>0</v>
      </c>
      <c r="H16" s="132">
        <f>[3]DHL_Mesa!$IP$47</f>
        <v>117684</v>
      </c>
      <c r="I16" s="132">
        <f>[3]Encore!$IP$47</f>
        <v>0</v>
      </c>
      <c r="J16" s="132">
        <f>[3]FedEx!$IP$47</f>
        <v>7437386</v>
      </c>
      <c r="K16" s="132">
        <f>[3]IFL!$IP$47</f>
        <v>67665</v>
      </c>
      <c r="L16" s="132">
        <f>[3]DHL_Kalitta!$IP$47</f>
        <v>0</v>
      </c>
      <c r="M16" s="95">
        <f>'[3]Mountain Cargo'!$IP$47</f>
        <v>0</v>
      </c>
      <c r="N16" s="132">
        <f>[3]DHL_Amerijet!$IP$47</f>
        <v>0</v>
      </c>
      <c r="O16" s="132">
        <f>[3]DHL_Swift!$IP$47</f>
        <v>243088</v>
      </c>
      <c r="P16" s="132">
        <f>+'[3]Sun Country Cargo'!$IP$47</f>
        <v>2606963</v>
      </c>
      <c r="Q16" s="132">
        <f>[3]UPS!$IP$47</f>
        <v>5666953</v>
      </c>
      <c r="R16" s="95">
        <f>'[3]Misc Cargo'!$IP$47</f>
        <v>0</v>
      </c>
      <c r="S16" s="368">
        <f>SUM(B16:E16)+SUM(G16:R16)</f>
        <v>16757043</v>
      </c>
      <c r="U16" s="340"/>
      <c r="V16" s="340"/>
      <c r="W16" s="217"/>
    </row>
    <row r="17" spans="1:23" x14ac:dyDescent="0.2">
      <c r="A17" s="37" t="s">
        <v>38</v>
      </c>
      <c r="B17" s="183">
        <f>'[3]Atlas Air'!$IP$48</f>
        <v>0</v>
      </c>
      <c r="C17" s="132">
        <f>[3]DHL!$IP$48</f>
        <v>0</v>
      </c>
      <c r="D17" s="132">
        <f>[3]Airborne!$IP$48</f>
        <v>0</v>
      </c>
      <c r="E17" s="132">
        <f>[3]DHL_Bemidji!$IP$48</f>
        <v>0</v>
      </c>
      <c r="F17" s="462"/>
      <c r="G17" s="132">
        <f>[3]DHL_Encore!$IP$48</f>
        <v>0</v>
      </c>
      <c r="H17" s="132">
        <f>[3]DHL_Mesa!$IP$48</f>
        <v>0</v>
      </c>
      <c r="I17" s="132">
        <f>[3]Encore!$IP$48</f>
        <v>0</v>
      </c>
      <c r="J17" s="132">
        <f>[3]FedEx!$IP$48</f>
        <v>0</v>
      </c>
      <c r="K17" s="132">
        <f>[3]IFL!$IP$48</f>
        <v>0</v>
      </c>
      <c r="L17" s="132">
        <f>[3]DHL_Kalitta!$IP$48</f>
        <v>0</v>
      </c>
      <c r="M17" s="95">
        <f>'[3]Mountain Cargo'!$IP$48</f>
        <v>48740</v>
      </c>
      <c r="N17" s="132">
        <f>[3]DHL_Amerijet!$IP$48</f>
        <v>0</v>
      </c>
      <c r="O17" s="132">
        <f>[3]DHL_Swift!$IP$48</f>
        <v>0</v>
      </c>
      <c r="P17" s="132">
        <f>+'[3]Sun Country Cargo'!$IP$48</f>
        <v>0</v>
      </c>
      <c r="Q17" s="132">
        <f>[3]UPS!$IP$48</f>
        <v>42445</v>
      </c>
      <c r="R17" s="95">
        <f>'[3]Misc Cargo'!$IP$48</f>
        <v>0</v>
      </c>
      <c r="S17" s="368">
        <f>SUM(B17:E17)+SUM(G17:R17)</f>
        <v>91185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0</v>
      </c>
      <c r="C18" s="223">
        <f>SUM(C16:C17)</f>
        <v>54645</v>
      </c>
      <c r="D18" s="223">
        <f>SUM(D16:D17)</f>
        <v>508465</v>
      </c>
      <c r="E18" s="223">
        <f>SUM(E16:E17)</f>
        <v>54194</v>
      </c>
      <c r="F18" s="462"/>
      <c r="G18" s="223">
        <f>SUM(G16:G17)</f>
        <v>0</v>
      </c>
      <c r="H18" s="223">
        <f>SUM(H16:H17)</f>
        <v>117684</v>
      </c>
      <c r="I18" s="223">
        <f>SUM(I16:I17)</f>
        <v>0</v>
      </c>
      <c r="J18" s="223">
        <f>SUM(J16:J17)</f>
        <v>7437386</v>
      </c>
      <c r="K18" s="223">
        <f>SUM(K16:K17)</f>
        <v>67665</v>
      </c>
      <c r="L18" s="223">
        <f t="shared" ref="L18:R18" si="10">SUM(L16:L17)</f>
        <v>0</v>
      </c>
      <c r="M18" s="224">
        <f t="shared" si="10"/>
        <v>48740</v>
      </c>
      <c r="N18" s="223">
        <f t="shared" si="10"/>
        <v>0</v>
      </c>
      <c r="O18" s="223">
        <f t="shared" si="10"/>
        <v>243088</v>
      </c>
      <c r="P18" s="223">
        <f t="shared" si="10"/>
        <v>2606963</v>
      </c>
      <c r="Q18" s="223">
        <f t="shared" si="10"/>
        <v>5709398</v>
      </c>
      <c r="R18" s="224">
        <f t="shared" si="10"/>
        <v>0</v>
      </c>
      <c r="S18" s="380">
        <f>SUM(B18:D18)+SUM(G18:R18)</f>
        <v>16794034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2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2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Air'!$IP$52</f>
        <v>0</v>
      </c>
      <c r="C21" s="132">
        <f>[3]DHL!$IP$52</f>
        <v>31173</v>
      </c>
      <c r="D21" s="132">
        <f>[3]Airborne!$IP$52</f>
        <v>847615</v>
      </c>
      <c r="E21" s="132">
        <f>[3]DHL_Bemidji!$IP$52</f>
        <v>56991</v>
      </c>
      <c r="F21" s="462"/>
      <c r="G21" s="132">
        <f>[3]DHL_Encore!$IP$52</f>
        <v>0</v>
      </c>
      <c r="H21" s="132">
        <f>[3]DHL_Mesa!$IP$52</f>
        <v>0</v>
      </c>
      <c r="I21" s="132">
        <f>[3]Encore!$IP$52</f>
        <v>0</v>
      </c>
      <c r="J21" s="132">
        <f>[3]FedEx!$IP$52</f>
        <v>6313818</v>
      </c>
      <c r="K21" s="132">
        <f>[3]IFL!$IP$52</f>
        <v>0</v>
      </c>
      <c r="L21" s="132">
        <f>[3]DHL_Kalitta!$IP$52</f>
        <v>0</v>
      </c>
      <c r="M21" s="95">
        <f>'[3]Mountain Cargo'!$IP$52</f>
        <v>0</v>
      </c>
      <c r="N21" s="132">
        <f>[3]DHL_Amerijet!$IP$52</f>
        <v>0</v>
      </c>
      <c r="O21" s="132">
        <f>[3]DHL_Swift!$IP$52</f>
        <v>211474</v>
      </c>
      <c r="P21" s="132">
        <f>+'[3]Sun Country Cargo'!$IP$52</f>
        <v>2469001</v>
      </c>
      <c r="Q21" s="132">
        <f>[3]UPS!$IP$52</f>
        <v>4389267</v>
      </c>
      <c r="R21" s="95">
        <f>'[3]Misc Cargo'!$IP$52</f>
        <v>0</v>
      </c>
      <c r="S21" s="368">
        <f>SUM(B21:E21)+SUM(G21:R21)</f>
        <v>14319339</v>
      </c>
      <c r="U21" s="340"/>
      <c r="V21" s="340"/>
      <c r="W21" s="217"/>
    </row>
    <row r="22" spans="1:23" x14ac:dyDescent="0.2">
      <c r="A22" s="37" t="s">
        <v>60</v>
      </c>
      <c r="B22" s="183">
        <f>'[3]Atlas Air'!$IP$53</f>
        <v>0</v>
      </c>
      <c r="C22" s="132">
        <f>[3]DHL!$IP$53</f>
        <v>0</v>
      </c>
      <c r="D22" s="132">
        <f>[3]Airborne!$IP$53</f>
        <v>0</v>
      </c>
      <c r="E22" s="132">
        <f>[3]DHL_Bemidji!$IP$53</f>
        <v>0</v>
      </c>
      <c r="F22" s="462"/>
      <c r="G22" s="132">
        <f>[3]DHL_Encore!$IP$53</f>
        <v>0</v>
      </c>
      <c r="H22" s="132">
        <f>[3]DHL_Mesa!$IP$53</f>
        <v>0</v>
      </c>
      <c r="I22" s="132">
        <f>[3]Encore!$IP$53</f>
        <v>0</v>
      </c>
      <c r="J22" s="132">
        <f>[3]FedEx!$IP$53</f>
        <v>0</v>
      </c>
      <c r="K22" s="132">
        <f>[3]IFL!$IP$53</f>
        <v>0</v>
      </c>
      <c r="L22" s="132">
        <f>[3]DHL_Kalitta!$IP$53</f>
        <v>0</v>
      </c>
      <c r="M22" s="95">
        <f>'[3]Mountain Cargo'!$IP$53</f>
        <v>96709</v>
      </c>
      <c r="N22" s="132">
        <f>[3]DHL_Amerijet!$IP$53</f>
        <v>0</v>
      </c>
      <c r="O22" s="132">
        <f>[3]DHL_Swift!$IP$53</f>
        <v>0</v>
      </c>
      <c r="P22" s="132">
        <f>+'[3]Sun Country Cargo'!$IP$53</f>
        <v>0</v>
      </c>
      <c r="Q22" s="132">
        <f>[3]UPS!$IP$53</f>
        <v>33290</v>
      </c>
      <c r="R22" s="95">
        <f>'[3]Misc Cargo'!$IP$53</f>
        <v>0</v>
      </c>
      <c r="S22" s="368">
        <f>SUM(B22:E22)+SUM(G22:R22)</f>
        <v>129999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0</v>
      </c>
      <c r="C23" s="223">
        <f>SUM(C21:C22)</f>
        <v>31173</v>
      </c>
      <c r="D23" s="223">
        <f t="shared" ref="D23:E23" si="11">SUM(D21:D22)</f>
        <v>847615</v>
      </c>
      <c r="E23" s="223">
        <f t="shared" si="11"/>
        <v>56991</v>
      </c>
      <c r="F23" s="462"/>
      <c r="G23" s="223">
        <f t="shared" ref="G23:R23" si="12">SUM(G21:G22)</f>
        <v>0</v>
      </c>
      <c r="H23" s="223">
        <f t="shared" ref="H23" si="13">SUM(H21:H22)</f>
        <v>0</v>
      </c>
      <c r="I23" s="223">
        <f t="shared" si="12"/>
        <v>0</v>
      </c>
      <c r="J23" s="223">
        <f t="shared" si="12"/>
        <v>6313818</v>
      </c>
      <c r="K23" s="223">
        <f t="shared" si="12"/>
        <v>0</v>
      </c>
      <c r="L23" s="223">
        <f t="shared" si="12"/>
        <v>0</v>
      </c>
      <c r="M23" s="224">
        <f t="shared" si="12"/>
        <v>96709</v>
      </c>
      <c r="N23" s="223">
        <f t="shared" si="12"/>
        <v>0</v>
      </c>
      <c r="O23" s="223">
        <f t="shared" si="12"/>
        <v>211474</v>
      </c>
      <c r="P23" s="223">
        <f t="shared" si="12"/>
        <v>2469001</v>
      </c>
      <c r="Q23" s="223">
        <f t="shared" si="12"/>
        <v>4422557</v>
      </c>
      <c r="R23" s="224">
        <f t="shared" si="12"/>
        <v>0</v>
      </c>
      <c r="S23" s="380">
        <f>SUM(B23:D23)+SUM(G23:R23)</f>
        <v>14392347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2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2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Air'!$IP$57</f>
        <v>0</v>
      </c>
      <c r="C26" s="132">
        <f>[3]DHL!$IP$57</f>
        <v>0</v>
      </c>
      <c r="D26" s="132">
        <f>[3]Airborne!$IP$57</f>
        <v>0</v>
      </c>
      <c r="E26" s="132">
        <f>[3]DHL_Bemidji!$IP$57</f>
        <v>0</v>
      </c>
      <c r="F26" s="462"/>
      <c r="G26" s="132">
        <f>[3]DHL_Encore!$IP$57</f>
        <v>0</v>
      </c>
      <c r="H26" s="132">
        <f>[3]DHL_Mesa!$IP$57</f>
        <v>0</v>
      </c>
      <c r="I26" s="132">
        <f>[3]Encore!$IP$57</f>
        <v>0</v>
      </c>
      <c r="J26" s="132">
        <f>[3]FedEx!$IP$57</f>
        <v>0</v>
      </c>
      <c r="K26" s="132">
        <f>[3]IFL!$IP$57</f>
        <v>0</v>
      </c>
      <c r="L26" s="132">
        <f>[3]DHL_Kalitta!$IP$57</f>
        <v>0</v>
      </c>
      <c r="M26" s="95">
        <f>'[3]Mountain Cargo'!$IP$57</f>
        <v>0</v>
      </c>
      <c r="N26" s="132">
        <f>[3]DHL_Amerijet!$IP$57</f>
        <v>0</v>
      </c>
      <c r="O26" s="132">
        <f>[3]DHL_Swift!$IP$57</f>
        <v>0</v>
      </c>
      <c r="P26" s="132">
        <f>+'[3]Sun Country Cargo'!$IP$57</f>
        <v>0</v>
      </c>
      <c r="Q26" s="132">
        <f>[3]UPS!$IP$57</f>
        <v>0</v>
      </c>
      <c r="R26" s="95">
        <f>'[3]Misc Cargo'!$IP$57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Air'!$IP$58</f>
        <v>0</v>
      </c>
      <c r="C27" s="132">
        <f>[3]DHL!$IP$58</f>
        <v>0</v>
      </c>
      <c r="D27" s="132">
        <f>[3]Airborne!$IP$58</f>
        <v>0</v>
      </c>
      <c r="E27" s="132">
        <f>[3]DHL_Bemidji!$IP$58</f>
        <v>0</v>
      </c>
      <c r="F27" s="462"/>
      <c r="G27" s="132">
        <f>[3]DHL_Encore!$IP$58</f>
        <v>0</v>
      </c>
      <c r="H27" s="132">
        <f>[3]DHL_Mesa!$IP$58</f>
        <v>0</v>
      </c>
      <c r="I27" s="132">
        <f>[3]Encore!$IP$58</f>
        <v>0</v>
      </c>
      <c r="J27" s="132">
        <f>[3]FedEx!$IP$58</f>
        <v>0</v>
      </c>
      <c r="K27" s="132">
        <f>[3]IFL!$IP$58</f>
        <v>0</v>
      </c>
      <c r="L27" s="132">
        <f>[3]DHL_Kalitta!$IP$58</f>
        <v>0</v>
      </c>
      <c r="M27" s="95">
        <f>'[3]Mountain Cargo'!$IP$58</f>
        <v>0</v>
      </c>
      <c r="N27" s="132">
        <f>[3]DHL_Amerijet!$IP$58</f>
        <v>0</v>
      </c>
      <c r="O27" s="132">
        <f>[3]DHL_Swift!$IP$58</f>
        <v>0</v>
      </c>
      <c r="P27" s="132">
        <f>+'[3]Sun Country Cargo'!$IP$58</f>
        <v>0</v>
      </c>
      <c r="Q27" s="132">
        <f>[3]UPS!$IP$58</f>
        <v>0</v>
      </c>
      <c r="R27" s="95">
        <f>'[3]Misc Cargo'!$IP$58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2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2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2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0</v>
      </c>
      <c r="C31" s="132">
        <f t="shared" ref="C31:R33" si="17">C26+C21+C16</f>
        <v>85818</v>
      </c>
      <c r="D31" s="132">
        <f t="shared" si="17"/>
        <v>1356080</v>
      </c>
      <c r="E31" s="132">
        <f t="shared" si="17"/>
        <v>111185</v>
      </c>
      <c r="F31" s="462"/>
      <c r="G31" s="132">
        <f t="shared" ref="G31:P33" si="18">G26+G21+G16</f>
        <v>0</v>
      </c>
      <c r="H31" s="132">
        <f t="shared" ref="H31" si="19">H26+H21+H16</f>
        <v>117684</v>
      </c>
      <c r="I31" s="132">
        <f t="shared" si="18"/>
        <v>0</v>
      </c>
      <c r="J31" s="132">
        <f t="shared" si="18"/>
        <v>13751204</v>
      </c>
      <c r="K31" s="132">
        <f t="shared" si="18"/>
        <v>67665</v>
      </c>
      <c r="L31" s="132">
        <f t="shared" si="18"/>
        <v>0</v>
      </c>
      <c r="M31" s="95">
        <f>M26+M21+M16</f>
        <v>0</v>
      </c>
      <c r="N31" s="132">
        <f t="shared" si="18"/>
        <v>0</v>
      </c>
      <c r="O31" s="132">
        <f t="shared" si="18"/>
        <v>454562</v>
      </c>
      <c r="P31" s="132">
        <f t="shared" si="18"/>
        <v>5075964</v>
      </c>
      <c r="Q31" s="132">
        <f t="shared" si="17"/>
        <v>10056220</v>
      </c>
      <c r="R31" s="95">
        <f>R26+R21+R16</f>
        <v>0</v>
      </c>
      <c r="S31" s="368">
        <f>SUM(B31:E31)+SUM(G31:R31)</f>
        <v>31076382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3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145449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75735</v>
      </c>
      <c r="R32" s="95">
        <f>R27+R22+R17</f>
        <v>0</v>
      </c>
      <c r="S32" s="368">
        <f>SUM(B32:E32)+SUM(G32:R32)</f>
        <v>221184</v>
      </c>
    </row>
    <row r="33" spans="1:19" ht="18" customHeight="1" thickBot="1" x14ac:dyDescent="0.25">
      <c r="A33" s="160" t="s">
        <v>46</v>
      </c>
      <c r="B33" s="373">
        <f>B28+B23+B18</f>
        <v>0</v>
      </c>
      <c r="C33" s="161">
        <f t="shared" ref="C33:I33" si="21">C28+C23+C18</f>
        <v>85818</v>
      </c>
      <c r="D33" s="161">
        <f t="shared" si="21"/>
        <v>1356080</v>
      </c>
      <c r="E33" s="161">
        <f t="shared" si="21"/>
        <v>111185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117684</v>
      </c>
      <c r="I33" s="161">
        <f t="shared" si="21"/>
        <v>0</v>
      </c>
      <c r="J33" s="161">
        <f t="shared" si="18"/>
        <v>13751204</v>
      </c>
      <c r="K33" s="161">
        <f t="shared" si="18"/>
        <v>67665</v>
      </c>
      <c r="L33" s="161">
        <f t="shared" si="18"/>
        <v>0</v>
      </c>
      <c r="M33" s="162">
        <f>M28+M23+M18</f>
        <v>145449</v>
      </c>
      <c r="N33" s="161">
        <f t="shared" si="18"/>
        <v>0</v>
      </c>
      <c r="O33" s="161">
        <f t="shared" si="18"/>
        <v>454562</v>
      </c>
      <c r="P33" s="161">
        <f t="shared" si="17"/>
        <v>5075964</v>
      </c>
      <c r="Q33" s="161">
        <f t="shared" si="17"/>
        <v>10131955</v>
      </c>
      <c r="R33" s="162">
        <f t="shared" si="17"/>
        <v>0</v>
      </c>
      <c r="S33" s="374">
        <f>SUM(B33:E33)+SUM(G33:R33)</f>
        <v>31297566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November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O13" sqref="O1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45231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4622450</v>
      </c>
      <c r="C5" s="95">
        <f>'Regional Major'!M25</f>
        <v>18903.400000000001</v>
      </c>
      <c r="D5" s="95">
        <f>Cargo!S16</f>
        <v>16757043</v>
      </c>
      <c r="E5" s="95">
        <f>SUM(B5:D5)</f>
        <v>21398396.399999999</v>
      </c>
      <c r="F5" s="95">
        <f>E5*0.00045359237</f>
        <v>9706.1493372754667</v>
      </c>
      <c r="G5" s="95">
        <f>'[1]Cargo Summary'!F5</f>
        <v>9788.8585493614301</v>
      </c>
      <c r="H5" s="77">
        <f>(F5-G5)/G5</f>
        <v>-8.4493214064635617E-3</v>
      </c>
      <c r="I5" s="95">
        <f>+'[2]Cargo Summary'!I5+F5</f>
        <v>97618.408641532224</v>
      </c>
      <c r="J5" s="95">
        <f>+'[1]Cargo Summary'!I5</f>
        <v>104980.25108982826</v>
      </c>
      <c r="K5" s="65">
        <f>(I5-J5)/J5</f>
        <v>-7.0125974855944531E-2</v>
      </c>
      <c r="M5" s="13"/>
      <c r="O5" s="400"/>
    </row>
    <row r="6" spans="1:18" x14ac:dyDescent="0.2">
      <c r="A6" s="45" t="s">
        <v>16</v>
      </c>
      <c r="B6" s="139">
        <f>'Major Airline Stats'!K29</f>
        <v>460429</v>
      </c>
      <c r="C6" s="95">
        <f>'Regional Major'!M26</f>
        <v>0</v>
      </c>
      <c r="D6" s="95">
        <f>Cargo!S17</f>
        <v>91185</v>
      </c>
      <c r="E6" s="95">
        <f>SUM(B6:D6)</f>
        <v>551614</v>
      </c>
      <c r="F6" s="95">
        <f>E6*0.00045359237</f>
        <v>250.20790158518</v>
      </c>
      <c r="G6" s="95">
        <f>'[1]Cargo Summary'!F6</f>
        <v>1034.7444398837699</v>
      </c>
      <c r="H6" s="3">
        <f>(F6-G6)/G6</f>
        <v>-0.75819352881636626</v>
      </c>
      <c r="I6" s="95">
        <f>+'[2]Cargo Summary'!I6+F6</f>
        <v>6476.4285998419691</v>
      </c>
      <c r="J6" s="95">
        <f>+'[1]Cargo Summary'!I6</f>
        <v>15046.488986937098</v>
      </c>
      <c r="K6" s="65">
        <f>(I6-J6)/J6</f>
        <v>-0.56957210380012202</v>
      </c>
      <c r="M6" s="13"/>
    </row>
    <row r="7" spans="1:18" ht="18" customHeight="1" thickBot="1" x14ac:dyDescent="0.25">
      <c r="A7" s="54" t="s">
        <v>71</v>
      </c>
      <c r="B7" s="141">
        <f>SUM(B5:B6)</f>
        <v>5082879</v>
      </c>
      <c r="C7" s="105">
        <f t="shared" ref="C7:J7" si="0">SUM(C5:C6)</f>
        <v>18903.400000000001</v>
      </c>
      <c r="D7" s="105">
        <f t="shared" si="0"/>
        <v>16848228</v>
      </c>
      <c r="E7" s="105">
        <f t="shared" si="0"/>
        <v>21950010.399999999</v>
      </c>
      <c r="F7" s="105">
        <f t="shared" si="0"/>
        <v>9956.3572388606462</v>
      </c>
      <c r="G7" s="105">
        <f t="shared" si="0"/>
        <v>10823.602989245201</v>
      </c>
      <c r="H7" s="28">
        <f>(F7-G7)/G7</f>
        <v>-8.0125421381982254E-2</v>
      </c>
      <c r="I7" s="105">
        <f t="shared" si="0"/>
        <v>104094.83724137419</v>
      </c>
      <c r="J7" s="105">
        <f t="shared" si="0"/>
        <v>120026.74007676536</v>
      </c>
      <c r="K7" s="238">
        <f>(I7-J7)/J7</f>
        <v>-0.13273627880921887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2086049</v>
      </c>
      <c r="C10" s="95">
        <f>'Regional Major'!M30</f>
        <v>15782.8</v>
      </c>
      <c r="D10" s="95">
        <f>Cargo!S21</f>
        <v>14319339</v>
      </c>
      <c r="E10" s="95">
        <f>SUM(B10:D10)</f>
        <v>16421170.800000001</v>
      </c>
      <c r="F10" s="95">
        <f>E10*0.00045359237</f>
        <v>7448.5177813467963</v>
      </c>
      <c r="G10" s="95">
        <f>'[1]Cargo Summary'!F10</f>
        <v>7990.1148729155602</v>
      </c>
      <c r="H10" s="3">
        <f>(F10-G10)/G10</f>
        <v>-6.7783392377078228E-2</v>
      </c>
      <c r="I10" s="95">
        <f>+'[2]Cargo Summary'!I10+F10</f>
        <v>77076.599285506119</v>
      </c>
      <c r="J10" s="95">
        <f>+'[1]Cargo Summary'!I10</f>
        <v>84492.416685714881</v>
      </c>
      <c r="K10" s="65">
        <f>(I10-J10)/J10</f>
        <v>-8.7769029353169783E-2</v>
      </c>
      <c r="M10" s="13"/>
      <c r="O10" s="400"/>
    </row>
    <row r="11" spans="1:18" x14ac:dyDescent="0.2">
      <c r="A11" s="45" t="s">
        <v>16</v>
      </c>
      <c r="B11" s="139">
        <f>'Major Airline Stats'!K34</f>
        <v>446900</v>
      </c>
      <c r="C11" s="95">
        <f>'Regional Major'!M31</f>
        <v>0</v>
      </c>
      <c r="D11" s="95">
        <f>Cargo!S22</f>
        <v>129999</v>
      </c>
      <c r="E11" s="95">
        <f>SUM(B11:D11)</f>
        <v>576899</v>
      </c>
      <c r="F11" s="95">
        <f>E11*0.00045359237</f>
        <v>261.67698466063001</v>
      </c>
      <c r="G11" s="95">
        <f>'[1]Cargo Summary'!F11</f>
        <v>900.10325591955996</v>
      </c>
      <c r="H11" s="25">
        <f>(F11-G11)/G11</f>
        <v>-0.70928114864633329</v>
      </c>
      <c r="I11" s="95">
        <f>+'[2]Cargo Summary'!I11+F11</f>
        <v>4406.6076904595902</v>
      </c>
      <c r="J11" s="95">
        <f>+'[1]Cargo Summary'!I11</f>
        <v>11687.884422773326</v>
      </c>
      <c r="K11" s="65">
        <f>(I11-J11)/J11</f>
        <v>-0.62297644885386527</v>
      </c>
      <c r="M11" s="13"/>
    </row>
    <row r="12" spans="1:18" ht="18" customHeight="1" thickBot="1" x14ac:dyDescent="0.25">
      <c r="A12" s="54" t="s">
        <v>72</v>
      </c>
      <c r="B12" s="141">
        <f>SUM(B10:B11)</f>
        <v>2532949</v>
      </c>
      <c r="C12" s="105">
        <f t="shared" ref="C12:J12" si="1">SUM(C10:C11)</f>
        <v>15782.8</v>
      </c>
      <c r="D12" s="105">
        <f t="shared" si="1"/>
        <v>14449338</v>
      </c>
      <c r="E12" s="105">
        <f t="shared" si="1"/>
        <v>16998069.800000001</v>
      </c>
      <c r="F12" s="105">
        <f t="shared" si="1"/>
        <v>7710.1947660074266</v>
      </c>
      <c r="G12" s="105">
        <f t="shared" si="1"/>
        <v>8890.2181288351203</v>
      </c>
      <c r="H12" s="28">
        <f>(F12-G12)/G12</f>
        <v>-0.13273277952543461</v>
      </c>
      <c r="I12" s="105">
        <f>SUM(I10:I11)</f>
        <v>81483.206975965702</v>
      </c>
      <c r="J12" s="105">
        <f t="shared" si="1"/>
        <v>96180.301108488202</v>
      </c>
      <c r="K12" s="238">
        <f>(I12-J12)/J12</f>
        <v>-0.15280773675208881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6708499</v>
      </c>
      <c r="C20" s="95">
        <f t="shared" si="3"/>
        <v>34686.199999999997</v>
      </c>
      <c r="D20" s="95">
        <f t="shared" si="3"/>
        <v>31076382</v>
      </c>
      <c r="E20" s="95">
        <f>SUM(B20:D20)</f>
        <v>37819567.200000003</v>
      </c>
      <c r="F20" s="95">
        <f>E20*0.00045359237</f>
        <v>17154.667118622267</v>
      </c>
      <c r="G20" s="95">
        <f>'[1]Cargo Summary'!F20</f>
        <v>17778.973422276991</v>
      </c>
      <c r="H20" s="3">
        <f>(F20-G20)/G20</f>
        <v>-3.5114867930027445E-2</v>
      </c>
      <c r="I20" s="95">
        <f>+'[2]Cargo Summary'!I20+F20</f>
        <v>174695.00792703836</v>
      </c>
      <c r="J20" s="95">
        <f>+'[1]Cargo Summary'!I20</f>
        <v>189472.66777554317</v>
      </c>
      <c r="K20" s="65">
        <f>(I20-J20)/J20</f>
        <v>-7.7993623154190325E-2</v>
      </c>
      <c r="M20" s="13"/>
    </row>
    <row r="21" spans="1:13" x14ac:dyDescent="0.2">
      <c r="A21" s="45" t="s">
        <v>16</v>
      </c>
      <c r="B21" s="139">
        <f t="shared" si="3"/>
        <v>907329</v>
      </c>
      <c r="C21" s="96">
        <f t="shared" si="3"/>
        <v>0</v>
      </c>
      <c r="D21" s="96">
        <f t="shared" si="3"/>
        <v>221184</v>
      </c>
      <c r="E21" s="95">
        <f>SUM(B21:D21)</f>
        <v>1128513</v>
      </c>
      <c r="F21" s="95">
        <f>E21*0.00045359237</f>
        <v>511.88488624580998</v>
      </c>
      <c r="G21" s="95">
        <f>'[1]Cargo Summary'!F21</f>
        <v>1934.84769580333</v>
      </c>
      <c r="H21" s="3">
        <f>(F21-G21)/G21</f>
        <v>-0.73543918347884196</v>
      </c>
      <c r="I21" s="95">
        <f>+'[2]Cargo Summary'!I21+F21</f>
        <v>10883.036290301561</v>
      </c>
      <c r="J21" s="95">
        <f>+'[1]Cargo Summary'!I21</f>
        <v>26734.373409710432</v>
      </c>
      <c r="K21" s="65">
        <f>(I21-J21)/J21</f>
        <v>-0.59291971711786462</v>
      </c>
      <c r="M21" s="13"/>
    </row>
    <row r="22" spans="1:13" ht="18" customHeight="1" thickBot="1" x14ac:dyDescent="0.25">
      <c r="A22" s="67" t="s">
        <v>62</v>
      </c>
      <c r="B22" s="142">
        <f>SUM(B20:B21)</f>
        <v>7615828</v>
      </c>
      <c r="C22" s="143">
        <f t="shared" ref="C22:J22" si="4">SUM(C20:C21)</f>
        <v>34686.199999999997</v>
      </c>
      <c r="D22" s="143">
        <f t="shared" si="4"/>
        <v>31297566</v>
      </c>
      <c r="E22" s="143">
        <f t="shared" si="4"/>
        <v>38948080.200000003</v>
      </c>
      <c r="F22" s="143">
        <f t="shared" si="4"/>
        <v>17666.552004868077</v>
      </c>
      <c r="G22" s="143">
        <f t="shared" si="4"/>
        <v>19713.821118080323</v>
      </c>
      <c r="H22" s="244">
        <f>(F22-G22)/G22</f>
        <v>-0.10384943136846332</v>
      </c>
      <c r="I22" s="143">
        <f>SUM(I20:I21)</f>
        <v>185578.04421733992</v>
      </c>
      <c r="J22" s="143">
        <f t="shared" si="4"/>
        <v>216207.04118525359</v>
      </c>
      <c r="K22" s="245">
        <f>(I22-J22)/J22</f>
        <v>-0.1416651224678187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D27" sqref="D27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0" t="s">
        <v>182</v>
      </c>
      <c r="B2" s="471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0" t="s">
        <v>178</v>
      </c>
      <c r="K2" s="471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2">
        <v>45231</v>
      </c>
      <c r="B3" s="473"/>
      <c r="C3" s="474" t="s">
        <v>9</v>
      </c>
      <c r="D3" s="475"/>
      <c r="E3" s="475"/>
      <c r="F3" s="475"/>
      <c r="G3" s="475"/>
      <c r="H3" s="476"/>
      <c r="I3" s="365"/>
      <c r="J3" s="472">
        <f>+A3</f>
        <v>45231</v>
      </c>
      <c r="K3" s="473"/>
      <c r="L3" s="467" t="s">
        <v>179</v>
      </c>
      <c r="M3" s="468"/>
      <c r="N3" s="468"/>
      <c r="O3" s="468"/>
      <c r="P3" s="468"/>
      <c r="Q3" s="468"/>
      <c r="R3" s="469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216</v>
      </c>
      <c r="D5" s="382">
        <f>SUM(D6:D7)</f>
        <v>172</v>
      </c>
      <c r="E5" s="383">
        <f>(C5-D5)/D5</f>
        <v>0.2558139534883721</v>
      </c>
      <c r="F5" s="382">
        <f>SUM(F6:F7)</f>
        <v>2071</v>
      </c>
      <c r="G5" s="382">
        <f>SUM(G6:G7)</f>
        <v>1607</v>
      </c>
      <c r="H5" s="384">
        <f>(F5-G5)/G5</f>
        <v>0.28873677660236463</v>
      </c>
      <c r="I5" s="383">
        <f>+F5/$F$34</f>
        <v>0.16205007824726134</v>
      </c>
      <c r="J5" s="258" t="s">
        <v>202</v>
      </c>
      <c r="K5" s="39"/>
      <c r="L5" s="382">
        <f>SUM(L6:L7)</f>
        <v>5075964</v>
      </c>
      <c r="M5" s="382">
        <f>SUM(M6:M7)</f>
        <v>5871054</v>
      </c>
      <c r="N5" s="383">
        <f>(L5-M5)/M5</f>
        <v>-0.13542542787036194</v>
      </c>
      <c r="O5" s="382">
        <f>SUM(O6:O7)</f>
        <v>59035763</v>
      </c>
      <c r="P5" s="382">
        <f>SUM(P6:P7)</f>
        <v>62551331</v>
      </c>
      <c r="Q5" s="384">
        <f>(O5-P5)/P5</f>
        <v>-5.6202928759421601E-2</v>
      </c>
      <c r="R5" s="383">
        <f>O5/$O$34</f>
        <v>0.17838031456368925</v>
      </c>
      <c r="T5" s="391"/>
    </row>
    <row r="6" spans="1:20" ht="14.1" customHeight="1" x14ac:dyDescent="0.2">
      <c r="A6" s="37"/>
      <c r="B6" s="318" t="s">
        <v>203</v>
      </c>
      <c r="C6" s="322">
        <f>+'[3]Atlas Air'!$IP$19</f>
        <v>0</v>
      </c>
      <c r="D6" s="217">
        <f>+'[3]Atlas Air'!$IB$19</f>
        <v>58</v>
      </c>
      <c r="E6" s="324">
        <f>(C6-D6)/D6</f>
        <v>-1</v>
      </c>
      <c r="F6" s="322">
        <f>+SUM('[3]Atlas Air'!$IF$19:$IP$19)</f>
        <v>332</v>
      </c>
      <c r="G6" s="217">
        <f>+SUM('[3]Atlas Air'!$HR$19:$IB$19)</f>
        <v>666</v>
      </c>
      <c r="H6" s="323">
        <f>(F6-G6)/G6</f>
        <v>-0.50150150150150152</v>
      </c>
      <c r="I6" s="324">
        <f>+F6/$F$34</f>
        <v>2.5978090766823163E-2</v>
      </c>
      <c r="J6" s="37"/>
      <c r="K6" s="318" t="s">
        <v>203</v>
      </c>
      <c r="L6" s="322">
        <f>+'[3]Atlas Air'!$IP$64</f>
        <v>0</v>
      </c>
      <c r="M6" s="217">
        <f>+'[3]Atlas Air'!$IB$64</f>
        <v>3211931</v>
      </c>
      <c r="N6" s="324">
        <f>(L6-M6)/M6</f>
        <v>-1</v>
      </c>
      <c r="O6" s="217">
        <f>+SUM('[3]Atlas Air'!$IF$64:$IP$64)</f>
        <v>15627114</v>
      </c>
      <c r="P6" s="217">
        <f>+SUM('[3]Atlas Air'!$HR$64:$IB$64)</f>
        <v>37834380</v>
      </c>
      <c r="Q6" s="323">
        <f>(O6-P6)/P6</f>
        <v>-0.58695995546907331</v>
      </c>
      <c r="R6" s="324">
        <f>O6/$O$34</f>
        <v>4.721831936080223E-2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Cargo'!$IP$19</f>
        <v>216</v>
      </c>
      <c r="D7" s="217">
        <f>+'[3]Sun Country Cargo'!$IB$19</f>
        <v>114</v>
      </c>
      <c r="E7" s="324">
        <f>(C7-D7)/D7</f>
        <v>0.89473684210526316</v>
      </c>
      <c r="F7" s="322">
        <f>+SUM('[3]Sun Country Cargo'!$IF$19:$IP$19)</f>
        <v>1739</v>
      </c>
      <c r="G7" s="217">
        <f>+SUM('[3]Sun Country Cargo'!$HR$19:$IB$19)</f>
        <v>941</v>
      </c>
      <c r="H7" s="323">
        <f>(F7-G7)/G7</f>
        <v>0.84803400637619553</v>
      </c>
      <c r="I7" s="324">
        <f>+F7/$F$34</f>
        <v>0.13607198748043819</v>
      </c>
      <c r="J7" s="37"/>
      <c r="K7" s="318" t="s">
        <v>49</v>
      </c>
      <c r="L7" s="322">
        <f>+'[3]Sun Country Cargo'!$IP$64</f>
        <v>5075964</v>
      </c>
      <c r="M7" s="217">
        <f>+'[3]Sun Country Cargo'!$IB$64</f>
        <v>2659123</v>
      </c>
      <c r="N7" s="324">
        <f>(L7-M7)/M7</f>
        <v>0.90888650130136894</v>
      </c>
      <c r="O7" s="217">
        <f>+SUM('[3]Sun Country Cargo'!$IF$64:$IP$64)</f>
        <v>43408649</v>
      </c>
      <c r="P7" s="217">
        <f>+SUM('[3]Sun Country Cargo'!$HR$64:$IB$64)</f>
        <v>24716951</v>
      </c>
      <c r="Q7" s="323">
        <f>(O7-P7)/P7</f>
        <v>0.75622992496121388</v>
      </c>
      <c r="R7" s="324">
        <f>O7/$O$34</f>
        <v>0.13116199520288702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132</v>
      </c>
      <c r="D9" s="382">
        <f>SUM(D10:D18)</f>
        <v>160</v>
      </c>
      <c r="E9" s="383">
        <f>(C9-D9)/D9</f>
        <v>-0.17499999999999999</v>
      </c>
      <c r="F9" s="382">
        <f>SUM(F10:F18)</f>
        <v>1510</v>
      </c>
      <c r="G9" s="382">
        <f>SUM(G10:G18)</f>
        <v>1700</v>
      </c>
      <c r="H9" s="384">
        <f>(F9-G9)/G9</f>
        <v>-0.11176470588235295</v>
      </c>
      <c r="I9" s="383">
        <f t="shared" ref="I9:I18" si="0">+F9/$F$34</f>
        <v>0.11815336463223787</v>
      </c>
      <c r="J9" s="258" t="s">
        <v>204</v>
      </c>
      <c r="K9" s="39"/>
      <c r="L9" s="382">
        <f>SUM(L10:L18)</f>
        <v>2125329</v>
      </c>
      <c r="M9" s="382">
        <f>SUM(M10:M18)</f>
        <v>1459029</v>
      </c>
      <c r="N9" s="383">
        <f t="shared" ref="N9:N18" si="1">(L9-M9)/M9</f>
        <v>0.45667358222489068</v>
      </c>
      <c r="O9" s="382">
        <f>SUM(O10:O18)</f>
        <v>16846886</v>
      </c>
      <c r="P9" s="382">
        <f>SUM(P10:P18)</f>
        <v>17866056</v>
      </c>
      <c r="Q9" s="384">
        <f t="shared" ref="Q9:Q18" si="2">(O9-P9)/P9</f>
        <v>-5.7045046763538637E-2</v>
      </c>
      <c r="R9" s="383">
        <f t="shared" ref="R9:R18" si="3">O9/$O$34</f>
        <v>5.0903938077307691E-2</v>
      </c>
      <c r="T9" s="391"/>
    </row>
    <row r="10" spans="1:20" ht="14.1" customHeight="1" x14ac:dyDescent="0.2">
      <c r="A10" s="258"/>
      <c r="B10" s="318" t="s">
        <v>205</v>
      </c>
      <c r="C10" s="322">
        <f>+[3]Airborne!$IP$19</f>
        <v>30</v>
      </c>
      <c r="D10" s="217">
        <f>+[3]Airborne!$IB$19</f>
        <v>0</v>
      </c>
      <c r="E10" s="324" t="e">
        <f>(C10-D10)/D10</f>
        <v>#DIV/0!</v>
      </c>
      <c r="F10" s="322">
        <f>+SUM([3]Airborne!$IF$19:$IP$19)</f>
        <v>74</v>
      </c>
      <c r="G10" s="217">
        <f>+SUM([3]Airborne!$HR$19:$IB$19)</f>
        <v>12</v>
      </c>
      <c r="H10" s="323">
        <f>(F10-G10)/G10</f>
        <v>5.166666666666667</v>
      </c>
      <c r="I10" s="324">
        <f t="shared" si="0"/>
        <v>5.7902973395931139E-3</v>
      </c>
      <c r="J10" s="258"/>
      <c r="K10" s="318" t="s">
        <v>205</v>
      </c>
      <c r="L10" s="322">
        <f>+[3]Airborne!$IP$64</f>
        <v>1356080</v>
      </c>
      <c r="M10" s="217">
        <f>+[3]Airborne!$IB$64</f>
        <v>0</v>
      </c>
      <c r="N10" s="324" t="e">
        <f t="shared" si="1"/>
        <v>#DIV/0!</v>
      </c>
      <c r="O10" s="322">
        <f>+SUM([3]Airborne!$IF$64:$IP$64)</f>
        <v>2707856</v>
      </c>
      <c r="P10" s="217">
        <f>+SUM([3]Airborne!$HR$64:$IB$64)</f>
        <v>352522</v>
      </c>
      <c r="Q10" s="323">
        <f t="shared" si="2"/>
        <v>6.6813815875321261</v>
      </c>
      <c r="R10" s="324">
        <f t="shared" si="3"/>
        <v>8.1819592146742184E-3</v>
      </c>
      <c r="T10" s="391"/>
    </row>
    <row r="11" spans="1:20" ht="14.1" customHeight="1" x14ac:dyDescent="0.2">
      <c r="A11" s="258"/>
      <c r="B11" s="39" t="s">
        <v>203</v>
      </c>
      <c r="C11" s="322">
        <f>+[3]DHL_Atlas!$IP$19</f>
        <v>0</v>
      </c>
      <c r="D11" s="217">
        <f>+[3]DHL_Atlas!$IB$19</f>
        <v>0</v>
      </c>
      <c r="E11" s="324" t="e">
        <f t="shared" ref="E11:E18" si="4">(C11-D11)/D11</f>
        <v>#DIV/0!</v>
      </c>
      <c r="F11" s="322">
        <f>+SUM([3]DHL_Atlas!$IF$19:$IP$19)</f>
        <v>0</v>
      </c>
      <c r="G11" s="217">
        <f>+SUM([3]DHL_Atlas!$HR$19:$IB$19)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+[3]DHL_Atlas!$IP$64</f>
        <v>0</v>
      </c>
      <c r="M11" s="217">
        <f>+[3]DHL_Atlas!$IB$64</f>
        <v>0</v>
      </c>
      <c r="N11" s="324" t="e">
        <f t="shared" si="1"/>
        <v>#DIV/0!</v>
      </c>
      <c r="O11" s="322">
        <f>+SUM([3]DHL_Atlas!$IF$64:$IP$64)</f>
        <v>0</v>
      </c>
      <c r="P11" s="217">
        <f>+SUM([3]DHL_Atlas!$HR$64:$IB$64)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+[3]DHL!$IP$19</f>
        <v>2</v>
      </c>
      <c r="D12" s="217">
        <f>+[3]DHL!$IB$19</f>
        <v>0</v>
      </c>
      <c r="E12" s="324" t="e">
        <f t="shared" si="4"/>
        <v>#DIV/0!</v>
      </c>
      <c r="F12" s="322">
        <f>+SUM([3]DHL!$IF$19:$IP$19)</f>
        <v>18</v>
      </c>
      <c r="G12" s="217">
        <f>+SUM([3]DHL!$HR$19:$IB$19)</f>
        <v>0</v>
      </c>
      <c r="H12" s="323" t="e">
        <f t="shared" si="5"/>
        <v>#DIV/0!</v>
      </c>
      <c r="I12" s="324">
        <f t="shared" si="0"/>
        <v>1.4084507042253522E-3</v>
      </c>
      <c r="J12" s="258"/>
      <c r="K12" s="39" t="s">
        <v>206</v>
      </c>
      <c r="L12" s="322">
        <f>+[3]DHL!$IP$64</f>
        <v>85818</v>
      </c>
      <c r="M12" s="217">
        <f>+[3]DHL!$IB$64</f>
        <v>0</v>
      </c>
      <c r="N12" s="324" t="e">
        <f t="shared" si="1"/>
        <v>#DIV/0!</v>
      </c>
      <c r="O12" s="322">
        <f>+SUM([3]DHL!$IF$64:$IP$64)</f>
        <v>556427</v>
      </c>
      <c r="P12" s="217">
        <f>+SUM([3]DHL!$HR$64:$IB$64)</f>
        <v>0</v>
      </c>
      <c r="Q12" s="323" t="e">
        <f t="shared" si="2"/>
        <v>#DIV/0!</v>
      </c>
      <c r="R12" s="324">
        <f t="shared" si="3"/>
        <v>1.6812795879631456E-3</v>
      </c>
      <c r="T12" s="391"/>
    </row>
    <row r="13" spans="1:20" ht="14.1" customHeight="1" x14ac:dyDescent="0.2">
      <c r="A13" s="258"/>
      <c r="B13" s="318" t="s">
        <v>83</v>
      </c>
      <c r="C13" s="322">
        <f>+[3]DHL_Bemidji!$IP$19</f>
        <v>78</v>
      </c>
      <c r="D13" s="217">
        <f>+[3]DHL_Bemidji!$IB$19</f>
        <v>68</v>
      </c>
      <c r="E13" s="324">
        <f>(C13-D13)/D13</f>
        <v>0.14705882352941177</v>
      </c>
      <c r="F13" s="322">
        <f>+SUM([3]DHL_Bemidji!$IF$19:$IP$19)</f>
        <v>820</v>
      </c>
      <c r="G13" s="217">
        <f>+SUM([3]DHL_Bemidji!$HR$19:$IB$19)</f>
        <v>874</v>
      </c>
      <c r="H13" s="323">
        <f t="shared" si="5"/>
        <v>-6.1784897025171627E-2</v>
      </c>
      <c r="I13" s="324">
        <f t="shared" si="0"/>
        <v>6.416275430359937E-2</v>
      </c>
      <c r="J13" s="258"/>
      <c r="K13" s="318" t="s">
        <v>83</v>
      </c>
      <c r="L13" s="322">
        <f>+[3]DHL_Bemidji!$IP$64</f>
        <v>111185</v>
      </c>
      <c r="M13" s="217">
        <f>+[3]DHL_Bemidji!$IB$64</f>
        <v>84106</v>
      </c>
      <c r="N13" s="324">
        <f t="shared" ref="N13" si="6">(L13-M13)/M13</f>
        <v>0.32196276127743562</v>
      </c>
      <c r="O13" s="322">
        <f>+SUM([3]DHL_Bemidji!$IF$64:$IP$64)</f>
        <v>1062321</v>
      </c>
      <c r="P13" s="217">
        <f>+SUM([3]DHL_Bemidji!$HR$64:$IB$64)</f>
        <v>1145865</v>
      </c>
      <c r="Q13" s="323">
        <f t="shared" ref="Q13" si="7">(O13-P13)/P13</f>
        <v>-7.2909112329986522E-2</v>
      </c>
      <c r="R13" s="324">
        <f t="shared" si="3"/>
        <v>3.2098705008286742E-3</v>
      </c>
      <c r="T13" s="391"/>
    </row>
    <row r="14" spans="1:20" ht="14.1" customHeight="1" x14ac:dyDescent="0.2">
      <c r="A14" s="258"/>
      <c r="B14" s="39" t="s">
        <v>194</v>
      </c>
      <c r="C14" s="322">
        <f>+[3]Encore!$IP$19+[3]DHL_Encore!$IP$12</f>
        <v>0</v>
      </c>
      <c r="D14" s="217">
        <f>+[3]Encore!$IB$19+[3]DHL_Encore!$IB$19</f>
        <v>0</v>
      </c>
      <c r="E14" s="324" t="e">
        <f t="shared" si="4"/>
        <v>#DIV/0!</v>
      </c>
      <c r="F14" s="322">
        <f>+SUM([3]Encore!$IF$19:$IP$19)+SUM([3]DHL_Encore!$IF$19:$IP$19)</f>
        <v>0</v>
      </c>
      <c r="G14" s="217">
        <f>+SUM([3]Encore!$HR$19:$IB$19)+SUM([3]DHL_Encore!$HR$19:$IB$19)</f>
        <v>34</v>
      </c>
      <c r="H14" s="323">
        <f t="shared" si="5"/>
        <v>-1</v>
      </c>
      <c r="I14" s="324">
        <f t="shared" si="0"/>
        <v>0</v>
      </c>
      <c r="J14" s="258"/>
      <c r="K14" s="39" t="s">
        <v>194</v>
      </c>
      <c r="L14" s="322">
        <f>+[3]Encore!$IP$64+[3]DHL_Encore!$IP$64</f>
        <v>0</v>
      </c>
      <c r="M14" s="217">
        <f>+[3]Encore!$IB$64+[3]DHL_Encore!$IB$64</f>
        <v>0</v>
      </c>
      <c r="N14" s="324" t="e">
        <f t="shared" si="1"/>
        <v>#DIV/0!</v>
      </c>
      <c r="O14" s="322">
        <f>+SUM([3]Encore!$IF$64:$IP$64)+SUM([3]DHL_Encore!$IF$64:$IP$64)</f>
        <v>0</v>
      </c>
      <c r="P14" s="217">
        <f>+SUM([3]Encore!$HR$64:$IB$64)+SUM([3]DHL_Encore!$HR$64:$IB$64)</f>
        <v>769886</v>
      </c>
      <c r="Q14" s="323">
        <f t="shared" si="2"/>
        <v>-1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+[3]DHL_Kalitta!$IP$19</f>
        <v>0</v>
      </c>
      <c r="D15" s="217">
        <f>+[3]DHL_Kalitta!$IB$19</f>
        <v>0</v>
      </c>
      <c r="E15" s="324" t="e">
        <f t="shared" si="4"/>
        <v>#DIV/0!</v>
      </c>
      <c r="F15" s="322">
        <f>+SUM([3]DHL_Kalitta!$IF$19:$IP$19)</f>
        <v>4</v>
      </c>
      <c r="G15" s="217">
        <f>+SUM([3]DHL_Kalitta!$HR$19:$IB$19)</f>
        <v>2</v>
      </c>
      <c r="H15" s="323">
        <f t="shared" si="5"/>
        <v>1</v>
      </c>
      <c r="I15" s="324">
        <f t="shared" si="0"/>
        <v>3.1298904538341156E-4</v>
      </c>
      <c r="J15" s="258"/>
      <c r="K15" s="39" t="s">
        <v>207</v>
      </c>
      <c r="L15" s="322">
        <f>+[3]DHL_Kalitta!$IP$64</f>
        <v>0</v>
      </c>
      <c r="M15" s="217">
        <f>+[3]DHL_Kalitta!$IB$64</f>
        <v>0</v>
      </c>
      <c r="N15" s="324" t="e">
        <f t="shared" si="1"/>
        <v>#DIV/0!</v>
      </c>
      <c r="O15" s="322">
        <f>+SUM([3]DHL_Kalitta!$IF$64:$IP$64)</f>
        <v>109286</v>
      </c>
      <c r="P15" s="217">
        <f>+SUM([3]DHL_Kalitta!$HR$64:$IB$64)</f>
        <v>43161</v>
      </c>
      <c r="Q15" s="323">
        <f t="shared" si="2"/>
        <v>1.5320544009638331</v>
      </c>
      <c r="R15" s="324">
        <f t="shared" si="3"/>
        <v>3.3021460326357338E-4</v>
      </c>
      <c r="T15" s="391"/>
    </row>
    <row r="16" spans="1:20" ht="14.1" customHeight="1" x14ac:dyDescent="0.2">
      <c r="A16" s="258"/>
      <c r="B16" s="39" t="s">
        <v>51</v>
      </c>
      <c r="C16" s="322">
        <f>+[3]DHL_Mesa!$IP$19</f>
        <v>8</v>
      </c>
      <c r="D16" s="217">
        <f>+[3]DHL_Mesa!$IB$19</f>
        <v>82</v>
      </c>
      <c r="E16" s="324">
        <f t="shared" ref="E16" si="8">(C16-D16)/D16</f>
        <v>-0.90243902439024393</v>
      </c>
      <c r="F16" s="322">
        <f>+SUM([3]DHL_Mesa!$IF$19:$IP$19)</f>
        <v>302</v>
      </c>
      <c r="G16" s="217">
        <f>+SUM([3]DHL_Mesa!$HR$19:$IB$19)</f>
        <v>472</v>
      </c>
      <c r="H16" s="323">
        <f t="shared" ref="H16" si="9">(F16-G16)/G16</f>
        <v>-0.36016949152542371</v>
      </c>
      <c r="I16" s="324">
        <f t="shared" ref="I16" si="10">+F16/$F$34</f>
        <v>2.3630672926447573E-2</v>
      </c>
      <c r="J16" s="258"/>
      <c r="K16" s="39" t="s">
        <v>51</v>
      </c>
      <c r="L16" s="322">
        <f>+[3]DHL_Mesa!$IP$64</f>
        <v>117684</v>
      </c>
      <c r="M16" s="217">
        <f>+[3]DHL_Mesa!$IB$64</f>
        <v>1257795</v>
      </c>
      <c r="N16" s="324">
        <f t="shared" ref="N16" si="11">(L16-M16)/M16</f>
        <v>-0.90643626346105688</v>
      </c>
      <c r="O16" s="322">
        <f>+SUM([3]DHL_Mesa!$IF$64:$IP$64)</f>
        <v>6228736</v>
      </c>
      <c r="P16" s="217">
        <f>+SUM([3]DHL_Mesa!$HR$64:$IB$64)</f>
        <v>7879297</v>
      </c>
      <c r="Q16" s="323">
        <f t="shared" ref="Q16" si="12">(O16-P16)/P16</f>
        <v>-0.20948074428467411</v>
      </c>
      <c r="R16" s="324">
        <f t="shared" ref="R16" si="13">O16/$O$34</f>
        <v>1.8820522181007052E-2</v>
      </c>
      <c r="T16" s="391"/>
    </row>
    <row r="17" spans="1:20" x14ac:dyDescent="0.2">
      <c r="A17" s="258"/>
      <c r="B17" s="39" t="s">
        <v>239</v>
      </c>
      <c r="C17" s="322">
        <f>+[3]DHL_Amerijet!$IP$19</f>
        <v>0</v>
      </c>
      <c r="D17" s="217">
        <f>+[3]DHL_Amerijet!$IB$19</f>
        <v>0</v>
      </c>
      <c r="E17" s="324" t="e">
        <f t="shared" si="4"/>
        <v>#DIV/0!</v>
      </c>
      <c r="F17" s="322">
        <f>+SUM([3]DHL_Amerijet!$IF$19:$IP$19)</f>
        <v>82</v>
      </c>
      <c r="G17" s="217">
        <f>+SUM([3]DHL_Amerijet!$HR$19:$IB$19)</f>
        <v>0</v>
      </c>
      <c r="H17" s="323" t="e">
        <f t="shared" si="5"/>
        <v>#DIV/0!</v>
      </c>
      <c r="I17" s="324">
        <f t="shared" si="0"/>
        <v>6.4162754303599377E-3</v>
      </c>
      <c r="J17" s="258"/>
      <c r="K17" s="39" t="s">
        <v>239</v>
      </c>
      <c r="L17" s="322">
        <f>+[3]DHL_Amerijet!$IP$64</f>
        <v>0</v>
      </c>
      <c r="M17" s="217">
        <f>+[3]DHL_Amerijet!$IB$64</f>
        <v>0</v>
      </c>
      <c r="N17" s="324" t="e">
        <f t="shared" si="1"/>
        <v>#DIV/0!</v>
      </c>
      <c r="O17" s="322">
        <f>+SUM([3]DHL_Amerijet!$IF$64:$IP$64)</f>
        <v>2347965</v>
      </c>
      <c r="P17" s="217">
        <f>+SUM([3]DHL_Amerijet!$HR$64:$IB$64)</f>
        <v>0</v>
      </c>
      <c r="Q17" s="323" t="e">
        <f t="shared" si="2"/>
        <v>#DIV/0!</v>
      </c>
      <c r="R17" s="324">
        <f t="shared" si="3"/>
        <v>7.0945256570078144E-3</v>
      </c>
      <c r="T17" s="391"/>
    </row>
    <row r="18" spans="1:20" ht="14.1" customHeight="1" x14ac:dyDescent="0.2">
      <c r="A18" s="258"/>
      <c r="B18" s="39" t="s">
        <v>208</v>
      </c>
      <c r="C18" s="322">
        <f>+[3]DHL_Swift!$IP$19</f>
        <v>14</v>
      </c>
      <c r="D18" s="217">
        <f>+[3]DHL_Swift!$IB$19</f>
        <v>10</v>
      </c>
      <c r="E18" s="324">
        <f t="shared" si="4"/>
        <v>0.4</v>
      </c>
      <c r="F18" s="322">
        <f>+SUM([3]DHL_Swift!$IF$19:$IP$19)</f>
        <v>210</v>
      </c>
      <c r="G18" s="217">
        <f>+SUM([3]DHL_Swift!$HR$19:$IB$19)</f>
        <v>306</v>
      </c>
      <c r="H18" s="323">
        <f t="shared" si="5"/>
        <v>-0.31372549019607843</v>
      </c>
      <c r="I18" s="324">
        <f t="shared" si="0"/>
        <v>1.6431924882629109E-2</v>
      </c>
      <c r="J18" s="258"/>
      <c r="K18" s="39" t="s">
        <v>208</v>
      </c>
      <c r="L18" s="322">
        <f>+[3]DHL_Swift!$IP$64</f>
        <v>454562</v>
      </c>
      <c r="M18" s="217">
        <f>+[3]DHL_Swift!$IB$64</f>
        <v>117128</v>
      </c>
      <c r="N18" s="324">
        <f t="shared" si="1"/>
        <v>2.880899528720716</v>
      </c>
      <c r="O18" s="322">
        <f>+SUM([3]DHL_Swift!$IF$64:$IP$64)</f>
        <v>3834295</v>
      </c>
      <c r="P18" s="217">
        <f>+SUM([3]DHL_Swift!$HR$64:$IB$64)</f>
        <v>7675325</v>
      </c>
      <c r="Q18" s="323">
        <f t="shared" si="2"/>
        <v>-0.50043874363626295</v>
      </c>
      <c r="R18" s="324">
        <f t="shared" si="3"/>
        <v>1.158556633256321E-2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284</v>
      </c>
      <c r="D20" s="382">
        <f>SUM(D21:D24)</f>
        <v>330</v>
      </c>
      <c r="E20" s="383">
        <f>(C20-D20)/D20</f>
        <v>-0.1393939393939394</v>
      </c>
      <c r="F20" s="386">
        <f>SUM(F21:F24)</f>
        <v>2954</v>
      </c>
      <c r="G20" s="382">
        <f>SUM(G21:G24)</f>
        <v>3598</v>
      </c>
      <c r="H20" s="384">
        <f t="shared" ref="H20:H21" si="14">(F20-G20)/G20</f>
        <v>-0.17898832684824903</v>
      </c>
      <c r="I20" s="383">
        <f>+F20/$F$34</f>
        <v>0.23114241001564945</v>
      </c>
      <c r="J20" s="258" t="s">
        <v>180</v>
      </c>
      <c r="K20" s="39"/>
      <c r="L20" s="386">
        <f>SUM(L21:L24)</f>
        <v>13964318</v>
      </c>
      <c r="M20" s="382">
        <f>SUM(M21:M24)</f>
        <v>15251543</v>
      </c>
      <c r="N20" s="383">
        <f>(L20-M20)/M20</f>
        <v>-8.4399657136330408E-2</v>
      </c>
      <c r="O20" s="386">
        <f>SUM(O21:O24)</f>
        <v>142614930</v>
      </c>
      <c r="P20" s="382">
        <f>SUM(P21:P24)</f>
        <v>165518377</v>
      </c>
      <c r="Q20" s="384">
        <f t="shared" ref="Q20:Q22" si="15">(O20-P20)/P20</f>
        <v>-0.13837404290159275</v>
      </c>
      <c r="R20" s="383">
        <f>O20/$O$34</f>
        <v>0.43092008609897231</v>
      </c>
      <c r="T20" s="391"/>
    </row>
    <row r="21" spans="1:20" ht="14.1" customHeight="1" x14ac:dyDescent="0.2">
      <c r="A21" s="37"/>
      <c r="B21" s="318" t="s">
        <v>180</v>
      </c>
      <c r="C21" s="322">
        <f>+[3]FedEx!$IP$19</f>
        <v>208</v>
      </c>
      <c r="D21" s="217">
        <f>+[3]FedEx!$IB$19</f>
        <v>260</v>
      </c>
      <c r="E21" s="324">
        <f>(C21-D21)/D21</f>
        <v>-0.2</v>
      </c>
      <c r="F21" s="322">
        <f>+SUM([3]FedEx!$IF$19:$IP$19)</f>
        <v>2142</v>
      </c>
      <c r="G21" s="217">
        <f>+SUM([3]FedEx!$HR$19:$IB$19)</f>
        <v>2800</v>
      </c>
      <c r="H21" s="323">
        <f t="shared" si="14"/>
        <v>-0.23499999999999999</v>
      </c>
      <c r="I21" s="324">
        <f>+F21/$F$34</f>
        <v>0.1676056338028169</v>
      </c>
      <c r="J21" s="258"/>
      <c r="K21" s="318" t="s">
        <v>180</v>
      </c>
      <c r="L21" s="322">
        <f>+[3]FedEx!$IP$64</f>
        <v>13751204</v>
      </c>
      <c r="M21" s="217">
        <f>+[3]FedEx!$IB$64</f>
        <v>15030231</v>
      </c>
      <c r="N21" s="324">
        <f>(L21-M21)/M21</f>
        <v>-8.5096962248950136E-2</v>
      </c>
      <c r="O21" s="322">
        <f>+SUM([3]FedEx!$IF$64:$IP$64)</f>
        <v>140377242</v>
      </c>
      <c r="P21" s="217">
        <f>+SUM([3]FedEx!$HR$64:$IB$64)</f>
        <v>163225569</v>
      </c>
      <c r="Q21" s="323">
        <f t="shared" si="15"/>
        <v>-0.13998007260737441</v>
      </c>
      <c r="R21" s="324">
        <f>O21/$O$34</f>
        <v>0.42415876941478897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Cargo'!$IP$19</f>
        <v>42</v>
      </c>
      <c r="D22" s="217">
        <f>+'[3]Mountain Cargo'!$IB$19</f>
        <v>40</v>
      </c>
      <c r="E22" s="324">
        <f>(C22-D22)/D22</f>
        <v>0.05</v>
      </c>
      <c r="F22" s="322">
        <f>+SUM('[3]Mountain Cargo'!$IF$19:$IP$19)</f>
        <v>468</v>
      </c>
      <c r="G22" s="217">
        <f>+SUM('[3]Mountain Cargo'!$HR$19:$IB$19)</f>
        <v>458</v>
      </c>
      <c r="H22" s="323">
        <f>(F22-G22)/G22</f>
        <v>2.1834061135371178E-2</v>
      </c>
      <c r="I22" s="324">
        <f>+F22/$F$34</f>
        <v>3.6619718309859155E-2</v>
      </c>
      <c r="J22" s="363"/>
      <c r="K22" s="318" t="s">
        <v>209</v>
      </c>
      <c r="L22" s="322">
        <f>+'[3]Mountain Cargo'!$IP$64</f>
        <v>145449</v>
      </c>
      <c r="M22" s="217">
        <f>+'[3]Mountain Cargo'!$IB$64</f>
        <v>159749</v>
      </c>
      <c r="N22" s="324">
        <f>(L22-M22)/M22</f>
        <v>-8.951542732661863E-2</v>
      </c>
      <c r="O22" s="322">
        <f>+SUM('[3]Mountain Cargo'!$IF$64:$IP$64)</f>
        <v>1595793</v>
      </c>
      <c r="P22" s="217">
        <f>+SUM('[3]Mountain Cargo'!$HR$64:$IB$64)</f>
        <v>1648825</v>
      </c>
      <c r="Q22" s="323">
        <f t="shared" si="15"/>
        <v>-3.2163510378602947E-2</v>
      </c>
      <c r="R22" s="324">
        <f>O22/$O$34</f>
        <v>4.8217900955821198E-3</v>
      </c>
      <c r="T22" s="391"/>
    </row>
    <row r="23" spans="1:20" ht="14.1" customHeight="1" x14ac:dyDescent="0.2">
      <c r="A23" s="37"/>
      <c r="B23" s="318" t="s">
        <v>174</v>
      </c>
      <c r="C23" s="322">
        <f>+[3]IFL!$IP$19</f>
        <v>34</v>
      </c>
      <c r="D23" s="217">
        <f>+[3]IFL!$IB$19</f>
        <v>30</v>
      </c>
      <c r="E23" s="324">
        <f>(C23-D23)/D23</f>
        <v>0.13333333333333333</v>
      </c>
      <c r="F23" s="322">
        <f>+SUM([3]IFL!$IF$19:$IP$19)</f>
        <v>344</v>
      </c>
      <c r="G23" s="217">
        <f>+SUM([3]IFL!$HR$19:$IB$19)</f>
        <v>340</v>
      </c>
      <c r="H23" s="323">
        <f>(F23-G23)/G23</f>
        <v>1.1764705882352941E-2</v>
      </c>
      <c r="I23" s="324">
        <f>+F23/$F$34</f>
        <v>2.6917057902973395E-2</v>
      </c>
      <c r="J23" s="363"/>
      <c r="K23" s="318" t="s">
        <v>174</v>
      </c>
      <c r="L23" s="322">
        <f>+[3]IFL!$IP$64</f>
        <v>67665</v>
      </c>
      <c r="M23" s="217">
        <f>+[3]IFL!$IB$64</f>
        <v>61563</v>
      </c>
      <c r="N23" s="324">
        <f>(L23-M23)/M23</f>
        <v>9.9117976706788166E-2</v>
      </c>
      <c r="O23" s="322">
        <f>+SUM([3]IFL!$IF$64:$IP$64)</f>
        <v>641895</v>
      </c>
      <c r="P23" s="217">
        <f>+SUM([3]IFL!$HR$64:$IB$64)</f>
        <v>643983</v>
      </c>
      <c r="Q23" s="323">
        <f>(O23-P23)/P23</f>
        <v>-3.2423216140798749E-3</v>
      </c>
      <c r="R23" s="324">
        <f>O23/$O$34</f>
        <v>1.9395265886012062E-3</v>
      </c>
      <c r="T23" s="391"/>
    </row>
    <row r="24" spans="1:20" ht="14.1" customHeight="1" x14ac:dyDescent="0.2">
      <c r="A24" s="258"/>
      <c r="B24" s="318" t="s">
        <v>84</v>
      </c>
      <c r="C24" s="322">
        <f>+'[3]CSA Air'!$IP$19</f>
        <v>0</v>
      </c>
      <c r="D24" s="217">
        <f>+'[3]CSA Air'!$IB$19</f>
        <v>0</v>
      </c>
      <c r="E24" s="324" t="e">
        <f>(C24-D24)/D24</f>
        <v>#DIV/0!</v>
      </c>
      <c r="F24" s="322">
        <f>+SUM('[3]CSA Air'!$IF$19:$IP$19)</f>
        <v>0</v>
      </c>
      <c r="G24" s="217">
        <f>+SUM('[3]CSA Air'!$HR$19:$IB$19)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Air'!$IP$64</f>
        <v>0</v>
      </c>
      <c r="M24" s="217">
        <f>+'[3]CSA Air'!$IB$64</f>
        <v>0</v>
      </c>
      <c r="N24" s="324" t="e">
        <f>(L24-M24)/M24</f>
        <v>#DIV/0!</v>
      </c>
      <c r="O24" s="322">
        <f>+SUM('[3]CSA Air'!$IF$64:$IP$64)</f>
        <v>0</v>
      </c>
      <c r="P24" s="217">
        <f>+SUM('[3]CSA Air'!$HR$64:$IB$64)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567</v>
      </c>
      <c r="D26" s="382">
        <f>SUM(D27:D28)</f>
        <v>692</v>
      </c>
      <c r="E26" s="383">
        <f>(C26-D26)/D26</f>
        <v>-0.18063583815028902</v>
      </c>
      <c r="F26" s="382">
        <f>SUM(F27:F28)</f>
        <v>6243</v>
      </c>
      <c r="G26" s="382">
        <f>SUM(G27:G28)</f>
        <v>7328</v>
      </c>
      <c r="H26" s="384">
        <f>(F26-G26)/G26</f>
        <v>-0.1480622270742358</v>
      </c>
      <c r="I26" s="383">
        <f>+F26/$F$34</f>
        <v>0.4884976525821596</v>
      </c>
      <c r="J26" s="258" t="s">
        <v>82</v>
      </c>
      <c r="K26" s="39"/>
      <c r="L26" s="382">
        <f>SUM(L27:L28)</f>
        <v>10131955</v>
      </c>
      <c r="M26" s="382">
        <f>SUM(M27:M28)</f>
        <v>12678743</v>
      </c>
      <c r="N26" s="383">
        <f>(L26-M26)/M26</f>
        <v>-0.20087070145676114</v>
      </c>
      <c r="O26" s="382">
        <f>SUM(O27:O28)</f>
        <v>112456744</v>
      </c>
      <c r="P26" s="382">
        <f>SUM(P27:P28)</f>
        <v>138115550</v>
      </c>
      <c r="Q26" s="384">
        <f>(O26-P26)/P26</f>
        <v>-0.1857778215414557</v>
      </c>
      <c r="R26" s="383">
        <f>O26/$O$34</f>
        <v>0.33979520802548574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+[3]UPS!$IP$19</f>
        <v>199</v>
      </c>
      <c r="D27" s="217">
        <f>+[3]UPS!$IB$19</f>
        <v>264</v>
      </c>
      <c r="E27" s="324">
        <f>(C27-D27)/D27</f>
        <v>-0.24621212121212122</v>
      </c>
      <c r="F27" s="322">
        <f>+SUM([3]UPS!$IF$19:$IP$19)</f>
        <v>2417</v>
      </c>
      <c r="G27" s="217">
        <f>+SUM([3]UPS!$HR$19:$IB$19)</f>
        <v>2996</v>
      </c>
      <c r="H27" s="323">
        <f>(F27-G27)/G27</f>
        <v>-0.19325767690253673</v>
      </c>
      <c r="I27" s="324">
        <f>+F27/$F$34</f>
        <v>0.18912363067292645</v>
      </c>
      <c r="J27" s="258"/>
      <c r="K27" s="318" t="s">
        <v>82</v>
      </c>
      <c r="L27" s="322">
        <f>+[3]UPS!$IP$64</f>
        <v>10131955</v>
      </c>
      <c r="M27" s="217">
        <f>+[3]UPS!$IB$64</f>
        <v>12678743</v>
      </c>
      <c r="N27" s="324">
        <f>(L27-M27)/M27</f>
        <v>-0.20087070145676114</v>
      </c>
      <c r="O27" s="322">
        <f>+SUM([3]UPS!$IF$64:$IP$64)</f>
        <v>112456744</v>
      </c>
      <c r="P27" s="217">
        <f>+SUM([3]UPS!$HR$64:$IB$64)</f>
        <v>138115550</v>
      </c>
      <c r="Q27" s="323">
        <f>(O27-P27)/P27</f>
        <v>-0.1857778215414557</v>
      </c>
      <c r="R27" s="324">
        <f>O27/$O$34</f>
        <v>0.33979520802548574</v>
      </c>
      <c r="S27" s="340"/>
      <c r="T27" s="393"/>
    </row>
    <row r="28" spans="1:20" x14ac:dyDescent="0.2">
      <c r="A28" s="258"/>
      <c r="B28" s="318" t="s">
        <v>83</v>
      </c>
      <c r="C28" s="322">
        <f>+[3]Bemidji!$IP$19</f>
        <v>368</v>
      </c>
      <c r="D28" s="217">
        <f>+[3]Bemidji!$IB$19</f>
        <v>428</v>
      </c>
      <c r="E28" s="324">
        <f>(C28-D28)/D28</f>
        <v>-0.14018691588785046</v>
      </c>
      <c r="F28" s="322">
        <f>+SUM([3]Bemidji!$IF$19:$IP$19)</f>
        <v>3826</v>
      </c>
      <c r="G28" s="217">
        <f>+SUM([3]Bemidji!$HR$19:$IB$19)</f>
        <v>4332</v>
      </c>
      <c r="H28" s="323">
        <f t="shared" ref="H28" si="18">(F28-G28)/G28</f>
        <v>-0.11680517082179132</v>
      </c>
      <c r="I28" s="324">
        <f>+F28/$F$34</f>
        <v>0.29937402190923318</v>
      </c>
      <c r="J28" s="258"/>
      <c r="K28" s="318" t="s">
        <v>83</v>
      </c>
      <c r="L28" s="464" t="s">
        <v>183</v>
      </c>
      <c r="M28" s="465"/>
      <c r="N28" s="465"/>
      <c r="O28" s="465"/>
      <c r="P28" s="465"/>
      <c r="Q28" s="465"/>
      <c r="R28" s="466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Cargo'!$IP$19</f>
        <v>0</v>
      </c>
      <c r="D30" s="382">
        <f>+'[3]Misc Cargo'!$IB$19</f>
        <v>0</v>
      </c>
      <c r="E30" s="383" t="e">
        <f>(C30-D30)/D30</f>
        <v>#DIV/0!</v>
      </c>
      <c r="F30" s="386">
        <f>+SUM('[3]Misc Cargo'!$IF$19:$IP$19)</f>
        <v>2</v>
      </c>
      <c r="G30" s="382">
        <f>+SUM('[3]Misc Cargo'!$HR$19:$IB$19)</f>
        <v>12</v>
      </c>
      <c r="H30" s="384">
        <f>(F30-G30)/G30</f>
        <v>-0.83333333333333337</v>
      </c>
      <c r="I30" s="383">
        <f>+F30/$F$34</f>
        <v>1.5649452269170578E-4</v>
      </c>
      <c r="J30" s="258" t="s">
        <v>126</v>
      </c>
      <c r="K30" s="39"/>
      <c r="L30" s="386">
        <f>+'[3]Misc Cargo'!$IP$64</f>
        <v>0</v>
      </c>
      <c r="M30" s="382">
        <f>+'[3]Misc Cargo'!$IB$64</f>
        <v>0</v>
      </c>
      <c r="N30" s="383" t="e">
        <f>(L30-M30)/M30</f>
        <v>#DIV/0!</v>
      </c>
      <c r="O30" s="386">
        <f>+SUM('[3]Misc Cargo'!$IF$64:$IP$64)</f>
        <v>150</v>
      </c>
      <c r="P30" s="382">
        <f>+SUM('[3]Misc Cargo'!$HR$64:$IB$64)</f>
        <v>111244</v>
      </c>
      <c r="Q30" s="384">
        <f>(O30-P30)/P30</f>
        <v>-0.99865161267124514</v>
      </c>
      <c r="R30" s="383">
        <f>O30/$O$34</f>
        <v>4.5323454504269534E-7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1199</v>
      </c>
      <c r="D34" s="344">
        <f>+D30+D26+D20+D9+D5</f>
        <v>1354</v>
      </c>
      <c r="E34" s="345">
        <f>(C34-D34)/D34</f>
        <v>-0.11447562776957164</v>
      </c>
      <c r="F34" s="344">
        <f>+F30+F26+F20+F9+F5</f>
        <v>12780</v>
      </c>
      <c r="G34" s="344">
        <f>+G30+G26+G20+G9+G5</f>
        <v>14245</v>
      </c>
      <c r="H34" s="346">
        <f>(F34-G34)/G34</f>
        <v>-0.10284310284310284</v>
      </c>
      <c r="I34" s="352"/>
      <c r="K34" s="343" t="s">
        <v>181</v>
      </c>
      <c r="L34" s="344">
        <f>+L30+L26+L20+L9+L5</f>
        <v>31297566</v>
      </c>
      <c r="M34" s="344">
        <f>+M30+M26+M20+M9+M5</f>
        <v>35260369</v>
      </c>
      <c r="N34" s="347">
        <f>(L34-M34)/M34</f>
        <v>-0.11238688398297816</v>
      </c>
      <c r="O34" s="344">
        <f>+O30+O26+O20+O9+O5</f>
        <v>330954473</v>
      </c>
      <c r="P34" s="344">
        <f>+P30+P26+P20+P9+P5</f>
        <v>384162558</v>
      </c>
      <c r="Q34" s="346">
        <f t="shared" ref="Q34" si="19">(O34-P34)/P34</f>
        <v>-0.13850408867800176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November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C7" sqref="C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96">
        <v>45231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250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9" ht="15" x14ac:dyDescent="0.25">
      <c r="A2" s="477" t="s">
        <v>138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9"/>
    </row>
    <row r="3" spans="1:19" x14ac:dyDescent="0.2">
      <c r="A3" s="45" t="s">
        <v>29</v>
      </c>
      <c r="Q3" s="39"/>
    </row>
    <row r="4" spans="1:19" x14ac:dyDescent="0.2">
      <c r="A4" s="45" t="s">
        <v>30</v>
      </c>
      <c r="B4" s="12">
        <f>[3]Delta!$IP$32</f>
        <v>69154</v>
      </c>
      <c r="C4" s="12">
        <f>'[3]Atlantic Southeast'!$IP$32</f>
        <v>0</v>
      </c>
      <c r="D4" s="12">
        <f>[3]Pinnacle!$IP$32</f>
        <v>3327</v>
      </c>
      <c r="E4" s="12">
        <f>'[3]Sky West'!$IP$32</f>
        <v>1602</v>
      </c>
      <c r="F4" s="12">
        <f>'[3]Go Jet'!$IP$32</f>
        <v>0</v>
      </c>
      <c r="G4" s="12">
        <f>'[3]Sun Country'!$IP$32</f>
        <v>5022</v>
      </c>
      <c r="H4" s="12">
        <f>[3]Icelandair!$IP$32</f>
        <v>2370</v>
      </c>
      <c r="I4" s="12">
        <f>[3]KLM!$IP$32</f>
        <v>3587</v>
      </c>
      <c r="J4" s="12">
        <f>[3]Jazz_AC!$IP$32</f>
        <v>5047</v>
      </c>
      <c r="K4" s="12">
        <f>'[3]Sky Regional'!$IP$32</f>
        <v>0</v>
      </c>
      <c r="L4" s="12">
        <f>[3]Condor!$IP$32</f>
        <v>0</v>
      </c>
      <c r="M4" s="12">
        <f>'[3]Aer Lingus'!$IP$32</f>
        <v>0</v>
      </c>
      <c r="N4" s="12">
        <f>'[3]Air France'!$IP$32</f>
        <v>0</v>
      </c>
      <c r="O4" s="12">
        <f>[3]Frontier!$IP$32</f>
        <v>1172</v>
      </c>
      <c r="P4" s="12">
        <f>'[3]Charter Misc'!$IP$32+[3]Ryan!$IP$32+[3]Omni!$IP$32</f>
        <v>0</v>
      </c>
      <c r="Q4" s="205">
        <f>SUM(B4:P4)</f>
        <v>91281</v>
      </c>
    </row>
    <row r="5" spans="1:19" x14ac:dyDescent="0.2">
      <c r="A5" s="45" t="s">
        <v>31</v>
      </c>
      <c r="B5" s="7">
        <f>[3]Delta!$IP$33</f>
        <v>70663</v>
      </c>
      <c r="C5" s="7">
        <f>'[3]Atlantic Southeast'!$IP$33</f>
        <v>0</v>
      </c>
      <c r="D5" s="7">
        <f>[3]Pinnacle!$IP$33</f>
        <v>3358</v>
      </c>
      <c r="E5" s="7">
        <f>'[3]Sky West'!$IP$33</f>
        <v>1528</v>
      </c>
      <c r="F5" s="7">
        <f>'[3]Go Jet'!$IP$33</f>
        <v>0</v>
      </c>
      <c r="G5" s="7">
        <f>'[3]Sun Country'!$IP$33</f>
        <v>6128</v>
      </c>
      <c r="H5" s="7">
        <f>[3]Icelandair!$IP$33</f>
        <v>2157</v>
      </c>
      <c r="I5" s="7">
        <f>[3]KLM!$IP$33</f>
        <v>3218</v>
      </c>
      <c r="J5" s="7">
        <f>[3]Jazz_AC!$IP$33</f>
        <v>4158</v>
      </c>
      <c r="K5" s="7">
        <f>'[3]Sky Regional'!$IP$33</f>
        <v>0</v>
      </c>
      <c r="L5" s="7">
        <f>[3]Condor!$IP$33</f>
        <v>0</v>
      </c>
      <c r="M5" s="7">
        <f>'[3]Aer Lingus'!$IP$33</f>
        <v>0</v>
      </c>
      <c r="N5" s="7">
        <f>'[3]Air France'!$IP$33</f>
        <v>0</v>
      </c>
      <c r="O5" s="7">
        <f>[3]Frontier!$IP$33</f>
        <v>1413</v>
      </c>
      <c r="P5" s="7">
        <f>'[3]Charter Misc'!$IP$33++[3]Ryan!$IP$33+[3]Omni!$IP$33</f>
        <v>0</v>
      </c>
      <c r="Q5" s="206">
        <f>SUM(B5:P5)</f>
        <v>92623</v>
      </c>
    </row>
    <row r="6" spans="1:19" ht="15" x14ac:dyDescent="0.25">
      <c r="A6" s="43" t="s">
        <v>7</v>
      </c>
      <c r="B6" s="24">
        <f t="shared" ref="B6:P6" si="0">SUM(B4:B5)</f>
        <v>139817</v>
      </c>
      <c r="C6" s="24">
        <f t="shared" si="0"/>
        <v>0</v>
      </c>
      <c r="D6" s="24">
        <f t="shared" si="0"/>
        <v>6685</v>
      </c>
      <c r="E6" s="24">
        <f t="shared" si="0"/>
        <v>3130</v>
      </c>
      <c r="F6" s="24">
        <f t="shared" ref="F6" si="1">SUM(F4:F5)</f>
        <v>0</v>
      </c>
      <c r="G6" s="24">
        <f t="shared" si="0"/>
        <v>11150</v>
      </c>
      <c r="H6" s="24">
        <f t="shared" si="0"/>
        <v>4527</v>
      </c>
      <c r="I6" s="24">
        <f t="shared" ref="I6" si="2">SUM(I4:I5)</f>
        <v>6805</v>
      </c>
      <c r="J6" s="24">
        <f t="shared" si="0"/>
        <v>9205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2585</v>
      </c>
      <c r="P6" s="24">
        <f t="shared" si="0"/>
        <v>0</v>
      </c>
      <c r="Q6" s="207">
        <f>SUM(B6:P6)</f>
        <v>183904</v>
      </c>
    </row>
    <row r="7" spans="1:19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9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9" x14ac:dyDescent="0.2">
      <c r="A9" s="45" t="s">
        <v>30</v>
      </c>
      <c r="B9" s="12">
        <f>[3]Delta!$IP$37</f>
        <v>2038</v>
      </c>
      <c r="C9" s="12">
        <f>'[3]Atlantic Southeast'!$IP$37</f>
        <v>0</v>
      </c>
      <c r="D9" s="12">
        <f>[3]Pinnacle!$IP$37</f>
        <v>74</v>
      </c>
      <c r="E9" s="12">
        <f>'[3]Sky West'!$IP$37</f>
        <v>36</v>
      </c>
      <c r="F9" s="12">
        <f>'[3]Go Jet'!$IP$37</f>
        <v>0</v>
      </c>
      <c r="G9" s="12">
        <f>'[3]Sun Country'!$IP$37</f>
        <v>127</v>
      </c>
      <c r="H9" s="12">
        <f>[3]Icelandair!$IP$37</f>
        <v>57</v>
      </c>
      <c r="I9" s="12">
        <f>[3]KLM!$IP$37</f>
        <v>18</v>
      </c>
      <c r="J9" s="12">
        <f>[3]Jazz_AC!$IP$37</f>
        <v>49</v>
      </c>
      <c r="K9" s="12">
        <f>'[3]Sky Regional'!$IP$37</f>
        <v>0</v>
      </c>
      <c r="L9" s="12">
        <f>[3]Condor!$IP$37</f>
        <v>0</v>
      </c>
      <c r="M9" s="12">
        <f>'[3]Aer Lingus'!$IP$37</f>
        <v>0</v>
      </c>
      <c r="N9" s="12">
        <f>'[3]Air France'!$IP$37</f>
        <v>0</v>
      </c>
      <c r="O9" s="12">
        <f>[3]Frontier!$IP$37</f>
        <v>3</v>
      </c>
      <c r="P9" s="12">
        <f>'[3]Charter Misc'!$IP$37+[3]Ryan!$IP$37+[3]Omni!$IP$37</f>
        <v>0</v>
      </c>
      <c r="Q9" s="205">
        <f>SUM(B9:P9)</f>
        <v>2402</v>
      </c>
    </row>
    <row r="10" spans="1:19" x14ac:dyDescent="0.2">
      <c r="A10" s="45" t="s">
        <v>33</v>
      </c>
      <c r="B10" s="7">
        <f>[3]Delta!$IP$38</f>
        <v>2016</v>
      </c>
      <c r="C10" s="7">
        <f>'[3]Atlantic Southeast'!$IP$38</f>
        <v>0</v>
      </c>
      <c r="D10" s="7">
        <f>[3]Pinnacle!$IP$38</f>
        <v>71</v>
      </c>
      <c r="E10" s="7">
        <f>'[3]Sky West'!$IP$38</f>
        <v>54</v>
      </c>
      <c r="F10" s="7">
        <f>'[3]Go Jet'!$IP$38</f>
        <v>0</v>
      </c>
      <c r="G10" s="7">
        <f>'[3]Sun Country'!$IP$38</f>
        <v>163</v>
      </c>
      <c r="H10" s="7">
        <f>[3]Icelandair!$IP$38</f>
        <v>70</v>
      </c>
      <c r="I10" s="7">
        <f>[3]KLM!$IP$38</f>
        <v>0</v>
      </c>
      <c r="J10" s="7">
        <f>[3]Jazz_AC!$IP$38</f>
        <v>59</v>
      </c>
      <c r="K10" s="7">
        <f>'[3]Sky Regional'!$IP$38</f>
        <v>0</v>
      </c>
      <c r="L10" s="7">
        <f>[3]Condor!$IP$38</f>
        <v>0</v>
      </c>
      <c r="M10" s="7">
        <f>'[3]Aer Lingus'!$IP$38</f>
        <v>0</v>
      </c>
      <c r="N10" s="7">
        <f>'[3]Air France'!$IP$38</f>
        <v>0</v>
      </c>
      <c r="O10" s="7">
        <f>[3]Frontier!$IP$38</f>
        <v>1</v>
      </c>
      <c r="P10" s="7">
        <f>'[3]Charter Misc'!$IP$38+[3]Ryan!$IP$38+[3]Omni!$IP$38</f>
        <v>0</v>
      </c>
      <c r="Q10" s="206">
        <f>SUM(B10:P10)</f>
        <v>2434</v>
      </c>
    </row>
    <row r="11" spans="1:19" ht="15.75" thickBot="1" x14ac:dyDescent="0.3">
      <c r="A11" s="46" t="s">
        <v>34</v>
      </c>
      <c r="B11" s="208">
        <f t="shared" ref="B11:G11" si="5">SUM(B9:B10)</f>
        <v>4054</v>
      </c>
      <c r="C11" s="208">
        <f t="shared" si="5"/>
        <v>0</v>
      </c>
      <c r="D11" s="208">
        <f t="shared" si="5"/>
        <v>145</v>
      </c>
      <c r="E11" s="208">
        <f t="shared" si="5"/>
        <v>90</v>
      </c>
      <c r="F11" s="208">
        <f t="shared" ref="F11" si="6">SUM(F9:F10)</f>
        <v>0</v>
      </c>
      <c r="G11" s="208">
        <f t="shared" si="5"/>
        <v>290</v>
      </c>
      <c r="H11" s="208">
        <f t="shared" ref="H11:P11" si="7">SUM(H9:H10)</f>
        <v>127</v>
      </c>
      <c r="I11" s="208">
        <f t="shared" ref="I11" si="8">SUM(I9:I10)</f>
        <v>18</v>
      </c>
      <c r="J11" s="208">
        <f t="shared" si="7"/>
        <v>108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4</v>
      </c>
      <c r="P11" s="208">
        <f t="shared" si="7"/>
        <v>0</v>
      </c>
      <c r="Q11" s="209">
        <f>SUM(B11:P11)</f>
        <v>4836</v>
      </c>
      <c r="S11" s="230"/>
    </row>
    <row r="12" spans="1:19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9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250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9" ht="15" x14ac:dyDescent="0.25">
      <c r="A14" s="480" t="s">
        <v>139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2"/>
    </row>
    <row r="15" spans="1:19" x14ac:dyDescent="0.2">
      <c r="A15" s="45" t="s">
        <v>29</v>
      </c>
      <c r="Q15" s="39"/>
    </row>
    <row r="16" spans="1:19" x14ac:dyDescent="0.2">
      <c r="A16" s="45"/>
      <c r="Q16" s="39"/>
    </row>
    <row r="17" spans="1:20" x14ac:dyDescent="0.2">
      <c r="A17" s="45" t="s">
        <v>30</v>
      </c>
      <c r="B17" s="12">
        <f>SUM([3]Delta!$IF$32:$IP$32)</f>
        <v>976219</v>
      </c>
      <c r="C17" s="12">
        <f>SUM('[3]Atlantic Southeast'!$IF$32:$IP$32)</f>
        <v>0</v>
      </c>
      <c r="D17" s="12">
        <f>SUM([3]Pinnacle!$IF$32:$IP$32)</f>
        <v>16050</v>
      </c>
      <c r="E17" s="12">
        <f>SUM('[3]Sky West'!$IF$32:$IP$32)</f>
        <v>43354</v>
      </c>
      <c r="F17" s="12">
        <f>SUM('[3]Go Jet'!$IF$32:$IP$32)</f>
        <v>0</v>
      </c>
      <c r="G17" s="12">
        <f>SUM('[3]Sun Country'!$IF$32:$IP$32)</f>
        <v>156180</v>
      </c>
      <c r="H17" s="12">
        <f>SUM([3]Icelandair!$IF$32:$IP$32)</f>
        <v>36242</v>
      </c>
      <c r="I17" s="12">
        <f>SUM([3]KLM!$IF$32:$IP$32)</f>
        <v>43550</v>
      </c>
      <c r="J17" s="12">
        <f>SUM([3]Jazz_AC!$IF$32:$IP$32)</f>
        <v>65880</v>
      </c>
      <c r="K17" s="12">
        <f>SUM('[3]Sky Regional'!$IF$32:$IP$32)</f>
        <v>0</v>
      </c>
      <c r="L17" s="12">
        <f>SUM([3]Condor!$IF$32:$IP$32)</f>
        <v>9430</v>
      </c>
      <c r="M17" s="12">
        <f>SUM('[3]Aer Lingus'!$IF$32:$IP$32)</f>
        <v>0</v>
      </c>
      <c r="N17" s="12">
        <f>SUM('[3]Air France'!$IF$32:$IP$32)</f>
        <v>0</v>
      </c>
      <c r="O17" s="12">
        <f>SUM([3]Frontier!$IF$32:$IP$32)</f>
        <v>1172</v>
      </c>
      <c r="P17" s="12">
        <f>SUM('[3]Charter Misc'!$IF$32:$IP$32)+SUM([3]Ryan!$IF$32:$IP$32)+SUM([3]Omni!$IF$32:$IP$32)</f>
        <v>1581</v>
      </c>
      <c r="Q17" s="205">
        <f>SUM(B17:P17)</f>
        <v>1349658</v>
      </c>
    </row>
    <row r="18" spans="1:20" x14ac:dyDescent="0.2">
      <c r="A18" s="45" t="s">
        <v>31</v>
      </c>
      <c r="B18" s="7">
        <f>SUM([3]Delta!$IF$33:$IP$33)</f>
        <v>947148</v>
      </c>
      <c r="C18" s="7">
        <f>SUM('[3]Atlantic Southeast'!$IF$33:$IP$33)</f>
        <v>0</v>
      </c>
      <c r="D18" s="7">
        <f>SUM([3]Pinnacle!$IF$33:$IP$33)</f>
        <v>17342</v>
      </c>
      <c r="E18" s="7">
        <f>SUM('[3]Sky West'!$IF$33:$IP$33)</f>
        <v>45480</v>
      </c>
      <c r="F18" s="7">
        <f>SUM('[3]Go Jet'!$IF$33:$IP$33)</f>
        <v>0</v>
      </c>
      <c r="G18" s="7">
        <f>SUM('[3]Sun Country'!$IF$33:$IP$33)</f>
        <v>153424</v>
      </c>
      <c r="H18" s="7">
        <f>SUM([3]Icelandair!$IF$33:$IP$33)</f>
        <v>34960</v>
      </c>
      <c r="I18" s="7">
        <f>SUM([3]KLM!$IF$33:$IP$33)</f>
        <v>39119</v>
      </c>
      <c r="J18" s="7">
        <f>SUM([3]Jazz_AC!$IF$33:$IP$33)</f>
        <v>64430</v>
      </c>
      <c r="K18" s="7">
        <f>SUM('[3]Sky Regional'!$IF$33:$IP$33)</f>
        <v>0</v>
      </c>
      <c r="L18" s="7">
        <f>SUM([3]Condor!$IF$33:$IP$33)</f>
        <v>9574</v>
      </c>
      <c r="M18" s="7">
        <f>SUM('[3]Aer Lingus'!$IF$33:$IP$33)</f>
        <v>0</v>
      </c>
      <c r="N18" s="7">
        <f>SUM('[3]Air France'!$IF$33:$IP$33)</f>
        <v>0</v>
      </c>
      <c r="O18" s="7">
        <f>SUM([3]Frontier!$IF$33:$IP$33)</f>
        <v>1413</v>
      </c>
      <c r="P18" s="7">
        <f>SUM('[3]Charter Misc'!$IF$33:$IP$33)++SUM([3]Ryan!$IF$33:$IP$33)+SUM([3]Omni!$IF$33:$IP$33)</f>
        <v>492</v>
      </c>
      <c r="Q18" s="206">
        <f>SUM(B18:P18)</f>
        <v>1313382</v>
      </c>
    </row>
    <row r="19" spans="1:20" ht="15" x14ac:dyDescent="0.25">
      <c r="A19" s="43" t="s">
        <v>7</v>
      </c>
      <c r="B19" s="24">
        <f t="shared" ref="B19:P19" si="11">SUM(B17:B18)</f>
        <v>1923367</v>
      </c>
      <c r="C19" s="24">
        <f t="shared" si="11"/>
        <v>0</v>
      </c>
      <c r="D19" s="24">
        <f t="shared" si="11"/>
        <v>33392</v>
      </c>
      <c r="E19" s="24">
        <f t="shared" si="11"/>
        <v>88834</v>
      </c>
      <c r="F19" s="24">
        <f t="shared" ref="F19" si="12">SUM(F17:F18)</f>
        <v>0</v>
      </c>
      <c r="G19" s="24">
        <f t="shared" si="11"/>
        <v>309604</v>
      </c>
      <c r="H19" s="24">
        <f t="shared" si="11"/>
        <v>71202</v>
      </c>
      <c r="I19" s="24">
        <f t="shared" ref="I19" si="13">SUM(I17:I18)</f>
        <v>82669</v>
      </c>
      <c r="J19" s="24">
        <f t="shared" si="11"/>
        <v>130310</v>
      </c>
      <c r="K19" s="24">
        <f t="shared" ref="K19" si="14">SUM(K17:K18)</f>
        <v>0</v>
      </c>
      <c r="L19" s="24">
        <f t="shared" ref="L19:M19" si="15">SUM(L17:L18)</f>
        <v>19004</v>
      </c>
      <c r="M19" s="24">
        <f t="shared" si="15"/>
        <v>0</v>
      </c>
      <c r="N19" s="24">
        <f t="shared" si="11"/>
        <v>0</v>
      </c>
      <c r="O19" s="24">
        <f t="shared" si="11"/>
        <v>2585</v>
      </c>
      <c r="P19" s="24">
        <f t="shared" si="11"/>
        <v>2073</v>
      </c>
      <c r="Q19" s="207">
        <f>SUM(B19:P19)</f>
        <v>2663040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SUM([3]Delta!$IF$37:$IP$37)</f>
        <v>24887</v>
      </c>
      <c r="C22" s="12">
        <f>SUM('[3]Atlantic Southeast'!$IF$37:$IP$37)</f>
        <v>0</v>
      </c>
      <c r="D22" s="12">
        <f>SUM([3]Pinnacle!$IF$37:$IP$37)</f>
        <v>352</v>
      </c>
      <c r="E22" s="12">
        <f>SUM('[3]Sky West'!$IF$37:$IP$37)</f>
        <v>840</v>
      </c>
      <c r="F22" s="12">
        <f>SUM('[3]Go Jet'!$IF$37:$IP$37)</f>
        <v>0</v>
      </c>
      <c r="G22" s="12">
        <f>SUM('[3]Sun Country'!$IF$37:$IP$37)</f>
        <v>2125</v>
      </c>
      <c r="H22" s="12">
        <f>SUM([3]Icelandair!$IF$37:$IP$37)</f>
        <v>261</v>
      </c>
      <c r="I22" s="12">
        <f>SUM([3]KLM!$IF$37:$IP$37)</f>
        <v>128</v>
      </c>
      <c r="J22" s="12">
        <f>SUM([3]Jazz_AC!$IF$37:$IP$37)</f>
        <v>785</v>
      </c>
      <c r="K22" s="12">
        <f>SUM('[3]Sky Regional'!$IF$37:$IP$37)</f>
        <v>0</v>
      </c>
      <c r="L22" s="12">
        <f>SUM([3]Condor!$IF$37:$IP$37)</f>
        <v>35</v>
      </c>
      <c r="M22" s="12">
        <f>SUM('[3]Aer Lingus'!$IF$37:$IP$37)</f>
        <v>0</v>
      </c>
      <c r="N22" s="12">
        <f>SUM('[3]Air France'!$IF$37:$IP$37)</f>
        <v>0</v>
      </c>
      <c r="O22" s="12">
        <f>SUM([3]Frontier!$IF$37:$IP$37)</f>
        <v>3</v>
      </c>
      <c r="P22" s="12">
        <f>SUM('[3]Charter Misc'!$IF$37:$IP$37)++SUM([3]Ryan!$IF$37:$IP$37)+SUM([3]Omni!$IF$37:$IP$37)</f>
        <v>0</v>
      </c>
      <c r="Q22" s="205">
        <f>SUM(B22:P22)</f>
        <v>29416</v>
      </c>
    </row>
    <row r="23" spans="1:20" x14ac:dyDescent="0.2">
      <c r="A23" s="45" t="s">
        <v>33</v>
      </c>
      <c r="B23" s="7">
        <f>SUM([3]Delta!$IF$38:$IP$38)</f>
        <v>27099</v>
      </c>
      <c r="C23" s="7">
        <f>SUM('[3]Atlantic Southeast'!$IF$38:$IP$38)</f>
        <v>0</v>
      </c>
      <c r="D23" s="7">
        <f>SUM([3]Pinnacle!$IF$38:$IP$38)</f>
        <v>363</v>
      </c>
      <c r="E23" s="7">
        <f>SUM('[3]Sky West'!$IF$38:$IP$38)</f>
        <v>820</v>
      </c>
      <c r="F23" s="7">
        <f>SUM('[3]Go Jet'!$IF$38:$IP$38)</f>
        <v>0</v>
      </c>
      <c r="G23" s="7">
        <f>SUM('[3]Sun Country'!$IF$38:$IP$38)</f>
        <v>2265</v>
      </c>
      <c r="H23" s="7">
        <f>SUM([3]Icelandair!$IF$38:$IP$38)</f>
        <v>288</v>
      </c>
      <c r="I23" s="7">
        <f>SUM([3]KLM!$IF$38:$IP$38)</f>
        <v>3</v>
      </c>
      <c r="J23" s="7">
        <f>SUM([3]Jazz_AC!$IF$38:$IP$38)</f>
        <v>928</v>
      </c>
      <c r="K23" s="7">
        <f>SUM('[3]Sky Regional'!$IF$38:$IP$38)</f>
        <v>0</v>
      </c>
      <c r="L23" s="7">
        <f>SUM([3]Condor!$IF$38:$IP$38)</f>
        <v>28</v>
      </c>
      <c r="M23" s="7">
        <f>SUM('[3]Aer Lingus'!$IF$38:$IP$38)</f>
        <v>0</v>
      </c>
      <c r="N23" s="7">
        <f>SUM('[3]Air France'!$IF$38:$IP$38)</f>
        <v>0</v>
      </c>
      <c r="O23" s="7">
        <f>SUM([3]Frontier!$IF$38:$IP$38)</f>
        <v>1</v>
      </c>
      <c r="P23" s="7">
        <f>SUM('[3]Charter Misc'!$IF$38:$IP$38)++SUM([3]Ryan!$IF$38:$IP$38)+SUM([3]Omni!$IF$38:$IP$38)</f>
        <v>0</v>
      </c>
      <c r="Q23" s="206">
        <f>SUM(B23:P23)</f>
        <v>31795</v>
      </c>
    </row>
    <row r="24" spans="1:20" ht="15.75" thickBot="1" x14ac:dyDescent="0.3">
      <c r="A24" s="46" t="s">
        <v>34</v>
      </c>
      <c r="B24" s="208">
        <f t="shared" ref="B24:P24" si="16">SUM(B22:B23)</f>
        <v>51986</v>
      </c>
      <c r="C24" s="208">
        <f t="shared" si="16"/>
        <v>0</v>
      </c>
      <c r="D24" s="208">
        <f t="shared" si="16"/>
        <v>715</v>
      </c>
      <c r="E24" s="208">
        <f t="shared" si="16"/>
        <v>1660</v>
      </c>
      <c r="F24" s="208">
        <f t="shared" ref="F24" si="17">SUM(F22:F23)</f>
        <v>0</v>
      </c>
      <c r="G24" s="208">
        <f t="shared" si="16"/>
        <v>4390</v>
      </c>
      <c r="H24" s="208">
        <f t="shared" si="16"/>
        <v>549</v>
      </c>
      <c r="I24" s="208">
        <f t="shared" ref="I24" si="18">SUM(I22:I23)</f>
        <v>131</v>
      </c>
      <c r="J24" s="208">
        <f t="shared" si="16"/>
        <v>1713</v>
      </c>
      <c r="K24" s="208">
        <f t="shared" ref="K24" si="19">SUM(K22:K23)</f>
        <v>0</v>
      </c>
      <c r="L24" s="208">
        <f t="shared" ref="L24:M24" si="20">SUM(L22:L23)</f>
        <v>63</v>
      </c>
      <c r="M24" s="208">
        <f t="shared" si="20"/>
        <v>0</v>
      </c>
      <c r="N24" s="208">
        <f t="shared" si="16"/>
        <v>0</v>
      </c>
      <c r="O24" s="208">
        <f t="shared" si="16"/>
        <v>4</v>
      </c>
      <c r="P24" s="208">
        <f t="shared" si="16"/>
        <v>0</v>
      </c>
      <c r="Q24" s="209">
        <f>SUM(B24:P24)</f>
        <v>61211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250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3" t="s">
        <v>140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5"/>
    </row>
    <row r="28" spans="1:20" x14ac:dyDescent="0.2">
      <c r="A28" s="45" t="s">
        <v>22</v>
      </c>
      <c r="B28" s="12">
        <f>[3]Delta!$IP$15</f>
        <v>420</v>
      </c>
      <c r="C28" s="12">
        <f>'[3]Atlantic Southeast'!$IP$15</f>
        <v>0</v>
      </c>
      <c r="D28" s="12">
        <f>[3]Pinnacle!$IP$15</f>
        <v>61</v>
      </c>
      <c r="E28" s="12">
        <f>'[3]Sky West'!$IP$15</f>
        <v>25</v>
      </c>
      <c r="F28" s="12">
        <f>'[3]Go Jet'!$IP$15</f>
        <v>0</v>
      </c>
      <c r="G28" s="12">
        <f>'[3]Sun Country'!$IP$15</f>
        <v>38</v>
      </c>
      <c r="H28" s="12">
        <f>[3]Icelandair!$IP$15</f>
        <v>17</v>
      </c>
      <c r="I28" s="12">
        <f>[3]KLM!$IP$15</f>
        <v>16</v>
      </c>
      <c r="J28" s="12">
        <f>[3]Jazz_AC!$IP$15</f>
        <v>90</v>
      </c>
      <c r="K28" s="12">
        <f>'[3]Sky Regional'!$IP$15</f>
        <v>0</v>
      </c>
      <c r="L28" s="12">
        <f>[3]Condor!$IP$15</f>
        <v>0</v>
      </c>
      <c r="M28" s="12">
        <f>'[3]Aer Lingus'!$IP$15</f>
        <v>0</v>
      </c>
      <c r="N28" s="12">
        <f>'[3]Air France'!$IP$15</f>
        <v>0</v>
      </c>
      <c r="O28" s="12">
        <f>[3]Frontier!$IP$15</f>
        <v>15</v>
      </c>
      <c r="P28" s="12">
        <f>'[3]Charter Misc'!$IP$15+[3]Ryan!$IP$15+[3]Omni!$IP$15</f>
        <v>0</v>
      </c>
      <c r="Q28" s="205">
        <f>SUM(B28:P28)</f>
        <v>682</v>
      </c>
    </row>
    <row r="29" spans="1:20" x14ac:dyDescent="0.2">
      <c r="A29" s="45" t="s">
        <v>23</v>
      </c>
      <c r="B29" s="12">
        <f>[3]Delta!$IP$16</f>
        <v>417</v>
      </c>
      <c r="C29" s="12">
        <f>'[3]Atlantic Southeast'!$IP$16</f>
        <v>0</v>
      </c>
      <c r="D29" s="12">
        <f>[3]Pinnacle!$IP$16</f>
        <v>62</v>
      </c>
      <c r="E29" s="12">
        <f>'[3]Sky West'!$IP$16</f>
        <v>25</v>
      </c>
      <c r="F29" s="12">
        <f>'[3]Go Jet'!$IP$16</f>
        <v>0</v>
      </c>
      <c r="G29" s="12">
        <f>'[3]Sun Country'!$IP$16</f>
        <v>41</v>
      </c>
      <c r="H29" s="12">
        <f>[3]Icelandair!$IP$16</f>
        <v>17</v>
      </c>
      <c r="I29" s="12">
        <f>[3]KLM!$IP$16</f>
        <v>16</v>
      </c>
      <c r="J29" s="12">
        <f>[3]Jazz_AC!$IP$16</f>
        <v>93</v>
      </c>
      <c r="K29" s="12">
        <f>'[3]Sky Regional'!$IP$16</f>
        <v>0</v>
      </c>
      <c r="L29" s="12">
        <f>[3]Condor!$IP$16</f>
        <v>0</v>
      </c>
      <c r="M29" s="12">
        <f>'[3]Aer Lingus'!$IP$16</f>
        <v>0</v>
      </c>
      <c r="N29" s="12">
        <f>'[3]Air France'!$IP$16</f>
        <v>0</v>
      </c>
      <c r="O29" s="12">
        <f>[3]Frontier!$IP$16</f>
        <v>15</v>
      </c>
      <c r="P29" s="12">
        <f>'[3]Charter Misc'!$IP$16+[3]Ryan!$IP$16+[3]Omni!$IP$16</f>
        <v>0</v>
      </c>
      <c r="Q29" s="205">
        <f>SUM(B29:P29)</f>
        <v>686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837</v>
      </c>
      <c r="C31" s="282">
        <f t="shared" si="21"/>
        <v>0</v>
      </c>
      <c r="D31" s="282">
        <f t="shared" si="21"/>
        <v>123</v>
      </c>
      <c r="E31" s="282">
        <f>SUM(E28:E29)</f>
        <v>50</v>
      </c>
      <c r="F31" s="282">
        <f>SUM(F28:F29)</f>
        <v>0</v>
      </c>
      <c r="G31" s="282">
        <f t="shared" si="21"/>
        <v>79</v>
      </c>
      <c r="H31" s="282">
        <f t="shared" si="21"/>
        <v>34</v>
      </c>
      <c r="I31" s="282">
        <f t="shared" ref="I31" si="22">SUM(I28:I29)</f>
        <v>32</v>
      </c>
      <c r="J31" s="282">
        <f t="shared" si="21"/>
        <v>183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30</v>
      </c>
      <c r="P31" s="282">
        <f>SUM(P28:P29)</f>
        <v>0</v>
      </c>
      <c r="Q31" s="283">
        <f>SUM(B31:P31)</f>
        <v>1368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250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6" t="s">
        <v>141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8"/>
    </row>
    <row r="35" spans="1:17" x14ac:dyDescent="0.2">
      <c r="A35" s="45" t="s">
        <v>22</v>
      </c>
      <c r="B35" s="12">
        <f>SUM([3]Delta!$IF$15:$IP$15)</f>
        <v>5512</v>
      </c>
      <c r="C35" s="12">
        <f>SUM('[3]Atlantic Southeast'!$IF$15:$IP$15)</f>
        <v>0</v>
      </c>
      <c r="D35" s="12">
        <f>SUM([3]Pinnacle!$IF$15:$IP$15)</f>
        <v>275</v>
      </c>
      <c r="E35" s="12">
        <f>SUM('[3]Sky West'!$IF$15:$IP$15)</f>
        <v>720</v>
      </c>
      <c r="F35" s="12">
        <f>SUM('[3]Go Jet'!$IF$15:$IP$15)</f>
        <v>0</v>
      </c>
      <c r="G35" s="12">
        <f>SUM('[3]Sun Country'!$IF$15:$IP$15)</f>
        <v>1040</v>
      </c>
      <c r="H35" s="12">
        <f>SUM([3]Icelandair!$IF$15:$IP$15)</f>
        <v>212</v>
      </c>
      <c r="I35" s="12">
        <f>SUM([3]KLM!$IF$15:$IP$15)</f>
        <v>179</v>
      </c>
      <c r="J35" s="12">
        <f>SUM([3]Jazz_AC!$IF$15:$IP$15)</f>
        <v>1110</v>
      </c>
      <c r="K35" s="12">
        <f>SUM('[3]Sky Regional'!$IF$15:$IP$15)</f>
        <v>0</v>
      </c>
      <c r="L35" s="12">
        <f>SUM([3]Condor!$IF$15:$IP$15)</f>
        <v>44</v>
      </c>
      <c r="M35" s="12">
        <f>SUM('[3]Aer Lingus'!$IF$15:$IP$15)</f>
        <v>0</v>
      </c>
      <c r="N35" s="12">
        <f>SUM('[3]Air France'!$IF$15:$IP$15)</f>
        <v>0</v>
      </c>
      <c r="O35" s="12">
        <f>SUM([3]Frontier!$IF$15:$IP$15)</f>
        <v>15</v>
      </c>
      <c r="P35" s="12">
        <f>SUM('[3]Charter Misc'!$IF$15:$IP$15)+SUM([3]Ryan!$IF$15:$IP$15)+SUM([3]Omni!$IF$15:$IP$15)</f>
        <v>8</v>
      </c>
      <c r="Q35" s="205">
        <f>SUM(B35:P35)</f>
        <v>9115</v>
      </c>
    </row>
    <row r="36" spans="1:17" x14ac:dyDescent="0.2">
      <c r="A36" s="45" t="s">
        <v>23</v>
      </c>
      <c r="B36" s="12">
        <f>SUM([3]Delta!$IF$16:$IP$16)</f>
        <v>5527</v>
      </c>
      <c r="C36" s="12">
        <f>SUM('[3]Atlantic Southeast'!$IF$16:$IP$16)</f>
        <v>0</v>
      </c>
      <c r="D36" s="12">
        <f>SUM([3]Pinnacle!$IF$16:$IP$16)</f>
        <v>277</v>
      </c>
      <c r="E36" s="12">
        <f>SUM('[3]Sky West'!$IF$16:$IP$16)</f>
        <v>717</v>
      </c>
      <c r="F36" s="12">
        <f>SUM('[3]Go Jet'!$IF$16:$IP$16)</f>
        <v>0</v>
      </c>
      <c r="G36" s="12">
        <f>SUM('[3]Sun Country'!$IF$16:$IP$16)</f>
        <v>1034</v>
      </c>
      <c r="H36" s="12">
        <f>SUM([3]Icelandair!$IF$16:$IP$16)</f>
        <v>212</v>
      </c>
      <c r="I36" s="12">
        <f>SUM([3]KLM!$IF$16:$IP$16)</f>
        <v>179</v>
      </c>
      <c r="J36" s="12">
        <f>SUM([3]Jazz_AC!$IF$16:$IP$16)</f>
        <v>1046</v>
      </c>
      <c r="K36" s="12">
        <f>SUM('[3]Sky Regional'!$IF$16:$IP$16)</f>
        <v>0</v>
      </c>
      <c r="L36" s="12">
        <f>SUM([3]Condor!$IF$16:$IP$16)</f>
        <v>44</v>
      </c>
      <c r="M36" s="12">
        <f>SUM('[3]Aer Lingus'!$IF$16:$IP$16)</f>
        <v>0</v>
      </c>
      <c r="N36" s="12">
        <f>SUM('[3]Air France'!$IF$16:$IP$16)</f>
        <v>0</v>
      </c>
      <c r="O36" s="12">
        <f>SUM([3]Frontier!$IF$16:$IP$16)</f>
        <v>15</v>
      </c>
      <c r="P36" s="12">
        <f>SUM('[3]Charter Misc'!$IF$16:$IP$16)+SUM([3]Ryan!$IF$16:$IP$16)+SUM([3]Omni!$IF$16:$IP$16)</f>
        <v>3</v>
      </c>
      <c r="Q36" s="205">
        <f>SUM(B36:P36)</f>
        <v>9054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11039</v>
      </c>
      <c r="C38" s="282">
        <f t="shared" si="25"/>
        <v>0</v>
      </c>
      <c r="D38" s="282">
        <f t="shared" si="25"/>
        <v>552</v>
      </c>
      <c r="E38" s="282">
        <f>+SUM(E35:E36)</f>
        <v>1437</v>
      </c>
      <c r="F38" s="282">
        <f>+SUM(F35:F36)</f>
        <v>0</v>
      </c>
      <c r="G38" s="282">
        <f t="shared" si="25"/>
        <v>2074</v>
      </c>
      <c r="H38" s="282">
        <f t="shared" si="25"/>
        <v>424</v>
      </c>
      <c r="I38" s="282">
        <f t="shared" ref="I38" si="26">+SUM(I35:I36)</f>
        <v>358</v>
      </c>
      <c r="J38" s="282">
        <f t="shared" si="25"/>
        <v>2156</v>
      </c>
      <c r="K38" s="282">
        <f t="shared" ref="K38" si="27">+SUM(K35:K36)</f>
        <v>0</v>
      </c>
      <c r="L38" s="282">
        <f>+SUM(L35:L36)</f>
        <v>88</v>
      </c>
      <c r="M38" s="282">
        <f>+SUM(M35:M36)</f>
        <v>0</v>
      </c>
      <c r="N38" s="282">
        <f>+SUM(N35:N36)</f>
        <v>0</v>
      </c>
      <c r="O38" s="282">
        <f t="shared" ref="O38" si="28">+SUM(O35:O36)</f>
        <v>30</v>
      </c>
      <c r="P38" s="282">
        <f>+SUM(P35:P36)</f>
        <v>11</v>
      </c>
      <c r="Q38" s="283">
        <f>SUM(B38:P38)</f>
        <v>18169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&amp;"Arial,Bold"November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0" sqref="D20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7" t="s">
        <v>130</v>
      </c>
      <c r="B1" s="498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1" t="s">
        <v>134</v>
      </c>
      <c r="K1" s="502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89" t="s">
        <v>210</v>
      </c>
      <c r="T1" s="490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2">
        <v>45231</v>
      </c>
      <c r="B2" s="473"/>
      <c r="C2" s="499" t="s">
        <v>9</v>
      </c>
      <c r="D2" s="500"/>
      <c r="E2" s="500"/>
      <c r="F2" s="500"/>
      <c r="G2" s="500"/>
      <c r="H2" s="500"/>
      <c r="I2" s="332"/>
      <c r="J2" s="472">
        <f>+A2</f>
        <v>45231</v>
      </c>
      <c r="K2" s="473"/>
      <c r="L2" s="494" t="s">
        <v>136</v>
      </c>
      <c r="M2" s="495"/>
      <c r="N2" s="495"/>
      <c r="O2" s="495"/>
      <c r="P2" s="495"/>
      <c r="Q2" s="495"/>
      <c r="R2" s="496"/>
      <c r="S2" s="472">
        <f>+J2</f>
        <v>45231</v>
      </c>
      <c r="T2" s="473"/>
      <c r="U2" s="491" t="s">
        <v>211</v>
      </c>
      <c r="V2" s="492"/>
      <c r="W2" s="492"/>
      <c r="X2" s="492"/>
      <c r="Y2" s="492"/>
      <c r="Z2" s="492"/>
      <c r="AA2" s="493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183</v>
      </c>
      <c r="D4" s="261">
        <f>SUM(D5:D7)</f>
        <v>167</v>
      </c>
      <c r="E4" s="262">
        <f>(C4-D4)/D4</f>
        <v>9.580838323353294E-2</v>
      </c>
      <c r="F4" s="259">
        <f>SUM(F5:F7)</f>
        <v>2156</v>
      </c>
      <c r="G4" s="261">
        <f>SUM(G5:G7)</f>
        <v>1705</v>
      </c>
      <c r="H4" s="260">
        <f>(F4-G4)/G4</f>
        <v>0.26451612903225807</v>
      </c>
      <c r="I4" s="262">
        <f>F4/$F$62</f>
        <v>8.0791728965483641E-3</v>
      </c>
      <c r="J4" s="258" t="s">
        <v>98</v>
      </c>
      <c r="K4" s="39"/>
      <c r="L4" s="259">
        <f>SUM(L5:L7)</f>
        <v>9205</v>
      </c>
      <c r="M4" s="261">
        <f>SUM(M5:M7)</f>
        <v>10346</v>
      </c>
      <c r="N4" s="262">
        <f>(L4-M4)/M4</f>
        <v>-0.11028416779431664</v>
      </c>
      <c r="O4" s="259">
        <f>SUM(O5:O7)</f>
        <v>130310</v>
      </c>
      <c r="P4" s="261">
        <f>SUM(P5:P7)</f>
        <v>92287</v>
      </c>
      <c r="Q4" s="260">
        <f>(O4-P4)/P4</f>
        <v>0.41200819183633663</v>
      </c>
      <c r="R4" s="262">
        <f>O4/$O$62</f>
        <v>4.1917684360447951E-3</v>
      </c>
      <c r="S4" s="258" t="s">
        <v>98</v>
      </c>
      <c r="T4" s="39"/>
      <c r="U4" s="259">
        <f>SUM(U5:U7)</f>
        <v>30448.199999999997</v>
      </c>
      <c r="V4" s="261">
        <f>SUM(V5:V7)</f>
        <v>0</v>
      </c>
      <c r="W4" s="262" t="e">
        <f>(U4-V4)/V4</f>
        <v>#DIV/0!</v>
      </c>
      <c r="X4" s="259">
        <f>SUM(X5:X7)</f>
        <v>355607.39999999997</v>
      </c>
      <c r="Y4" s="261">
        <f>SUM(Y5:Y7)</f>
        <v>804730</v>
      </c>
      <c r="Z4" s="260">
        <f>(X4-Y4)/Y4</f>
        <v>-0.55810346327339611</v>
      </c>
      <c r="AA4" s="262">
        <f>X4/$X$62</f>
        <v>4.5488587108781691E-3</v>
      </c>
    </row>
    <row r="5" spans="1:27" ht="14.1" customHeight="1" x14ac:dyDescent="0.2">
      <c r="A5" s="258"/>
      <c r="B5" s="318" t="s">
        <v>98</v>
      </c>
      <c r="C5" s="263">
        <f>+[3]AirCanada!$IP$19</f>
        <v>0</v>
      </c>
      <c r="D5" s="2">
        <f>+[3]AirCanada!$IB$19</f>
        <v>0</v>
      </c>
      <c r="E5" s="65" t="e">
        <f>(C5-D5)/D5</f>
        <v>#DIV/0!</v>
      </c>
      <c r="F5" s="217">
        <f>SUM([3]AirCanada!$IF$19:$IP$19)</f>
        <v>0</v>
      </c>
      <c r="G5" s="217">
        <f>SUM([3]AirCanada!$HR$19:$IB$19)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+[3]AirCanada!$IP$41</f>
        <v>0</v>
      </c>
      <c r="M5" s="217">
        <f>+[3]AirCanada!$IB$41</f>
        <v>0</v>
      </c>
      <c r="N5" s="324" t="e">
        <f>(L5-M5)/M5</f>
        <v>#DIV/0!</v>
      </c>
      <c r="O5" s="322">
        <f>SUM([3]AirCanada!$IF$41:$IP$41)</f>
        <v>0</v>
      </c>
      <c r="P5" s="217">
        <f>SUM([3]AirCanada!$HR$41:$IB$41)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+[3]AirCanada!$IP$64</f>
        <v>0</v>
      </c>
      <c r="V5" s="217">
        <f>+[3]AirCanada!$IB$64</f>
        <v>0</v>
      </c>
      <c r="W5" s="324" t="e">
        <f>(U5-V5)/V5</f>
        <v>#DIV/0!</v>
      </c>
      <c r="X5" s="322">
        <f>SUM([3]AirCanada!$IF$64:$IP$64)</f>
        <v>0</v>
      </c>
      <c r="Y5" s="217">
        <f>SUM([3]AirCanada!$HR$64:$IB$64)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Georgian'!$IP$19</f>
        <v>0</v>
      </c>
      <c r="D6" s="2">
        <f>'[3]Air Georgian'!$IB$19</f>
        <v>0</v>
      </c>
      <c r="E6" s="65" t="e">
        <f>(C6-D6)/D6</f>
        <v>#DIV/0!</v>
      </c>
      <c r="F6" s="217">
        <f>SUM('[3]Air Georgian'!$IF$19:$IP$19)</f>
        <v>0</v>
      </c>
      <c r="G6" s="217">
        <f>SUM('[3]Air Georgian'!$HR$19:$IB$19)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Georgian'!$IP$41</f>
        <v>0</v>
      </c>
      <c r="M6" s="2">
        <f>'[3]Air Georgian'!$IB$41</f>
        <v>0</v>
      </c>
      <c r="N6" s="65" t="e">
        <f>(L6-M6)/M6</f>
        <v>#DIV/0!</v>
      </c>
      <c r="O6" s="263">
        <f>SUM('[3]Air Georgian'!$IF$41:$IP$41)</f>
        <v>0</v>
      </c>
      <c r="P6" s="2">
        <f>SUM('[3]Air Georgian'!$HR$41:$IB$41)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Georgian'!$IP$64</f>
        <v>0</v>
      </c>
      <c r="V6" s="2">
        <f>'[3]Air Georgian'!$IB$64</f>
        <v>0</v>
      </c>
      <c r="W6" s="65" t="e">
        <f>(U6-V6)/V6</f>
        <v>#DIV/0!</v>
      </c>
      <c r="X6" s="263">
        <f>SUM('[3]Air Georgian'!$IF$64:$IP$64)</f>
        <v>0</v>
      </c>
      <c r="Y6" s="2">
        <f>SUM('[3]Air Georgian'!$HR$64:$IB$64)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[3]Jazz_AC!$IP$19</f>
        <v>183</v>
      </c>
      <c r="D7" s="2">
        <f>[3]Jazz_AC!$IB$19</f>
        <v>167</v>
      </c>
      <c r="E7" s="65">
        <f t="shared" ref="E7" si="0">(C7-D7)/D7</f>
        <v>9.580838323353294E-2</v>
      </c>
      <c r="F7" s="2">
        <f>SUM([3]Jazz_AC!$IF$19:$IP$19)</f>
        <v>2156</v>
      </c>
      <c r="G7" s="2">
        <f>SUM([3]Jazz_AC!$HR$19:$IB$19)</f>
        <v>1705</v>
      </c>
      <c r="H7" s="3">
        <f t="shared" ref="H7" si="1">(F7-G7)/G7</f>
        <v>0.26451612903225807</v>
      </c>
      <c r="I7" s="65">
        <f>F7/$F$62</f>
        <v>8.0791728965483641E-3</v>
      </c>
      <c r="J7" s="258"/>
      <c r="K7" s="318" t="s">
        <v>218</v>
      </c>
      <c r="L7" s="263">
        <f>[3]Jazz_AC!$IP$41</f>
        <v>9205</v>
      </c>
      <c r="M7" s="2">
        <f>[3]Jazz_AC!$IB$41</f>
        <v>10346</v>
      </c>
      <c r="N7" s="65">
        <f t="shared" ref="N7" si="2">(L7-M7)/M7</f>
        <v>-0.11028416779431664</v>
      </c>
      <c r="O7" s="263">
        <f>SUM([3]Jazz_AC!$IF$41:$IP$41)</f>
        <v>130310</v>
      </c>
      <c r="P7" s="2">
        <f>SUM([3]Jazz_AC!$HR$41:$IB$41)</f>
        <v>92287</v>
      </c>
      <c r="Q7" s="3">
        <f t="shared" ref="Q7" si="3">(O7-P7)/P7</f>
        <v>0.41200819183633663</v>
      </c>
      <c r="R7" s="65">
        <f>O7/$O$62</f>
        <v>4.1917684360447951E-3</v>
      </c>
      <c r="S7" s="258"/>
      <c r="T7" s="318" t="s">
        <v>218</v>
      </c>
      <c r="U7" s="263">
        <f>[3]Jazz_AC!$IP$64</f>
        <v>30448.199999999997</v>
      </c>
      <c r="V7" s="2">
        <f>[3]Jazz_AC!$IB$64</f>
        <v>0</v>
      </c>
      <c r="W7" s="65" t="e">
        <f t="shared" ref="W7" si="4">(U7-V7)/V7</f>
        <v>#DIV/0!</v>
      </c>
      <c r="X7" s="263">
        <f>SUM([3]Jazz_AC!$IF$64:$IP$64)</f>
        <v>355607.39999999997</v>
      </c>
      <c r="Y7" s="2">
        <f>SUM([3]Jazz_AC!$HR$64:$IB$64)</f>
        <v>804730</v>
      </c>
      <c r="Z7" s="3">
        <f t="shared" ref="Z7" si="5">(X7-Y7)/Y7</f>
        <v>-0.55810346327339611</v>
      </c>
      <c r="AA7" s="65">
        <f>X7/$X$62</f>
        <v>4.5488587108781691E-3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France'!$IP$19</f>
        <v>0</v>
      </c>
      <c r="D9" s="261">
        <f>'[3]Air France'!$IB$19</f>
        <v>0</v>
      </c>
      <c r="E9" s="262" t="e">
        <f>(C9-D9)/D9</f>
        <v>#DIV/0!</v>
      </c>
      <c r="F9" s="261">
        <f>SUM('[3]Air France'!$IF$19:$IP$19)</f>
        <v>0</v>
      </c>
      <c r="G9" s="261">
        <f>SUM('[3]Air France'!$HR$19:$IB$19)</f>
        <v>194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France'!$IP$41</f>
        <v>0</v>
      </c>
      <c r="M9" s="261">
        <f>'[3]Air France'!$IB$41</f>
        <v>0</v>
      </c>
      <c r="N9" s="262" t="e">
        <f>(L9-M9)/M9</f>
        <v>#DIV/0!</v>
      </c>
      <c r="O9" s="259">
        <f>SUM('[3]Air France'!$IF$41:$IP$41)</f>
        <v>0</v>
      </c>
      <c r="P9" s="261">
        <f>SUM('[3]Air France'!$HR$41:$IB$41)</f>
        <v>49205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France'!$IP$64</f>
        <v>0</v>
      </c>
      <c r="V9" s="261">
        <f>'[3]Air France'!$IB$64</f>
        <v>0</v>
      </c>
      <c r="W9" s="262" t="e">
        <f>(U9-V9)/V9</f>
        <v>#DIV/0!</v>
      </c>
      <c r="X9" s="259">
        <f>SUM('[3]Air France'!$IF$64:$IP$64)</f>
        <v>0</v>
      </c>
      <c r="Y9" s="261">
        <f>SUM('[3]Air France'!$HR$64:$IB$64)</f>
        <v>2150435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'!$IP$19</f>
        <v>72</v>
      </c>
      <c r="D11" s="2">
        <f>'[3]Allegiant '!$IB$19</f>
        <v>82</v>
      </c>
      <c r="E11" s="262">
        <f t="shared" ref="E11" si="6">(C11-D11)/D11</f>
        <v>-0.12195121951219512</v>
      </c>
      <c r="F11" s="2">
        <f>SUM('[3]Allegiant '!$IF$19:$IP$19)</f>
        <v>770</v>
      </c>
      <c r="G11" s="2">
        <f>SUM('[3]Allegiant '!$HR$19:$IB$19)</f>
        <v>840</v>
      </c>
      <c r="H11" s="260">
        <f t="shared" ref="H11" si="7">(F11-G11)/G11</f>
        <v>-8.3333333333333329E-2</v>
      </c>
      <c r="I11" s="262">
        <f>F11/$F$62</f>
        <v>2.8854188916244161E-3</v>
      </c>
      <c r="J11" s="258" t="s">
        <v>219</v>
      </c>
      <c r="K11" s="39"/>
      <c r="L11" s="263">
        <f>'[3]Allegiant '!$IP$41</f>
        <v>9859</v>
      </c>
      <c r="M11" s="2">
        <f>'[3]Allegiant '!$IB$41</f>
        <v>11876</v>
      </c>
      <c r="N11" s="262">
        <f t="shared" ref="N11" si="8">(L11-M11)/M11</f>
        <v>-0.16983832940383967</v>
      </c>
      <c r="O11" s="263">
        <f>SUM('[3]Allegiant '!$IF$41:$IP$41)</f>
        <v>111199</v>
      </c>
      <c r="P11" s="2">
        <f>SUM('[3]Allegiant '!$HR$41:$IB$41)</f>
        <v>117210</v>
      </c>
      <c r="Q11" s="260">
        <f t="shared" ref="Q11" si="9">(O11-P11)/P11</f>
        <v>-5.1284020134800788E-2</v>
      </c>
      <c r="R11" s="262">
        <f>O11/$O$62</f>
        <v>3.5770121887786447E-3</v>
      </c>
      <c r="S11" s="258" t="s">
        <v>219</v>
      </c>
      <c r="T11" s="39"/>
      <c r="U11" s="263">
        <f>'[3]Allegiant '!$IP$64</f>
        <v>0</v>
      </c>
      <c r="V11" s="2">
        <f>'[3]Allegiant '!$IB$64</f>
        <v>0</v>
      </c>
      <c r="W11" s="262" t="e">
        <f t="shared" ref="W11" si="10">(U11-V11)/V11</f>
        <v>#DIV/0!</v>
      </c>
      <c r="X11" s="263">
        <f>SUM('[3]Allegiant '!$IF$64:$IP$64)</f>
        <v>0</v>
      </c>
      <c r="Y11" s="2">
        <f>SUM('[3]Allegiant '!$HR$64:$IB$64)</f>
        <v>0</v>
      </c>
      <c r="Z11" s="260" t="e">
        <f t="shared" ref="Z11" si="11">(X11-Y11)/Y11</f>
        <v>#DIV/0!</v>
      </c>
      <c r="AA11" s="262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142</v>
      </c>
      <c r="D13" s="261">
        <f>SUM(D14:D16)</f>
        <v>112</v>
      </c>
      <c r="E13" s="262">
        <f>(C13-D13)/D13</f>
        <v>0.26785714285714285</v>
      </c>
      <c r="F13" s="261">
        <f>SUM(F14:F16)</f>
        <v>1833</v>
      </c>
      <c r="G13" s="261">
        <f>SUM(G14:G16)</f>
        <v>1811</v>
      </c>
      <c r="H13" s="260">
        <f>(F13-G13)/G13</f>
        <v>1.2147984538928768E-2</v>
      </c>
      <c r="I13" s="262">
        <f>F13/$F$62</f>
        <v>6.8687958809708497E-3</v>
      </c>
      <c r="J13" s="258" t="s">
        <v>127</v>
      </c>
      <c r="K13" s="39"/>
      <c r="L13" s="259">
        <f>SUM(L14:L16)</f>
        <v>17743</v>
      </c>
      <c r="M13" s="261">
        <f>SUM(M14:M16)</f>
        <v>15629</v>
      </c>
      <c r="N13" s="262">
        <f>(L13-M13)/M13</f>
        <v>0.13526137308848935</v>
      </c>
      <c r="O13" s="259">
        <f>SUM(O14:O16)</f>
        <v>256069</v>
      </c>
      <c r="P13" s="261">
        <f>SUM(P14:P16)</f>
        <v>242422</v>
      </c>
      <c r="Q13" s="260">
        <f>(O13-P13)/P13</f>
        <v>5.6294395723160438E-2</v>
      </c>
      <c r="R13" s="262">
        <f>O13/$O$62</f>
        <v>8.2371418283290199E-3</v>
      </c>
      <c r="S13" s="258" t="s">
        <v>127</v>
      </c>
      <c r="T13" s="39"/>
      <c r="U13" s="259">
        <f>SUM(U14:U16)</f>
        <v>22044</v>
      </c>
      <c r="V13" s="261">
        <f>SUM(V14:V16)</f>
        <v>25709</v>
      </c>
      <c r="W13" s="262">
        <f>(U13-V13)/V13</f>
        <v>-0.14255708117779767</v>
      </c>
      <c r="X13" s="259">
        <f>SUM(X14:X16)</f>
        <v>404404</v>
      </c>
      <c r="Y13" s="261">
        <f>SUM(Y14:Y16)</f>
        <v>338995</v>
      </c>
      <c r="Z13" s="260">
        <f>(X13-Y13)/Y13</f>
        <v>0.19294974852136462</v>
      </c>
      <c r="AA13" s="262">
        <f>X13/$X$62</f>
        <v>5.1730550548553696E-3</v>
      </c>
    </row>
    <row r="14" spans="1:27" ht="14.1" customHeight="1" x14ac:dyDescent="0.2">
      <c r="A14" s="258"/>
      <c r="B14" s="318" t="s">
        <v>127</v>
      </c>
      <c r="C14" s="322">
        <f>[3]Alaska!$IP$19</f>
        <v>142</v>
      </c>
      <c r="D14" s="217">
        <f>[3]Alaska!$IB$19</f>
        <v>112</v>
      </c>
      <c r="E14" s="324">
        <f>(C14-D14)/D14</f>
        <v>0.26785714285714285</v>
      </c>
      <c r="F14" s="217">
        <f>SUM([3]Alaska!$IF$19:$IP$19)</f>
        <v>1833</v>
      </c>
      <c r="G14" s="217">
        <f>SUM([3]Alaska!$HR$19:$IB$19)</f>
        <v>1719</v>
      </c>
      <c r="H14" s="323">
        <f>(F14-G14)/G14</f>
        <v>6.6317626527050616E-2</v>
      </c>
      <c r="I14" s="324">
        <f>F14/$F$62</f>
        <v>6.8687958809708497E-3</v>
      </c>
      <c r="J14" s="258"/>
      <c r="K14" s="318" t="s">
        <v>127</v>
      </c>
      <c r="L14" s="322">
        <f>[3]Alaska!$IP$41</f>
        <v>17743</v>
      </c>
      <c r="M14" s="217">
        <f>[3]Alaska!$IB$41</f>
        <v>15629</v>
      </c>
      <c r="N14" s="324">
        <f>(L14-M14)/M14</f>
        <v>0.13526137308848935</v>
      </c>
      <c r="O14" s="322">
        <f>SUM([3]Alaska!$IF$41:$IP$41)</f>
        <v>256069</v>
      </c>
      <c r="P14" s="217">
        <f>SUM([3]Alaska!$HR$41:$IB$41)</f>
        <v>237051</v>
      </c>
      <c r="Q14" s="323">
        <f>(O14-P14)/P14</f>
        <v>8.0227461601090067E-2</v>
      </c>
      <c r="R14" s="324">
        <f>O14/$O$62</f>
        <v>8.2371418283290199E-3</v>
      </c>
      <c r="S14" s="258"/>
      <c r="T14" s="318" t="s">
        <v>127</v>
      </c>
      <c r="U14" s="322">
        <f>[3]Alaska!$IP$64</f>
        <v>22044</v>
      </c>
      <c r="V14" s="217">
        <f>[3]Alaska!$IB$64</f>
        <v>25709</v>
      </c>
      <c r="W14" s="324">
        <f>(U14-V14)/V14</f>
        <v>-0.14255708117779767</v>
      </c>
      <c r="X14" s="322">
        <f>SUM([3]Alaska!$IF$64:$IP$64)</f>
        <v>404404</v>
      </c>
      <c r="Y14" s="217">
        <f>SUM([3]Alaska!$HR$64:$IB$64)</f>
        <v>331396</v>
      </c>
      <c r="Z14" s="323">
        <f>(X14-Y14)/Y14</f>
        <v>0.22030440922642397</v>
      </c>
      <c r="AA14" s="324">
        <f>X14/$X$62</f>
        <v>5.1730550548553696E-3</v>
      </c>
    </row>
    <row r="15" spans="1:27" ht="14.1" customHeight="1" x14ac:dyDescent="0.2">
      <c r="A15" s="258"/>
      <c r="B15" s="318" t="s">
        <v>97</v>
      </c>
      <c r="C15" s="263">
        <f>'[3]Sky West_AS'!$IP$19</f>
        <v>0</v>
      </c>
      <c r="D15" s="2">
        <f>'[3]Sky West_AS'!$IB$19</f>
        <v>0</v>
      </c>
      <c r="E15" s="65" t="e">
        <f>(C15-D15)/D15</f>
        <v>#DIV/0!</v>
      </c>
      <c r="F15" s="2">
        <f>SUM('[3]Sky West_AS'!$IF$19:$IP$19)</f>
        <v>0</v>
      </c>
      <c r="G15" s="2">
        <f>SUM('[3]Sky West_AS'!$HR$19:$IB$19)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West_AS'!$IP$41</f>
        <v>0</v>
      </c>
      <c r="M15" s="2">
        <f>'[3]Sky West_AS'!$IB$41</f>
        <v>0</v>
      </c>
      <c r="N15" s="65" t="e">
        <f>(L15-M15)/M15</f>
        <v>#DIV/0!</v>
      </c>
      <c r="O15" s="263">
        <f>SUM('[3]Sky West_AS'!$IF$41:$IP$41)</f>
        <v>0</v>
      </c>
      <c r="P15" s="2">
        <f>SUM('[3]Sky West_AS'!$HR$41:$IB$41)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West_AS'!$IP$64</f>
        <v>0</v>
      </c>
      <c r="V15" s="2">
        <f>'[3]Sky West_AS'!$IB$64</f>
        <v>0</v>
      </c>
      <c r="W15" s="65" t="e">
        <f>(U15-V15)/V15</f>
        <v>#DIV/0!</v>
      </c>
      <c r="X15" s="263">
        <f>SUM('[3]Sky West_AS'!$IF$64:$IP$64)</f>
        <v>0</v>
      </c>
      <c r="Y15" s="2">
        <f>SUM('[3]Sky West_AS'!$HR$64:$IB$64)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[3]Horizon_AS!$IP$19</f>
        <v>0</v>
      </c>
      <c r="D16" s="2">
        <f>[3]Horizon_AS!$IB$19</f>
        <v>0</v>
      </c>
      <c r="E16" s="65" t="e">
        <f>(C16-D16)/D16</f>
        <v>#DIV/0!</v>
      </c>
      <c r="F16" s="2">
        <f>SUM([3]Horizon_AS!$IF$19:$IP$19)</f>
        <v>0</v>
      </c>
      <c r="G16" s="2">
        <f>SUM([3]Horizon_AS!$HR$19:$IB$19)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[3]Horizon_AS!$IP$41</f>
        <v>0</v>
      </c>
      <c r="M16" s="2">
        <f>[3]Horizon_AS!$IB$41</f>
        <v>0</v>
      </c>
      <c r="N16" s="65" t="e">
        <f>(L16-M16)/M16</f>
        <v>#DIV/0!</v>
      </c>
      <c r="O16" s="263">
        <f>SUM([3]Horizon_AS!$IF$41:$IP$41)</f>
        <v>0</v>
      </c>
      <c r="P16" s="2">
        <f>SUM([3]Horizon_AS!$HR$41:$IB$41)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[3]Horizon_AS!$IP$64</f>
        <v>0</v>
      </c>
      <c r="V16" s="2">
        <f>[3]Horizon_AS!$IB$64</f>
        <v>0</v>
      </c>
      <c r="W16" s="65" t="e">
        <f>(U16-V16)/V16</f>
        <v>#DIV/0!</v>
      </c>
      <c r="X16" s="263">
        <f>SUM([3]Horizon_AS!$IF$64:$IP$64)</f>
        <v>0</v>
      </c>
      <c r="Y16" s="2">
        <f>SUM([3]Horizon_AS!$HR$64:$IB$64)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1077</v>
      </c>
      <c r="D18" s="261">
        <f>SUM(D19:D24)</f>
        <v>959</v>
      </c>
      <c r="E18" s="262">
        <f t="shared" ref="E18:E24" si="12">(C18-D18)/D18</f>
        <v>0.12304483837330553</v>
      </c>
      <c r="F18" s="259">
        <f>SUM(F19:F24)</f>
        <v>12143</v>
      </c>
      <c r="G18" s="261">
        <f>SUM(G19:G24)</f>
        <v>11493</v>
      </c>
      <c r="H18" s="260">
        <f t="shared" ref="H18:H24" si="13">(F18-G18)/G18</f>
        <v>5.6556164621943794E-2</v>
      </c>
      <c r="I18" s="262">
        <f t="shared" ref="I18:I24" si="14">F18/$F$62</f>
        <v>4.5503430650643224E-2</v>
      </c>
      <c r="J18" s="258" t="s">
        <v>17</v>
      </c>
      <c r="K18" s="265"/>
      <c r="L18" s="259">
        <f>SUM(L19:L24)</f>
        <v>119159</v>
      </c>
      <c r="M18" s="261">
        <f>SUM(M19:M24)</f>
        <v>107469</v>
      </c>
      <c r="N18" s="262">
        <f t="shared" ref="N18:N24" si="15">(L18-M18)/M18</f>
        <v>0.10877555388065395</v>
      </c>
      <c r="O18" s="259">
        <f>SUM(O19:O24)</f>
        <v>1360336</v>
      </c>
      <c r="P18" s="261">
        <f>SUM(P19:P24)</f>
        <v>1273854</v>
      </c>
      <c r="Q18" s="260">
        <f t="shared" ref="Q18:Q24" si="16">(O18-P18)/P18</f>
        <v>6.789004077390344E-2</v>
      </c>
      <c r="R18" s="262">
        <f t="shared" ref="R18:R24" si="17">O18/$O$62</f>
        <v>4.3758832838734038E-2</v>
      </c>
      <c r="S18" s="258" t="s">
        <v>17</v>
      </c>
      <c r="T18" s="265"/>
      <c r="U18" s="259">
        <f>SUM(U19:U24)</f>
        <v>57492</v>
      </c>
      <c r="V18" s="261">
        <f>SUM(V19:V24)</f>
        <v>90002</v>
      </c>
      <c r="W18" s="262">
        <f t="shared" ref="W18:W22" si="18">(U18-V18)/V18</f>
        <v>-0.36121419524010578</v>
      </c>
      <c r="X18" s="259">
        <f>SUM(X19:X24)</f>
        <v>544641</v>
      </c>
      <c r="Y18" s="261">
        <f>SUM(Y19:Y24)</f>
        <v>1147674</v>
      </c>
      <c r="Z18" s="260">
        <f t="shared" ref="Z18:Z22" si="19">(X18-Y18)/Y18</f>
        <v>-0.52543927979548199</v>
      </c>
      <c r="AA18" s="262">
        <f t="shared" ref="AA18:AA24" si="20">X18/$X$62</f>
        <v>6.9669387002390757E-3</v>
      </c>
    </row>
    <row r="19" spans="1:27" ht="14.1" customHeight="1" x14ac:dyDescent="0.2">
      <c r="A19" s="37"/>
      <c r="B19" s="39" t="s">
        <v>17</v>
      </c>
      <c r="C19" s="263">
        <f>[3]American!$IP$19</f>
        <v>642</v>
      </c>
      <c r="D19" s="2">
        <f>[3]American!$IB$19</f>
        <v>568</v>
      </c>
      <c r="E19" s="65">
        <f t="shared" si="12"/>
        <v>0.13028169014084506</v>
      </c>
      <c r="F19" s="2">
        <f>SUM([3]American!$IF$19:$IP$19)</f>
        <v>7491</v>
      </c>
      <c r="G19" s="2">
        <f>SUM([3]American!$HR$19:$IB$19)</f>
        <v>6450</v>
      </c>
      <c r="H19" s="3">
        <f t="shared" si="13"/>
        <v>0.1613953488372093</v>
      </c>
      <c r="I19" s="65">
        <f t="shared" si="14"/>
        <v>2.8071003788517533E-2</v>
      </c>
      <c r="J19" s="37"/>
      <c r="K19" s="39" t="s">
        <v>17</v>
      </c>
      <c r="L19" s="263">
        <f>[3]American!$IP$41</f>
        <v>93432</v>
      </c>
      <c r="M19" s="2">
        <f>[3]American!$IB$41</f>
        <v>84025</v>
      </c>
      <c r="N19" s="65">
        <f t="shared" si="15"/>
        <v>0.11195477536447486</v>
      </c>
      <c r="O19" s="263">
        <f>SUM([3]American!$IF$41:$IP$41)</f>
        <v>1091323</v>
      </c>
      <c r="P19" s="2">
        <f>SUM([3]American!$HR$41:$IB$41)</f>
        <v>976455</v>
      </c>
      <c r="Q19" s="3">
        <f t="shared" si="16"/>
        <v>0.11763778156699489</v>
      </c>
      <c r="R19" s="65">
        <f t="shared" si="17"/>
        <v>3.5105312753662146E-2</v>
      </c>
      <c r="S19" s="37"/>
      <c r="T19" s="39" t="s">
        <v>17</v>
      </c>
      <c r="U19" s="263">
        <f>[3]American!$IP$64</f>
        <v>53254</v>
      </c>
      <c r="V19" s="2">
        <f>[3]American!$IB$64</f>
        <v>88269</v>
      </c>
      <c r="W19" s="65">
        <f t="shared" si="18"/>
        <v>-0.39668513294588131</v>
      </c>
      <c r="X19" s="263">
        <f>SUM([3]American!$IF$64:$IP$64)</f>
        <v>512352</v>
      </c>
      <c r="Y19" s="2">
        <f>SUM([3]American!$HR$64:$IB$64)</f>
        <v>1110415</v>
      </c>
      <c r="Z19" s="3">
        <f t="shared" si="19"/>
        <v>-0.5385941292219576</v>
      </c>
      <c r="AA19" s="65">
        <f t="shared" si="20"/>
        <v>6.5539042726215817E-3</v>
      </c>
    </row>
    <row r="20" spans="1:27" ht="14.1" customHeight="1" x14ac:dyDescent="0.2">
      <c r="A20" s="37"/>
      <c r="B20" s="318" t="s">
        <v>163</v>
      </c>
      <c r="C20" s="263">
        <f>'[3]American Eagle'!$IP$19</f>
        <v>69</v>
      </c>
      <c r="D20" s="2">
        <f>'[3]American Eagle'!$IB$19</f>
        <v>113</v>
      </c>
      <c r="E20" s="65">
        <f t="shared" si="12"/>
        <v>-0.38938053097345132</v>
      </c>
      <c r="F20" s="2">
        <f>SUM('[3]American Eagle'!$IF$19:$IP$19)</f>
        <v>950</v>
      </c>
      <c r="G20" s="2">
        <f>SUM('[3]American Eagle'!$HR$19:$IB$19)</f>
        <v>1255</v>
      </c>
      <c r="H20" s="3">
        <f t="shared" si="13"/>
        <v>-0.24302788844621515</v>
      </c>
      <c r="I20" s="65">
        <f t="shared" si="14"/>
        <v>3.5599323987573961E-3</v>
      </c>
      <c r="J20" s="37"/>
      <c r="K20" s="318" t="s">
        <v>163</v>
      </c>
      <c r="L20" s="263">
        <f>'[3]American Eagle'!$IP$41</f>
        <v>3873</v>
      </c>
      <c r="M20" s="2">
        <f>'[3]American Eagle'!$IB$41</f>
        <v>7056</v>
      </c>
      <c r="N20" s="65">
        <f t="shared" si="15"/>
        <v>-0.45110544217687076</v>
      </c>
      <c r="O20" s="263">
        <f>SUM('[3]American Eagle'!$IF$41:$IP$41)</f>
        <v>58686</v>
      </c>
      <c r="P20" s="2">
        <f>SUM('[3]American Eagle'!$HR$41:$IB$41)</f>
        <v>68799</v>
      </c>
      <c r="Q20" s="3">
        <f t="shared" si="16"/>
        <v>-0.14699341560197096</v>
      </c>
      <c r="R20" s="65">
        <f t="shared" si="17"/>
        <v>1.8877915926461886E-3</v>
      </c>
      <c r="S20" s="37"/>
      <c r="T20" s="318" t="s">
        <v>163</v>
      </c>
      <c r="U20" s="263">
        <f>'[3]American Eagle'!$IP$64</f>
        <v>176</v>
      </c>
      <c r="V20" s="2">
        <f>'[3]American Eagle'!$IB$64</f>
        <v>221</v>
      </c>
      <c r="W20" s="65">
        <f t="shared" si="18"/>
        <v>-0.20361990950226244</v>
      </c>
      <c r="X20" s="263">
        <f>SUM('[3]American Eagle'!$IF$64:$IP$64)</f>
        <v>6646</v>
      </c>
      <c r="Y20" s="2">
        <f>SUM('[3]American Eagle'!$HR$64:$IB$64)</f>
        <v>25104</v>
      </c>
      <c r="Z20" s="3">
        <f t="shared" si="19"/>
        <v>-0.7352613129381772</v>
      </c>
      <c r="AA20" s="65">
        <f t="shared" si="20"/>
        <v>8.5014302268446366E-5</v>
      </c>
    </row>
    <row r="21" spans="1:27" ht="14.1" customHeight="1" x14ac:dyDescent="0.2">
      <c r="A21" s="37"/>
      <c r="B21" s="318" t="s">
        <v>52</v>
      </c>
      <c r="C21" s="263">
        <f>[3]Republic!$IP$19</f>
        <v>150</v>
      </c>
      <c r="D21" s="2">
        <f>[3]Republic!$IB$19</f>
        <v>158</v>
      </c>
      <c r="E21" s="65">
        <f t="shared" si="12"/>
        <v>-5.0632911392405063E-2</v>
      </c>
      <c r="F21" s="2">
        <f>SUM([3]Republic!$IF$19:$IP$19)</f>
        <v>1862</v>
      </c>
      <c r="G21" s="2">
        <f>SUM([3]Republic!$HR$19:$IB$19)</f>
        <v>2014</v>
      </c>
      <c r="H21" s="3">
        <f t="shared" si="13"/>
        <v>-7.5471698113207544E-2</v>
      </c>
      <c r="I21" s="65">
        <f t="shared" si="14"/>
        <v>6.9774675015644968E-3</v>
      </c>
      <c r="J21" s="37"/>
      <c r="K21" s="266" t="s">
        <v>52</v>
      </c>
      <c r="L21" s="263">
        <f>[3]Republic!$IP$41</f>
        <v>9315</v>
      </c>
      <c r="M21" s="2">
        <f>[3]Republic!$IB$41</f>
        <v>9284</v>
      </c>
      <c r="N21" s="65">
        <f t="shared" si="15"/>
        <v>3.3390779836277467E-3</v>
      </c>
      <c r="O21" s="263">
        <f>SUM([3]Republic!$IF$41:$IP$41)</f>
        <v>114399</v>
      </c>
      <c r="P21" s="2">
        <f>SUM([3]Republic!$HR$41:$IB$41)</f>
        <v>120820</v>
      </c>
      <c r="Q21" s="3">
        <f t="shared" si="16"/>
        <v>-5.3145174639960269E-2</v>
      </c>
      <c r="R21" s="65">
        <f t="shared" si="17"/>
        <v>3.6799487170216293E-3</v>
      </c>
      <c r="S21" s="37"/>
      <c r="T21" s="266" t="s">
        <v>52</v>
      </c>
      <c r="U21" s="263">
        <f>[3]Republic!$IP$64</f>
        <v>1820</v>
      </c>
      <c r="V21" s="2">
        <f>[3]Republic!$IB$64</f>
        <v>1348</v>
      </c>
      <c r="W21" s="65">
        <f t="shared" si="18"/>
        <v>0.35014836795252224</v>
      </c>
      <c r="X21" s="263">
        <f>SUM([3]Republic!$IF$64:$IP$64)</f>
        <v>19473</v>
      </c>
      <c r="Y21" s="2">
        <f>SUM([3]Republic!$HR$64:$IB$64)</f>
        <v>7793</v>
      </c>
      <c r="Z21" s="3">
        <f t="shared" si="19"/>
        <v>1.4987809572693442</v>
      </c>
      <c r="AA21" s="65">
        <f t="shared" si="20"/>
        <v>2.4909471984253025E-4</v>
      </c>
    </row>
    <row r="22" spans="1:27" ht="14.1" customHeight="1" x14ac:dyDescent="0.2">
      <c r="A22" s="37"/>
      <c r="B22" s="318" t="s">
        <v>177</v>
      </c>
      <c r="C22" s="263">
        <f>[3]PSA!$IP$19</f>
        <v>118</v>
      </c>
      <c r="D22" s="2">
        <f>[3]PSA!$IB$19</f>
        <v>118</v>
      </c>
      <c r="E22" s="65">
        <f t="shared" si="12"/>
        <v>0</v>
      </c>
      <c r="F22" s="2">
        <f>SUM([3]PSA!$IF$19:$IP$19)</f>
        <v>908</v>
      </c>
      <c r="G22" s="2">
        <f>SUM([3]PSA!$HR$19:$IB$19)</f>
        <v>1272</v>
      </c>
      <c r="H22" s="3">
        <f t="shared" si="13"/>
        <v>-0.28616352201257861</v>
      </c>
      <c r="I22" s="65">
        <f t="shared" si="14"/>
        <v>3.402545913759701E-3</v>
      </c>
      <c r="J22" s="37"/>
      <c r="K22" s="318" t="s">
        <v>177</v>
      </c>
      <c r="L22" s="263">
        <f>[3]PSA!$IP$41</f>
        <v>8011</v>
      </c>
      <c r="M22" s="2">
        <f>[3]PSA!$IB$41</f>
        <v>7104</v>
      </c>
      <c r="N22" s="65">
        <f t="shared" si="15"/>
        <v>0.12767454954954954</v>
      </c>
      <c r="O22" s="263">
        <f>SUM([3]PSA!$IF$41:$IP$41)</f>
        <v>53520</v>
      </c>
      <c r="P22" s="2">
        <f>SUM([3]PSA!$HR$41:$IB$41)</f>
        <v>79898</v>
      </c>
      <c r="Q22" s="3">
        <f t="shared" si="16"/>
        <v>-0.3301459360684873</v>
      </c>
      <c r="R22" s="65">
        <f t="shared" si="17"/>
        <v>1.7216134348639201E-3</v>
      </c>
      <c r="S22" s="37"/>
      <c r="T22" s="318" t="s">
        <v>177</v>
      </c>
      <c r="U22" s="263">
        <f>[3]PSA!$IP$64</f>
        <v>1079</v>
      </c>
      <c r="V22" s="2">
        <f>[3]PSA!$IB$64</f>
        <v>164</v>
      </c>
      <c r="W22" s="65">
        <f t="shared" si="18"/>
        <v>5.5792682926829267</v>
      </c>
      <c r="X22" s="263">
        <f>SUM([3]PSA!$IF$64:$IP$64)</f>
        <v>1550</v>
      </c>
      <c r="Y22" s="2">
        <f>SUM([3]PSA!$HR$64:$IB$64)</f>
        <v>1624</v>
      </c>
      <c r="Z22" s="3">
        <f t="shared" si="19"/>
        <v>-4.5566502463054187E-2</v>
      </c>
      <c r="AA22" s="65">
        <f t="shared" si="20"/>
        <v>1.9827289876029473E-5</v>
      </c>
    </row>
    <row r="23" spans="1:27" ht="14.1" customHeight="1" x14ac:dyDescent="0.2">
      <c r="A23" s="37"/>
      <c r="B23" s="318" t="s">
        <v>97</v>
      </c>
      <c r="C23" s="263">
        <f>'[3]Sky West_AA'!$IP$19</f>
        <v>0</v>
      </c>
      <c r="D23" s="2">
        <f>'[3]Sky West_AA'!$IB$19</f>
        <v>0</v>
      </c>
      <c r="E23" s="65" t="e">
        <f>(C23-D23)/D23</f>
        <v>#DIV/0!</v>
      </c>
      <c r="F23" s="2">
        <f>SUM('[3]Sky West_AA'!$IF$19:$IP$19)</f>
        <v>0</v>
      </c>
      <c r="G23" s="2">
        <f>SUM('[3]Sky West_AA'!$HR$19:$IB$19)</f>
        <v>494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West_AA'!$IP$41</f>
        <v>0</v>
      </c>
      <c r="M23" s="2">
        <f>'[3]Sky West_AA'!$IB$41</f>
        <v>0</v>
      </c>
      <c r="N23" s="65" t="e">
        <f>(L23-M23)/M23</f>
        <v>#DIV/0!</v>
      </c>
      <c r="O23" s="263">
        <f>SUM('[3]Sky West_AA'!$IF$41:$IP$41)</f>
        <v>0</v>
      </c>
      <c r="P23" s="2">
        <f>SUM('[3]Sky West_AA'!$HR$41:$IB$41)</f>
        <v>27790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West_AA'!$IP$64</f>
        <v>0</v>
      </c>
      <c r="V23" s="2">
        <f>'[3]Sky West_AA'!$IB$64</f>
        <v>0</v>
      </c>
      <c r="W23" s="65" t="e">
        <f>(U23-V23)/V23</f>
        <v>#DIV/0!</v>
      </c>
      <c r="X23" s="263">
        <f>SUM('[3]Sky West_AA'!$IF$64:$IP$64)</f>
        <v>0</v>
      </c>
      <c r="Y23" s="2">
        <f>SUM('[3]Sky West_AA'!$HR$64:$IB$64)</f>
        <v>2738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Wisconsin'!$IP$19</f>
        <v>98</v>
      </c>
      <c r="D24" s="2">
        <f>'[3]Air Wisconsin'!$IB$19</f>
        <v>2</v>
      </c>
      <c r="E24" s="65">
        <f t="shared" si="12"/>
        <v>48</v>
      </c>
      <c r="F24" s="2">
        <f>SUM('[3]Air Wisconsin'!$IF$19:$IP$19)</f>
        <v>932</v>
      </c>
      <c r="G24" s="2">
        <f>SUM('[3]Air Wisconsin'!$HR$19:$IB$19)</f>
        <v>8</v>
      </c>
      <c r="H24" s="349">
        <f t="shared" si="13"/>
        <v>115.5</v>
      </c>
      <c r="I24" s="65">
        <f t="shared" si="14"/>
        <v>3.4924810480440982E-3</v>
      </c>
      <c r="J24" s="37"/>
      <c r="K24" s="266" t="s">
        <v>50</v>
      </c>
      <c r="L24" s="263">
        <f>'[3]Air Wisconsin'!$IP$41</f>
        <v>4528</v>
      </c>
      <c r="M24" s="2">
        <f>'[3]Air Wisconsin'!$IB$41</f>
        <v>0</v>
      </c>
      <c r="N24" s="65" t="e">
        <f t="shared" si="15"/>
        <v>#DIV/0!</v>
      </c>
      <c r="O24" s="263">
        <f>SUM('[3]Air Wisconsin'!$IF$41:$IP$41)</f>
        <v>42408</v>
      </c>
      <c r="P24" s="2">
        <f>SUM('[3]Air Wisconsin'!$HR$41:$IB$41)</f>
        <v>92</v>
      </c>
      <c r="Q24" s="3">
        <f t="shared" si="16"/>
        <v>459.95652173913044</v>
      </c>
      <c r="R24" s="65">
        <f t="shared" si="17"/>
        <v>1.3641663405401555E-3</v>
      </c>
      <c r="S24" s="37"/>
      <c r="T24" s="266" t="s">
        <v>50</v>
      </c>
      <c r="U24" s="263">
        <f>'[3]Air Wisconsin'!$IP$64</f>
        <v>1163</v>
      </c>
      <c r="V24" s="2">
        <f>'[3]Air Wisconsin'!$IB$64</f>
        <v>0</v>
      </c>
      <c r="W24" s="65" t="e">
        <f t="shared" ref="W24" si="21">(U24-V24)/V24</f>
        <v>#DIV/0!</v>
      </c>
      <c r="X24" s="263">
        <f>SUM('[3]Air Wisconsin'!$IF$64:$IP$64)</f>
        <v>4620</v>
      </c>
      <c r="Y24" s="2">
        <f>SUM('[3]Air Wisconsin'!$HR$64:$IB$64)</f>
        <v>0</v>
      </c>
      <c r="Z24" s="3" t="e">
        <f t="shared" ref="Z24" si="22">(X24-Y24)/Y24</f>
        <v>#DIV/0!</v>
      </c>
      <c r="AA24" s="65">
        <f t="shared" si="20"/>
        <v>5.9098115630487846E-5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[3]Condor!$IP$19</f>
        <v>0</v>
      </c>
      <c r="D26" s="261">
        <f>[3]Condor!$IB$19</f>
        <v>0</v>
      </c>
      <c r="E26" s="262" t="e">
        <f>(C26-D26)/D26</f>
        <v>#DIV/0!</v>
      </c>
      <c r="F26" s="261">
        <f>SUM([3]Condor!$IF$19:$IP$19)</f>
        <v>88</v>
      </c>
      <c r="G26" s="261">
        <f>SUM([3]Condor!$HR$19:$IB$19)</f>
        <v>98</v>
      </c>
      <c r="H26" s="260">
        <f>(F26-G26)/G26</f>
        <v>-0.10204081632653061</v>
      </c>
      <c r="I26" s="262">
        <f>F26/$F$62</f>
        <v>3.2976215904279038E-4</v>
      </c>
      <c r="J26" s="258" t="s">
        <v>159</v>
      </c>
      <c r="K26" s="39"/>
      <c r="L26" s="259">
        <f>[3]Condor!$IP$41</f>
        <v>0</v>
      </c>
      <c r="M26" s="261">
        <f>[3]Condor!$IB$41</f>
        <v>0</v>
      </c>
      <c r="N26" s="262" t="e">
        <f>(L26-M26)/M26</f>
        <v>#DIV/0!</v>
      </c>
      <c r="O26" s="259">
        <f>SUM([3]Condor!$IF$41:$IP$41)</f>
        <v>19004</v>
      </c>
      <c r="P26" s="261">
        <f>SUM([3]Condor!$HR$41:$IB$41)</f>
        <v>19394</v>
      </c>
      <c r="Q26" s="260">
        <f>(O26-P26)/P26</f>
        <v>-2.0109312158399506E-2</v>
      </c>
      <c r="R26" s="262">
        <f>O26/$O$62</f>
        <v>6.113143071030258E-4</v>
      </c>
      <c r="S26" s="258" t="s">
        <v>159</v>
      </c>
      <c r="T26" s="39"/>
      <c r="U26" s="259">
        <f>[3]Condor!$IP$64</f>
        <v>0</v>
      </c>
      <c r="V26" s="261">
        <f>[3]Condor!$IB$64</f>
        <v>0</v>
      </c>
      <c r="W26" s="262" t="e">
        <f>(U26-V26)/V26</f>
        <v>#DIV/0!</v>
      </c>
      <c r="X26" s="259">
        <f>SUM([3]Condor!$IF$64:$IP$64)</f>
        <v>262271</v>
      </c>
      <c r="Y26" s="261">
        <f>SUM([3]Condor!$HR$64:$IB$64)</f>
        <v>606468</v>
      </c>
      <c r="Z26" s="260">
        <f>(X26-Y26)/Y26</f>
        <v>-0.56754354722755362</v>
      </c>
      <c r="AA26" s="262">
        <f>X26/$X$62</f>
        <v>3.3549181568233071E-3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Air'!$IP$19</f>
        <v>156</v>
      </c>
      <c r="D28" s="261">
        <f>'[3]Denver Air'!$IB$19</f>
        <v>152</v>
      </c>
      <c r="E28" s="262">
        <f>(C28-D28)/D28</f>
        <v>2.6315789473684209E-2</v>
      </c>
      <c r="F28" s="261">
        <f>SUM('[3]Denver Air'!$IF$19:$IP$19)</f>
        <v>1686</v>
      </c>
      <c r="G28" s="261">
        <f>SUM('[3]Denver Air'!$HR$19:$IB$19)</f>
        <v>1726</v>
      </c>
      <c r="H28" s="260">
        <f>(F28-G28)/G28</f>
        <v>-2.3174971031286212E-2</v>
      </c>
      <c r="I28" s="262">
        <f>F28/$F$62</f>
        <v>6.3179431834789156E-3</v>
      </c>
      <c r="J28" s="258" t="s">
        <v>212</v>
      </c>
      <c r="K28" s="39"/>
      <c r="L28" s="259">
        <f>'[3]Denver Air'!$IP$41</f>
        <v>1607</v>
      </c>
      <c r="M28" s="261">
        <f>'[3]Denver Air'!$IB$41</f>
        <v>1347</v>
      </c>
      <c r="N28" s="262">
        <f>(L28-M28)/M28</f>
        <v>0.19302152932442465</v>
      </c>
      <c r="O28" s="259">
        <f>SUM('[3]Denver Air'!$IF$41:$IP$41)</f>
        <v>17800</v>
      </c>
      <c r="P28" s="261">
        <f>SUM('[3]Denver Air'!$HR$41:$IB$41)</f>
        <v>17247</v>
      </c>
      <c r="Q28" s="260">
        <f>(O28-P28)/P28</f>
        <v>3.2063547283585549E-2</v>
      </c>
      <c r="R28" s="262">
        <f>O28/$O$62</f>
        <v>5.7258443835160274E-4</v>
      </c>
      <c r="S28" s="258" t="s">
        <v>212</v>
      </c>
      <c r="T28" s="39"/>
      <c r="U28" s="259">
        <f>'[3]Denver Air'!$IP$64</f>
        <v>0</v>
      </c>
      <c r="V28" s="261">
        <f>'[3]Denver Air'!$IB$64</f>
        <v>0</v>
      </c>
      <c r="W28" s="262" t="e">
        <f>(U28-V28)/V28</f>
        <v>#DIV/0!</v>
      </c>
      <c r="X28" s="259">
        <f>SUM('[3]Denver Air'!$IF$64:$IP$64)</f>
        <v>0</v>
      </c>
      <c r="Y28" s="261">
        <f>SUM('[3]Denver Air'!$HR$64:$IB$64)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16873</v>
      </c>
      <c r="D30" s="261">
        <f>SUM(D31:D34)</f>
        <v>16013</v>
      </c>
      <c r="E30" s="262">
        <f t="shared" ref="E30:E34" si="23">(C30-D30)/D30</f>
        <v>5.3706363579591583E-2</v>
      </c>
      <c r="F30" s="264">
        <f>SUM(F31:F34)</f>
        <v>193662</v>
      </c>
      <c r="G30" s="264">
        <f>SUM(G31:G34)</f>
        <v>189908</v>
      </c>
      <c r="H30" s="260">
        <f>(F30-G30)/G30</f>
        <v>1.97674663521284E-2</v>
      </c>
      <c r="I30" s="262">
        <f>F30/$F$62</f>
        <v>0.72570908232437359</v>
      </c>
      <c r="J30" s="258" t="s">
        <v>18</v>
      </c>
      <c r="K30" s="265"/>
      <c r="L30" s="259">
        <f>SUM(L31:L34)</f>
        <v>1874713</v>
      </c>
      <c r="M30" s="261">
        <f>SUM(M31:M34)</f>
        <v>1745886</v>
      </c>
      <c r="N30" s="262">
        <f t="shared" ref="N30:N34" si="24">(L30-M30)/M30</f>
        <v>7.3788895724004891E-2</v>
      </c>
      <c r="O30" s="259">
        <f>SUM(O31:O34)</f>
        <v>21854907</v>
      </c>
      <c r="P30" s="261">
        <f>SUM(P31:P34)</f>
        <v>19879236</v>
      </c>
      <c r="Q30" s="260">
        <f t="shared" ref="Q30:Q34" si="25">(O30-P30)/P30</f>
        <v>9.9383648345439432E-2</v>
      </c>
      <c r="R30" s="262">
        <f>O30/$O$62</f>
        <v>0.70302132864165789</v>
      </c>
      <c r="S30" s="258" t="s">
        <v>18</v>
      </c>
      <c r="T30" s="265"/>
      <c r="U30" s="259">
        <f>SUM(U31:U34)</f>
        <v>6877915</v>
      </c>
      <c r="V30" s="261">
        <f>SUM(V31:V34)</f>
        <v>6993350</v>
      </c>
      <c r="W30" s="262">
        <f t="shared" ref="W30:W34" si="26">(U30-V30)/V30</f>
        <v>-1.6506395361307529E-2</v>
      </c>
      <c r="X30" s="259">
        <f>SUM(X31:X34)</f>
        <v>68702625</v>
      </c>
      <c r="Y30" s="261">
        <f>SUM(Y31:Y34)</f>
        <v>74435124</v>
      </c>
      <c r="Z30" s="260">
        <f t="shared" ref="Z30:Z32" si="27">(X30-Y30)/Y30</f>
        <v>-7.7013359983117646E-2</v>
      </c>
      <c r="AA30" s="262">
        <f>X30/$X$62</f>
        <v>0.87883023298009633</v>
      </c>
    </row>
    <row r="31" spans="1:27" ht="14.1" customHeight="1" x14ac:dyDescent="0.2">
      <c r="A31" s="37"/>
      <c r="B31" s="39" t="s">
        <v>18</v>
      </c>
      <c r="C31" s="263">
        <f>[3]Delta!$IP$19</f>
        <v>11694</v>
      </c>
      <c r="D31" s="2">
        <f>[3]Delta!$IB$19</f>
        <v>10034</v>
      </c>
      <c r="E31" s="65">
        <f t="shared" si="23"/>
        <v>0.16543751245764401</v>
      </c>
      <c r="F31" s="2">
        <f>SUM([3]Delta!$IF$19:$IP$19)</f>
        <v>133773</v>
      </c>
      <c r="G31" s="2">
        <f>SUM([3]Delta!$HR$19:$IB$19)</f>
        <v>110538</v>
      </c>
      <c r="H31" s="3">
        <f t="shared" ref="H31:H34" si="28">(F31-G31)/G31</f>
        <v>0.21019920751234869</v>
      </c>
      <c r="I31" s="65">
        <f>F31/$F$62</f>
        <v>0.50128719660944543</v>
      </c>
      <c r="J31" s="37"/>
      <c r="K31" s="39" t="s">
        <v>18</v>
      </c>
      <c r="L31" s="263">
        <f>[3]Delta!$IP$41</f>
        <v>1583169</v>
      </c>
      <c r="M31" s="2">
        <f>[3]Delta!$IB$41</f>
        <v>1406262</v>
      </c>
      <c r="N31" s="65">
        <f t="shared" si="24"/>
        <v>0.12579945984460933</v>
      </c>
      <c r="O31" s="263">
        <f>SUM([3]Delta!$IF$41:$IP$41)</f>
        <v>18662717</v>
      </c>
      <c r="P31" s="2">
        <f>SUM([3]Delta!$HR$41:$IB$41)</f>
        <v>15662284</v>
      </c>
      <c r="Q31" s="3">
        <f t="shared" si="25"/>
        <v>0.19157059085379885</v>
      </c>
      <c r="R31" s="65">
        <f>O31/$O$62</f>
        <v>0.60033602986291623</v>
      </c>
      <c r="S31" s="37"/>
      <c r="T31" s="39" t="s">
        <v>18</v>
      </c>
      <c r="U31" s="263">
        <f>[3]Delta!$IP$64</f>
        <v>6877915</v>
      </c>
      <c r="V31" s="2">
        <f>[3]Delta!$IB$64</f>
        <v>6993350</v>
      </c>
      <c r="W31" s="65">
        <f t="shared" si="26"/>
        <v>-1.6506395361307529E-2</v>
      </c>
      <c r="X31" s="263">
        <f>SUM([3]Delta!$IF$64:$IP$64)</f>
        <v>68702625</v>
      </c>
      <c r="Y31" s="2">
        <f>SUM([3]Delta!$HR$64:$IB$64)</f>
        <v>74435124</v>
      </c>
      <c r="Z31" s="3">
        <f t="shared" si="27"/>
        <v>-7.7013359983117646E-2</v>
      </c>
      <c r="AA31" s="65">
        <f>X31/$X$62</f>
        <v>0.87883023298009633</v>
      </c>
    </row>
    <row r="32" spans="1:27" ht="14.1" customHeight="1" x14ac:dyDescent="0.2">
      <c r="A32" s="37"/>
      <c r="B32" s="39" t="s">
        <v>156</v>
      </c>
      <c r="C32" s="263">
        <f>[3]Pinnacle!$IP$19</f>
        <v>1267</v>
      </c>
      <c r="D32" s="2">
        <f>[3]Pinnacle!$IB$19</f>
        <v>1184</v>
      </c>
      <c r="E32" s="65">
        <f t="shared" si="23"/>
        <v>7.0101351351351357E-2</v>
      </c>
      <c r="F32" s="2">
        <f>SUM([3]Pinnacle!$IF$19:$IP$19)</f>
        <v>15030</v>
      </c>
      <c r="G32" s="2">
        <f>SUM([3]Pinnacle!$HR$19:$IB$19)</f>
        <v>16266</v>
      </c>
      <c r="H32" s="3">
        <f t="shared" si="28"/>
        <v>-7.5986720767244553E-2</v>
      </c>
      <c r="I32" s="65">
        <f>F32/$F$62</f>
        <v>5.6321877845603857E-2</v>
      </c>
      <c r="J32" s="37"/>
      <c r="K32" s="39" t="s">
        <v>156</v>
      </c>
      <c r="L32" s="263">
        <f>[3]Pinnacle!$IP$41</f>
        <v>79138</v>
      </c>
      <c r="M32" s="2">
        <f>[3]Pinnacle!$IB$41</f>
        <v>60456</v>
      </c>
      <c r="N32" s="65">
        <f t="shared" si="24"/>
        <v>0.30901812888712454</v>
      </c>
      <c r="O32" s="263">
        <f>SUM([3]Pinnacle!$IF$41:$IP$41)</f>
        <v>909681</v>
      </c>
      <c r="P32" s="2">
        <f>SUM([3]Pinnacle!$HR$41:$IB$41)</f>
        <v>820098</v>
      </c>
      <c r="Q32" s="3">
        <f t="shared" si="25"/>
        <v>0.1092345061200003</v>
      </c>
      <c r="R32" s="65">
        <f>O32/$O$62</f>
        <v>2.926231373393957E-2</v>
      </c>
      <c r="S32" s="37"/>
      <c r="T32" s="39" t="s">
        <v>156</v>
      </c>
      <c r="U32" s="263">
        <f>[3]Pinnacle!$IP$64</f>
        <v>0</v>
      </c>
      <c r="V32" s="2">
        <f>[3]Pinnacle!$IB$64</f>
        <v>0</v>
      </c>
      <c r="W32" s="65" t="e">
        <f t="shared" si="26"/>
        <v>#DIV/0!</v>
      </c>
      <c r="X32" s="263">
        <f>SUM([3]Pinnacle!$IF$64:$IP$64)</f>
        <v>0</v>
      </c>
      <c r="Y32" s="2">
        <f>SUM([3]Pinnacle!$HR$64:$IB$64)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West'!$IP$19</f>
        <v>3912</v>
      </c>
      <c r="D33" s="2">
        <f>'[3]Sky West'!$IB$19</f>
        <v>4795</v>
      </c>
      <c r="E33" s="65">
        <f t="shared" si="23"/>
        <v>-0.18415015641293014</v>
      </c>
      <c r="F33" s="2">
        <f>SUM('[3]Sky West'!$IF$19:$IP$19)</f>
        <v>44859</v>
      </c>
      <c r="G33" s="2">
        <f>SUM('[3]Sky West'!$HR$19:$IB$19)</f>
        <v>63104</v>
      </c>
      <c r="H33" s="3">
        <f t="shared" si="28"/>
        <v>-0.28912588742393508</v>
      </c>
      <c r="I33" s="65">
        <f>F33/$F$62</f>
        <v>0.16810000786932425</v>
      </c>
      <c r="J33" s="37"/>
      <c r="K33" s="39" t="s">
        <v>97</v>
      </c>
      <c r="L33" s="263">
        <f>'[3]Sky West'!$IP$41</f>
        <v>212406</v>
      </c>
      <c r="M33" s="2">
        <f>'[3]Sky West'!$IB$41</f>
        <v>279168</v>
      </c>
      <c r="N33" s="65">
        <f t="shared" si="24"/>
        <v>-0.23914632049518569</v>
      </c>
      <c r="O33" s="263">
        <f>SUM('[3]Sky West'!$IF$41:$IP$41)</f>
        <v>2282509</v>
      </c>
      <c r="P33" s="2">
        <f>SUM('[3]Sky West'!$HR$41:$IB$41)</f>
        <v>3396854</v>
      </c>
      <c r="Q33" s="3">
        <f t="shared" si="25"/>
        <v>-0.32805207406618003</v>
      </c>
      <c r="R33" s="65">
        <f>O33/$O$62</f>
        <v>7.3422985044802158E-2</v>
      </c>
      <c r="S33" s="37"/>
      <c r="T33" s="39" t="s">
        <v>97</v>
      </c>
      <c r="U33" s="263">
        <f>'[3]Sky West'!$IP$64</f>
        <v>0</v>
      </c>
      <c r="V33" s="2">
        <f>'[3]Sky West'!$IB$64</f>
        <v>0</v>
      </c>
      <c r="W33" s="65" t="e">
        <f t="shared" si="26"/>
        <v>#DIV/0!</v>
      </c>
      <c r="X33" s="263">
        <f>SUM('[3]Sky West'!$IF$64:$IP$64)</f>
        <v>0</v>
      </c>
      <c r="Y33" s="2">
        <f>SUM('[3]Sky West'!$HR$64:$IB$64)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Southeast'!$IP$19</f>
        <v>0</v>
      </c>
      <c r="D34" s="2">
        <f>'[3]Atlantic Southeast'!$IB$19</f>
        <v>0</v>
      </c>
      <c r="E34" s="65" t="e">
        <f t="shared" si="23"/>
        <v>#DIV/0!</v>
      </c>
      <c r="F34" s="2">
        <f>SUM('[3]Atlantic Southeast'!$IF$19:$IP$19)</f>
        <v>0</v>
      </c>
      <c r="G34" s="2">
        <f>SUM('[3]Atlantic Southeast'!$HR$19:$IB$19)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Southeast'!$IP$41</f>
        <v>0</v>
      </c>
      <c r="M34" s="2">
        <f>'[3]Atlantic Southeast'!$IB$41</f>
        <v>0</v>
      </c>
      <c r="N34" s="65" t="e">
        <f t="shared" si="24"/>
        <v>#DIV/0!</v>
      </c>
      <c r="O34" s="263">
        <f>SUM('[3]Atlantic Southeast'!$IF$41:$IP$41)</f>
        <v>0</v>
      </c>
      <c r="P34" s="2">
        <f>SUM('[3]Atlantic Southeast'!$HR$41:$IB$41)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Southeast'!$IP$64</f>
        <v>0</v>
      </c>
      <c r="V34" s="2">
        <f>'[3]Atlantic Southeast'!$IB$64</f>
        <v>0</v>
      </c>
      <c r="W34" s="65" t="e">
        <f t="shared" si="26"/>
        <v>#DIV/0!</v>
      </c>
      <c r="X34" s="263">
        <f>SUM('[3]Atlantic Southeast'!$IF$64:$IP$64)</f>
        <v>0</v>
      </c>
      <c r="Y34" s="2">
        <f>SUM('[3]Atlantic Southeast'!$HR$64:$IB$64)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[3]Frontier!$IP$19</f>
        <v>185</v>
      </c>
      <c r="D36" s="261">
        <f>[3]Frontier!$IB$19</f>
        <v>68</v>
      </c>
      <c r="E36" s="262">
        <f>(C36-D36)/D36</f>
        <v>1.7205882352941178</v>
      </c>
      <c r="F36" s="261">
        <f>SUM([3]Frontier!$IF$19:$IP$19)</f>
        <v>1371</v>
      </c>
      <c r="G36" s="261">
        <f>SUM([3]Frontier!$HR$19:$IB$19)</f>
        <v>1178</v>
      </c>
      <c r="H36" s="260">
        <f>(F36-G36)/G36</f>
        <v>0.16383701188455008</v>
      </c>
      <c r="I36" s="262">
        <f>F36/$F$62</f>
        <v>5.1375445459962005E-3</v>
      </c>
      <c r="J36" s="258" t="s">
        <v>47</v>
      </c>
      <c r="K36" s="39"/>
      <c r="L36" s="259">
        <f>[3]Frontier!$IP$41</f>
        <v>26768</v>
      </c>
      <c r="M36" s="261">
        <f>[3]Frontier!$IB$41</f>
        <v>10676</v>
      </c>
      <c r="N36" s="262">
        <f>(L36-M36)/M36</f>
        <v>1.5073061071562384</v>
      </c>
      <c r="O36" s="259">
        <f>SUM([3]Frontier!$IF$41:$IP$41)</f>
        <v>226260</v>
      </c>
      <c r="P36" s="261">
        <f>SUM([3]Frontier!$HR$41:$IB$41)</f>
        <v>174613</v>
      </c>
      <c r="Q36" s="260">
        <f>(O36-P36)/P36</f>
        <v>0.2957798102088619</v>
      </c>
      <c r="R36" s="262">
        <f>O36/$O$62</f>
        <v>7.2782559000805413E-3</v>
      </c>
      <c r="S36" s="258" t="s">
        <v>47</v>
      </c>
      <c r="T36" s="39"/>
      <c r="U36" s="259">
        <f>[3]Frontier!$IP$64</f>
        <v>0</v>
      </c>
      <c r="V36" s="261">
        <f>[3]Frontier!$IB$64</f>
        <v>0</v>
      </c>
      <c r="W36" s="262" t="e">
        <f>(U36-V36)/V36</f>
        <v>#DIV/0!</v>
      </c>
      <c r="X36" s="259">
        <f>SUM([3]Frontier!$IF$64:$IP$64)</f>
        <v>0</v>
      </c>
      <c r="Y36" s="261">
        <f>SUM([3]Frontier!$HR$64:$IB$64)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[3]Icelandair!$IP$19</f>
        <v>34</v>
      </c>
      <c r="D38" s="261">
        <f>[3]Icelandair!$IB$19</f>
        <v>34</v>
      </c>
      <c r="E38" s="262">
        <f>(C38-D38)/D38</f>
        <v>0</v>
      </c>
      <c r="F38" s="261">
        <f>SUM([3]Icelandair!$IF$19:$IP$19)</f>
        <v>424</v>
      </c>
      <c r="G38" s="261">
        <f>SUM([3]Icelandair!$HR$19:$IB$19)</f>
        <v>376</v>
      </c>
      <c r="H38" s="260">
        <f>(F38-G38)/G38</f>
        <v>0.1276595744680851</v>
      </c>
      <c r="I38" s="262">
        <f>F38/$F$62</f>
        <v>1.5888540390243536E-3</v>
      </c>
      <c r="J38" s="258" t="s">
        <v>48</v>
      </c>
      <c r="K38" s="39"/>
      <c r="L38" s="259">
        <f>[3]Icelandair!$IP$41</f>
        <v>4527</v>
      </c>
      <c r="M38" s="261">
        <f>[3]Icelandair!$IB$41</f>
        <v>4016</v>
      </c>
      <c r="N38" s="262">
        <f>(L38-M38)/M38</f>
        <v>0.1272410358565737</v>
      </c>
      <c r="O38" s="259">
        <f>SUM([3]Icelandair!$IF$41:$IP$41)</f>
        <v>71202</v>
      </c>
      <c r="P38" s="261">
        <f>SUM([3]Icelandair!$HR$41:$IB$41)</f>
        <v>54121</v>
      </c>
      <c r="Q38" s="260">
        <f>(O38-P38)/P38</f>
        <v>0.31560761996267622</v>
      </c>
      <c r="R38" s="262">
        <f>O38/$O$62</f>
        <v>2.2904020887365628E-3</v>
      </c>
      <c r="S38" s="258" t="s">
        <v>48</v>
      </c>
      <c r="T38" s="39"/>
      <c r="U38" s="259">
        <f>[3]Icelandair!$IP$64</f>
        <v>11232</v>
      </c>
      <c r="V38" s="261">
        <f>[3]Icelandair!$IB$64</f>
        <v>1716</v>
      </c>
      <c r="W38" s="262">
        <f>(U38-V38)/V38</f>
        <v>5.5454545454545459</v>
      </c>
      <c r="X38" s="259">
        <f>SUM([3]Icelandair!$IF$64:$IP$64)</f>
        <v>19037</v>
      </c>
      <c r="Y38" s="261">
        <f>SUM([3]Icelandair!$HR$64:$IB$64)</f>
        <v>61319</v>
      </c>
      <c r="Z38" s="260">
        <f>(X38-Y38)/Y38</f>
        <v>-0.68954157765129898</v>
      </c>
      <c r="AA38" s="262">
        <f>X38/$X$62</f>
        <v>2.4351749507740199E-4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Blue'!$IP$19</f>
        <v>58</v>
      </c>
      <c r="D40" s="261">
        <f>'[3]Jet Blue'!$IB$19</f>
        <v>177</v>
      </c>
      <c r="E40" s="262">
        <f>(C40-D40)/D40</f>
        <v>-0.67231638418079098</v>
      </c>
      <c r="F40" s="261">
        <f>SUM('[3]Jet Blue'!$IF$19:$IP$19)</f>
        <v>1021</v>
      </c>
      <c r="G40" s="261">
        <f>SUM('[3]Jet Blue'!$HR$19:$IB$19)</f>
        <v>1758</v>
      </c>
      <c r="H40" s="260">
        <f>(F40-G40)/G40</f>
        <v>-0.41922639362912401</v>
      </c>
      <c r="I40" s="262">
        <f>F40/$F$62</f>
        <v>3.8259905043487386E-3</v>
      </c>
      <c r="J40" s="258" t="s">
        <v>192</v>
      </c>
      <c r="K40" s="39"/>
      <c r="L40" s="259">
        <f>'[3]Jet Blue'!$IP$41</f>
        <v>3197</v>
      </c>
      <c r="M40" s="261">
        <f>'[3]Jet Blue'!$IB$41</f>
        <v>15386</v>
      </c>
      <c r="N40" s="262">
        <f>(L40-M40)/M40</f>
        <v>-0.79221370076693098</v>
      </c>
      <c r="O40" s="259">
        <f>SUM('[3]Jet Blue'!$IF$41:$IP$41)</f>
        <v>99913</v>
      </c>
      <c r="P40" s="261">
        <f>SUM('[3]Jet Blue'!$HR$41:$IB$41)</f>
        <v>162327</v>
      </c>
      <c r="Q40" s="260">
        <f>(O40-P40)/P40</f>
        <v>-0.38449549366402386</v>
      </c>
      <c r="R40" s="262">
        <f>O40/$O$62</f>
        <v>3.2139679207316679E-3</v>
      </c>
      <c r="S40" s="258" t="s">
        <v>192</v>
      </c>
      <c r="T40" s="39"/>
      <c r="U40" s="259">
        <f>'[3]Jet Blue'!$IP$64</f>
        <v>0</v>
      </c>
      <c r="V40" s="261">
        <f>'[3]Jet Blue'!$IB$64</f>
        <v>0</v>
      </c>
      <c r="W40" s="262" t="e">
        <f>(U40-V40)/V40</f>
        <v>#DIV/0!</v>
      </c>
      <c r="X40" s="259">
        <f>SUM('[3]Jet Blue'!$IF$64:$IP$64)</f>
        <v>0</v>
      </c>
      <c r="Y40" s="261">
        <f>SUM('[3]Jet Blue'!$HR$64:$IB$64)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[3]KLM!$IP$19</f>
        <v>32</v>
      </c>
      <c r="D42" s="261">
        <f>[3]KLM!$IB$19</f>
        <v>34</v>
      </c>
      <c r="E42" s="262">
        <f>(C42-D42)/D42</f>
        <v>-5.8823529411764705E-2</v>
      </c>
      <c r="F42" s="261">
        <f>SUM([3]KLM!$IF$19:$IP$19)</f>
        <v>358</v>
      </c>
      <c r="G42" s="261">
        <f>SUM([3]KLM!$HR$19:$IB$19)</f>
        <v>366</v>
      </c>
      <c r="H42" s="260">
        <f>(F42-G42)/G42</f>
        <v>-2.185792349726776E-2</v>
      </c>
      <c r="I42" s="262">
        <f>F42/$F$62</f>
        <v>1.3415324197422608E-3</v>
      </c>
      <c r="J42" s="258" t="s">
        <v>187</v>
      </c>
      <c r="K42" s="39"/>
      <c r="L42" s="259">
        <f>[3]KLM!$IP$41</f>
        <v>6805</v>
      </c>
      <c r="M42" s="261">
        <f>[3]KLM!$IB$41</f>
        <v>7132</v>
      </c>
      <c r="N42" s="262">
        <f>(L42-M42)/M42</f>
        <v>-4.5849691531127314E-2</v>
      </c>
      <c r="O42" s="259">
        <f>SUM([3]KLM!$IF$41:$IP$41)</f>
        <v>82669</v>
      </c>
      <c r="P42" s="261">
        <f>SUM([3]KLM!$HR$41:$IB$41)</f>
        <v>78607</v>
      </c>
      <c r="Q42" s="260">
        <f>(O42-P42)/P42</f>
        <v>5.1674787232689201E-2</v>
      </c>
      <c r="R42" s="262">
        <f>O42/$O$62</f>
        <v>2.6592687041622834E-3</v>
      </c>
      <c r="S42" s="258" t="s">
        <v>187</v>
      </c>
      <c r="T42" s="39"/>
      <c r="U42" s="259">
        <f>[3]KLM!$IP$64</f>
        <v>389338</v>
      </c>
      <c r="V42" s="261">
        <f>[3]KLM!$IB$64</f>
        <v>708810</v>
      </c>
      <c r="W42" s="262">
        <f>(U42-V42)/V42</f>
        <v>-0.45071598876991015</v>
      </c>
      <c r="X42" s="259">
        <f>SUM([3]KLM!$IF$64:$IP$64)</f>
        <v>4277155</v>
      </c>
      <c r="Y42" s="261">
        <f>SUM([3]KLM!$HR$64:$IB$64)</f>
        <v>5874120</v>
      </c>
      <c r="Z42" s="260">
        <f>(X42-Y42)/Y42</f>
        <v>-0.2718645516264564</v>
      </c>
      <c r="AA42" s="262">
        <f>X42/$X$62</f>
        <v>5.4712510986908929E-2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[3]Southwest!$IP$19</f>
        <v>1331</v>
      </c>
      <c r="D44" s="261">
        <f>[3]Southwest!$IB$19</f>
        <v>912</v>
      </c>
      <c r="E44" s="262">
        <f>(C44-D44)/D44</f>
        <v>0.45942982456140352</v>
      </c>
      <c r="F44" s="261">
        <f>SUM([3]Southwest!$IF$19:$IP$19)</f>
        <v>13292</v>
      </c>
      <c r="G44" s="261">
        <f>SUM([3]Southwest!$HR$19:$IB$19)</f>
        <v>9772</v>
      </c>
      <c r="H44" s="260">
        <f>(F44-G44)/G44</f>
        <v>0.36021285304952927</v>
      </c>
      <c r="I44" s="262">
        <f>F44/$F$62</f>
        <v>4.9809075204508751E-2</v>
      </c>
      <c r="J44" s="258" t="s">
        <v>128</v>
      </c>
      <c r="K44" s="39"/>
      <c r="L44" s="259">
        <f>[3]Southwest!$IP$41</f>
        <v>134778</v>
      </c>
      <c r="M44" s="261">
        <f>[3]Southwest!$IB$41</f>
        <v>110504</v>
      </c>
      <c r="N44" s="262">
        <f>(L44-M44)/M44</f>
        <v>0.21966625642510679</v>
      </c>
      <c r="O44" s="259">
        <f>SUM([3]Southwest!$IF$41:$IP$41)</f>
        <v>1524432</v>
      </c>
      <c r="P44" s="261">
        <f>SUM([3]Southwest!$HR$41:$IB$41)</f>
        <v>1250956</v>
      </c>
      <c r="Q44" s="260">
        <f>(O44-P44)/P44</f>
        <v>0.21861360431541957</v>
      </c>
      <c r="R44" s="262">
        <f>O44/$O$62</f>
        <v>4.9037418007034296E-2</v>
      </c>
      <c r="S44" s="258" t="s">
        <v>128</v>
      </c>
      <c r="T44" s="39"/>
      <c r="U44" s="259">
        <f>[3]Southwest!$IP$64</f>
        <v>216158</v>
      </c>
      <c r="V44" s="261">
        <f>[3]Southwest!$IB$64</f>
        <v>219740</v>
      </c>
      <c r="W44" s="262">
        <f>(U44-V44)/V44</f>
        <v>-1.6301083098206971E-2</v>
      </c>
      <c r="X44" s="259">
        <f>SUM([3]Southwest!$IF$64:$IP$64)</f>
        <v>2455357</v>
      </c>
      <c r="Y44" s="261">
        <f>SUM([3]Southwest!$HR$64:$IB$64)</f>
        <v>2372575</v>
      </c>
      <c r="Z44" s="260">
        <f>(X44-Y44)/Y44</f>
        <v>3.4891204703750144E-2</v>
      </c>
      <c r="AA44" s="262">
        <f>X44/$X$62</f>
        <v>3.1408435476218126E-2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[3]Spirit!$IP$19</f>
        <v>226</v>
      </c>
      <c r="D46" s="261">
        <f>[3]Spirit!$IB$19</f>
        <v>252</v>
      </c>
      <c r="E46" s="262">
        <f>(C46-D46)/D46</f>
        <v>-0.10317460317460317</v>
      </c>
      <c r="F46" s="261">
        <f>SUM([3]Spirit!$IF$19:$IP$19)</f>
        <v>2914</v>
      </c>
      <c r="G46" s="261">
        <f>SUM([3]Spirit!$HR$19:$IB$19)</f>
        <v>2640</v>
      </c>
      <c r="H46" s="260">
        <f>(F46-G46)/G46</f>
        <v>0.10378787878787879</v>
      </c>
      <c r="I46" s="262">
        <f>F46/$F$62</f>
        <v>1.0919624221030582E-2</v>
      </c>
      <c r="J46" s="258" t="s">
        <v>153</v>
      </c>
      <c r="K46" s="39"/>
      <c r="L46" s="259">
        <f>[3]Spirit!$IP$41</f>
        <v>30602</v>
      </c>
      <c r="M46" s="261">
        <f>[3]Spirit!$IB$41</f>
        <v>34940</v>
      </c>
      <c r="N46" s="262">
        <f>(L46-M46)/M46</f>
        <v>-0.12415569547796222</v>
      </c>
      <c r="O46" s="259">
        <f>SUM([3]Spirit!$IF$41:$IP$41)</f>
        <v>413789</v>
      </c>
      <c r="P46" s="261">
        <f>SUM([3]Spirit!$HR$41:$IB$41)</f>
        <v>395245</v>
      </c>
      <c r="Q46" s="260">
        <f>(O46-P46)/P46</f>
        <v>4.6917734569697278E-2</v>
      </c>
      <c r="R46" s="262">
        <f>O46/$O$62</f>
        <v>1.3310625964105132E-2</v>
      </c>
      <c r="S46" s="258" t="s">
        <v>153</v>
      </c>
      <c r="T46" s="39"/>
      <c r="U46" s="259">
        <f>[3]Spirit!$IP$64</f>
        <v>0</v>
      </c>
      <c r="V46" s="261">
        <f>[3]Spirit!$IB$64</f>
        <v>0</v>
      </c>
      <c r="W46" s="262" t="e">
        <f>(U46-V46)/V46</f>
        <v>#DIV/0!</v>
      </c>
      <c r="X46" s="259">
        <f>SUM([3]Spirit!$IF$64:$IP$64)</f>
        <v>0</v>
      </c>
      <c r="Y46" s="261">
        <f>SUM([3]Spirit!$HR$64:$IB$64)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Country'!$IP$19</f>
        <v>2246</v>
      </c>
      <c r="D48" s="261">
        <f>'[3]Sun Country'!$IB$19</f>
        <v>1817</v>
      </c>
      <c r="E48" s="262">
        <f>(C48-D48)/D48</f>
        <v>0.23610346725371492</v>
      </c>
      <c r="F48" s="261">
        <f>SUM('[3]Sun Country'!$IF$19:$IP$19)</f>
        <v>23260</v>
      </c>
      <c r="G48" s="261">
        <f>SUM('[3]Sun Country'!$HR$19:$IB$19)</f>
        <v>20300</v>
      </c>
      <c r="H48" s="260">
        <f>(F48-G48)/G48</f>
        <v>0.14581280788177339</v>
      </c>
      <c r="I48" s="262">
        <f>F48/$F$62</f>
        <v>8.7162134310628456E-2</v>
      </c>
      <c r="J48" s="258" t="s">
        <v>49</v>
      </c>
      <c r="K48" s="39"/>
      <c r="L48" s="259">
        <f>'[3]Sun Country'!$IP$41</f>
        <v>331163</v>
      </c>
      <c r="M48" s="261">
        <f>'[3]Sun Country'!$IB$41</f>
        <v>264614</v>
      </c>
      <c r="N48" s="262">
        <f>(L48-M48)/M48</f>
        <v>0.2514946299137612</v>
      </c>
      <c r="O48" s="259">
        <f>SUM('[3]Sun Country'!$IF$41:$IP$41)</f>
        <v>3441386</v>
      </c>
      <c r="P48" s="261">
        <f>SUM('[3]Sun Country'!$HR$41:$IB$41)</f>
        <v>2945767</v>
      </c>
      <c r="Q48" s="260">
        <f>(O48-P48)/P48</f>
        <v>0.16824786210178877</v>
      </c>
      <c r="R48" s="262">
        <f>O48/$O$62</f>
        <v>0.11070135224500387</v>
      </c>
      <c r="S48" s="258" t="s">
        <v>49</v>
      </c>
      <c r="T48" s="39"/>
      <c r="U48" s="259">
        <f>'[3]Sun Country'!$IP$64</f>
        <v>0</v>
      </c>
      <c r="V48" s="261">
        <f>'[3]Sun Country'!$IB$64</f>
        <v>90199</v>
      </c>
      <c r="W48" s="262">
        <f>(U48-V48)/V48</f>
        <v>-1</v>
      </c>
      <c r="X48" s="259">
        <f>SUM('[3]Sun Country'!$IF$64:$IP$64)</f>
        <v>61776</v>
      </c>
      <c r="Y48" s="261">
        <f>SUM('[3]Sun Country'!$HR$64:$IB$64)</f>
        <v>3468721</v>
      </c>
      <c r="Z48" s="260">
        <f>(X48-Y48)/Y48</f>
        <v>-0.98219055380931475</v>
      </c>
      <c r="AA48" s="262">
        <f>X48/$X$62</f>
        <v>7.9022623185909463E-4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955</v>
      </c>
      <c r="D50" s="261">
        <f>SUM(D51:D55)</f>
        <v>876</v>
      </c>
      <c r="E50" s="262">
        <f t="shared" ref="E50:E55" si="30">(C50-D50)/D50</f>
        <v>9.0182648401826479E-2</v>
      </c>
      <c r="F50" s="261">
        <f>SUM(F51:F55)</f>
        <v>11483</v>
      </c>
      <c r="G50" s="261">
        <f>SUM(G51:G55)</f>
        <v>10242</v>
      </c>
      <c r="H50" s="260">
        <f t="shared" ref="H50:H55" si="31">(F50-G50)/G50</f>
        <v>0.12116774067564928</v>
      </c>
      <c r="I50" s="262">
        <f t="shared" ref="I50:I55" si="32">F50/$F$62</f>
        <v>4.3030214457822298E-2</v>
      </c>
      <c r="J50" s="258" t="s">
        <v>19</v>
      </c>
      <c r="K50" s="265"/>
      <c r="L50" s="259">
        <f>SUM(L51:L55)</f>
        <v>107712</v>
      </c>
      <c r="M50" s="261">
        <f>SUM(M51:M55)</f>
        <v>109095</v>
      </c>
      <c r="N50" s="262">
        <f t="shared" ref="N50:N55" si="33">(L50-M50)/M50</f>
        <v>-1.2677024611577065E-2</v>
      </c>
      <c r="O50" s="259">
        <f>SUM(O51:O55)</f>
        <v>1431355</v>
      </c>
      <c r="P50" s="261">
        <f>SUM(P51:P55)</f>
        <v>1171267</v>
      </c>
      <c r="Q50" s="260">
        <f t="shared" ref="Q50:Q55" si="34">(O50-P50)/P50</f>
        <v>0.22205696907707637</v>
      </c>
      <c r="R50" s="262">
        <f t="shared" ref="R50:R55" si="35">O50/$O$62</f>
        <v>4.6043348244761702E-2</v>
      </c>
      <c r="S50" s="258" t="s">
        <v>19</v>
      </c>
      <c r="T50" s="265"/>
      <c r="U50" s="259">
        <f>SUM(U51:U55)</f>
        <v>45887</v>
      </c>
      <c r="V50" s="261">
        <f>SUM(V51:V55)</f>
        <v>71641</v>
      </c>
      <c r="W50" s="262">
        <f t="shared" ref="W50:W55" si="36">(U50-V50)/V50</f>
        <v>-0.3594868860010329</v>
      </c>
      <c r="X50" s="259">
        <f>SUM(X51:X55)</f>
        <v>1092208</v>
      </c>
      <c r="Y50" s="261">
        <f>SUM(Y51:Y55)</f>
        <v>1232215</v>
      </c>
      <c r="Z50" s="260">
        <f t="shared" ref="Z50:Z55" si="37">(X50-Y50)/Y50</f>
        <v>-0.11362221690208284</v>
      </c>
      <c r="AA50" s="262">
        <f t="shared" ref="AA50:AA55" si="38">X50/$X$62</f>
        <v>1.3971306207044128E-2</v>
      </c>
    </row>
    <row r="51" spans="1:27" ht="14.1" customHeight="1" x14ac:dyDescent="0.2">
      <c r="A51" s="37"/>
      <c r="B51" s="318" t="s">
        <v>19</v>
      </c>
      <c r="C51" s="263">
        <f>[3]United!$IP$19</f>
        <v>738</v>
      </c>
      <c r="D51" s="2">
        <f>[3]United!$IB$19+[3]Continental!$IB$19</f>
        <v>758</v>
      </c>
      <c r="E51" s="65">
        <f t="shared" si="30"/>
        <v>-2.6385224274406333E-2</v>
      </c>
      <c r="F51" s="2">
        <f>SUM([3]United!$IF$19:$IP$19)</f>
        <v>9823</v>
      </c>
      <c r="G51" s="2">
        <f>SUM([3]United!$HR$19:$IB$19)+SUM([3]Continental!$HR$19:$IB$19)</f>
        <v>7562</v>
      </c>
      <c r="H51" s="3">
        <f t="shared" si="31"/>
        <v>0.29899497487437188</v>
      </c>
      <c r="I51" s="65">
        <f t="shared" si="32"/>
        <v>3.6809701003151479E-2</v>
      </c>
      <c r="J51" s="37"/>
      <c r="K51" s="318" t="s">
        <v>19</v>
      </c>
      <c r="L51" s="263">
        <f>[3]United!$IP$41</f>
        <v>93415</v>
      </c>
      <c r="M51" s="2">
        <f>[3]United!$IB$41+[3]Continental!$IB$41</f>
        <v>101372</v>
      </c>
      <c r="N51" s="65">
        <f t="shared" si="33"/>
        <v>-7.8493075010851121E-2</v>
      </c>
      <c r="O51" s="263">
        <f>SUM([3]United!$IF$41:$IP$41)</f>
        <v>1324529</v>
      </c>
      <c r="P51" s="2">
        <f>SUM([3]United!$HR$41:$IB$41)+SUM([3]Continental!$HR$41:$IB$41)</f>
        <v>998656</v>
      </c>
      <c r="Q51" s="3">
        <f t="shared" si="34"/>
        <v>0.32631156274032297</v>
      </c>
      <c r="R51" s="65">
        <f t="shared" si="35"/>
        <v>4.2607005255360111E-2</v>
      </c>
      <c r="S51" s="37"/>
      <c r="T51" s="318" t="s">
        <v>19</v>
      </c>
      <c r="U51" s="263">
        <f>[3]United!$IP$64</f>
        <v>45887</v>
      </c>
      <c r="V51" s="2">
        <f>[3]United!$IB$64+[3]Continental!$IB$64</f>
        <v>71641</v>
      </c>
      <c r="W51" s="65">
        <f t="shared" si="36"/>
        <v>-0.3594868860010329</v>
      </c>
      <c r="X51" s="263">
        <f>SUM([3]United!$IF$64:$IP$64)</f>
        <v>1092208</v>
      </c>
      <c r="Y51" s="2">
        <f>SUM([3]United!$HR$64:$IB$64)+SUM([3]Continental!$HR$64:$IB$64)</f>
        <v>1232215</v>
      </c>
      <c r="Z51" s="3">
        <f t="shared" si="37"/>
        <v>-0.11362221690208284</v>
      </c>
      <c r="AA51" s="65">
        <f t="shared" si="38"/>
        <v>1.3971306207044128E-2</v>
      </c>
    </row>
    <row r="52" spans="1:27" ht="14.1" customHeight="1" x14ac:dyDescent="0.2">
      <c r="A52" s="37"/>
      <c r="B52" s="39" t="s">
        <v>152</v>
      </c>
      <c r="C52" s="263">
        <f>'[3]Go Jet_UA'!$IP$19</f>
        <v>0</v>
      </c>
      <c r="D52" s="2">
        <f>'[3]Go Jet_UA'!$IB$19</f>
        <v>0</v>
      </c>
      <c r="E52" s="65" t="e">
        <f t="shared" si="30"/>
        <v>#DIV/0!</v>
      </c>
      <c r="F52" s="2">
        <f>SUM('[3]Go Jet_UA'!$IF$19:$IP$19)</f>
        <v>2</v>
      </c>
      <c r="G52" s="2">
        <f>SUM('[3]Go Jet_UA'!$HR$19:$IB$19)</f>
        <v>2</v>
      </c>
      <c r="H52" s="3">
        <f t="shared" si="31"/>
        <v>0</v>
      </c>
      <c r="I52" s="65">
        <f t="shared" si="32"/>
        <v>7.4945945236997813E-6</v>
      </c>
      <c r="J52" s="37"/>
      <c r="K52" s="39" t="s">
        <v>152</v>
      </c>
      <c r="L52" s="263">
        <f>'[3]Go Jet_UA'!$IP$41</f>
        <v>0</v>
      </c>
      <c r="M52" s="2">
        <f>'[3]Go Jet_UA'!$IB$41</f>
        <v>0</v>
      </c>
      <c r="N52" s="65" t="e">
        <f t="shared" si="33"/>
        <v>#DIV/0!</v>
      </c>
      <c r="O52" s="263">
        <f>SUM('[3]Go Jet_UA'!$IF$41:$IP$41)</f>
        <v>96</v>
      </c>
      <c r="P52" s="2">
        <f>SUM('[3]Go Jet_UA'!$HR$41:$IB$41)</f>
        <v>37</v>
      </c>
      <c r="Q52" s="3">
        <f t="shared" si="34"/>
        <v>1.5945945945945945</v>
      </c>
      <c r="R52" s="65">
        <f t="shared" si="35"/>
        <v>3.088095847289543E-6</v>
      </c>
      <c r="S52" s="37"/>
      <c r="T52" s="39" t="s">
        <v>152</v>
      </c>
      <c r="U52" s="263">
        <f>'[3]Go Jet_UA'!$IP$64</f>
        <v>0</v>
      </c>
      <c r="V52" s="2">
        <f>'[3]Go Jet_UA'!$IB$64</f>
        <v>0</v>
      </c>
      <c r="W52" s="65" t="e">
        <f t="shared" si="36"/>
        <v>#DIV/0!</v>
      </c>
      <c r="X52" s="263">
        <f>SUM('[3]Go Jet_UA'!$IF$64:$IP$64)</f>
        <v>0</v>
      </c>
      <c r="Y52" s="2">
        <f>SUM('[3]Go Jet_UA'!$HR$64:$IB$64)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[3]MESA_UA!$IP$19</f>
        <v>94</v>
      </c>
      <c r="D53" s="2">
        <f>[3]MESA_UA!$IB$19</f>
        <v>82</v>
      </c>
      <c r="E53" s="65">
        <f t="shared" si="30"/>
        <v>0.14634146341463414</v>
      </c>
      <c r="F53" s="2">
        <f>SUM([3]MESA_UA!$IF$19:$IP$19)</f>
        <v>1104</v>
      </c>
      <c r="G53" s="2">
        <f>SUM([3]MESA_UA!$HR$19:$IB$19)</f>
        <v>1234</v>
      </c>
      <c r="H53" s="3">
        <f>(F53-G53)/G53</f>
        <v>-0.1053484602917342</v>
      </c>
      <c r="I53" s="65">
        <f t="shared" si="32"/>
        <v>4.1370161770822797E-3</v>
      </c>
      <c r="J53" s="37"/>
      <c r="K53" s="39" t="s">
        <v>51</v>
      </c>
      <c r="L53" s="263">
        <f>[3]MESA_UA!$IP$41</f>
        <v>6162</v>
      </c>
      <c r="M53" s="2">
        <f>[3]MESA_UA!$IB$41</f>
        <v>5332</v>
      </c>
      <c r="N53" s="65">
        <f t="shared" si="33"/>
        <v>0.15566391597899476</v>
      </c>
      <c r="O53" s="263">
        <f>SUM([3]MESA_UA!$IF$41:$IP$41)</f>
        <v>72096</v>
      </c>
      <c r="P53" s="2">
        <f>SUM([3]MESA_UA!$HR$41:$IB$41)</f>
        <v>82987</v>
      </c>
      <c r="Q53" s="3">
        <f t="shared" si="34"/>
        <v>-0.13123742272886116</v>
      </c>
      <c r="R53" s="65">
        <f t="shared" si="35"/>
        <v>2.3191599813144467E-3</v>
      </c>
      <c r="S53" s="37"/>
      <c r="T53" s="39" t="s">
        <v>51</v>
      </c>
      <c r="U53" s="263">
        <f>[3]MESA_UA!$IP$64</f>
        <v>0</v>
      </c>
      <c r="V53" s="2">
        <f>[3]MESA_UA!$IB$64</f>
        <v>0</v>
      </c>
      <c r="W53" s="65" t="e">
        <f t="shared" si="36"/>
        <v>#DIV/0!</v>
      </c>
      <c r="X53" s="263">
        <f>SUM([3]MESA_UA!$IF$64:$IP$64)</f>
        <v>0</v>
      </c>
      <c r="Y53" s="2">
        <f>SUM([3]MESA_UA!$HR$64:$IB$64)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[3]Republic_UA!$IP$19</f>
        <v>115</v>
      </c>
      <c r="D54" s="2">
        <f>[3]Republic_UA!$IB$19</f>
        <v>28</v>
      </c>
      <c r="E54" s="65">
        <f t="shared" si="30"/>
        <v>3.1071428571428572</v>
      </c>
      <c r="F54" s="2">
        <f>SUM([3]Republic_UA!$IF$19:$IP$19)</f>
        <v>472</v>
      </c>
      <c r="G54" s="2">
        <f>SUM([3]Republic_UA!$HR$19:$IB$19)</f>
        <v>1048</v>
      </c>
      <c r="H54" s="3">
        <f t="shared" ref="H54" si="39">(F54-G54)/G54</f>
        <v>-0.54961832061068705</v>
      </c>
      <c r="I54" s="65">
        <f t="shared" si="32"/>
        <v>1.7687243075931484E-3</v>
      </c>
      <c r="J54" s="37"/>
      <c r="K54" s="318" t="s">
        <v>52</v>
      </c>
      <c r="L54" s="263">
        <f>[3]Republic_UA!$IP$41</f>
        <v>7571</v>
      </c>
      <c r="M54" s="2">
        <f>[3]Republic_UA!$IB$41</f>
        <v>1837</v>
      </c>
      <c r="N54" s="65">
        <f t="shared" si="33"/>
        <v>3.1213935764833969</v>
      </c>
      <c r="O54" s="263">
        <f>SUM([3]Republic_UA!$IF$41:$IP$41)</f>
        <v>29979</v>
      </c>
      <c r="P54" s="2">
        <f>SUM([3]Republic_UA!$HR$41:$IB$41)</f>
        <v>64406</v>
      </c>
      <c r="Q54" s="3">
        <f t="shared" si="34"/>
        <v>-0.53453094432195758</v>
      </c>
      <c r="R54" s="65">
        <f t="shared" si="35"/>
        <v>9.643544313113876E-4</v>
      </c>
      <c r="S54" s="37"/>
      <c r="T54" s="318" t="s">
        <v>52</v>
      </c>
      <c r="U54" s="263">
        <f>[3]Republic_UA!$IP$64</f>
        <v>0</v>
      </c>
      <c r="V54" s="2">
        <f>[3]Republic_UA!$IB$64</f>
        <v>0</v>
      </c>
      <c r="W54" s="65" t="e">
        <f t="shared" si="36"/>
        <v>#DIV/0!</v>
      </c>
      <c r="X54" s="263">
        <f>SUM([3]Republic_UA!$IF$64:$IP$64)</f>
        <v>0</v>
      </c>
      <c r="Y54" s="2">
        <f>SUM([3]Republic_UA!$HR$64:$IB$64)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West_UA'!$IP$19</f>
        <v>8</v>
      </c>
      <c r="D55" s="2">
        <f>'[3]Sky West_UA'!$IB$19+'[3]Sky West_CO'!$IB$19</f>
        <v>8</v>
      </c>
      <c r="E55" s="65">
        <f t="shared" si="30"/>
        <v>0</v>
      </c>
      <c r="F55" s="2">
        <f>SUM('[3]Sky West_UA'!$IF$19:$IP$19)</f>
        <v>82</v>
      </c>
      <c r="G55" s="2">
        <f>SUM('[3]Sky West_UA'!$HR$19:$IB$19)+SUM('[3]Sky West_CO'!$HR$19:$IB$19)</f>
        <v>396</v>
      </c>
      <c r="H55" s="3">
        <f t="shared" si="31"/>
        <v>-0.79292929292929293</v>
      </c>
      <c r="I55" s="65">
        <f t="shared" si="32"/>
        <v>3.0727837547169103E-4</v>
      </c>
      <c r="J55" s="37"/>
      <c r="K55" s="39" t="s">
        <v>97</v>
      </c>
      <c r="L55" s="263">
        <f>'[3]Sky West_UA'!$IP$41</f>
        <v>564</v>
      </c>
      <c r="M55" s="2">
        <f>'[3]Sky West_UA'!$IB$41+'[3]Sky West_CO'!$IB$41</f>
        <v>554</v>
      </c>
      <c r="N55" s="65">
        <f t="shared" si="33"/>
        <v>1.8050541516245487E-2</v>
      </c>
      <c r="O55" s="263">
        <f>SUM('[3]Sky West_UA'!$IF$41:$IP$41)</f>
        <v>4655</v>
      </c>
      <c r="P55" s="2">
        <f>SUM('[3]Sky West_UA'!$HR$41:$IB$41)+SUM('[3]Sky West_CO'!$HR$41:$IB$41)</f>
        <v>25181</v>
      </c>
      <c r="Q55" s="3">
        <f t="shared" si="34"/>
        <v>-0.81513839799849097</v>
      </c>
      <c r="R55" s="65">
        <f t="shared" si="35"/>
        <v>1.497404809284669E-4</v>
      </c>
      <c r="S55" s="37"/>
      <c r="T55" s="39" t="s">
        <v>97</v>
      </c>
      <c r="U55" s="263">
        <f>'[3]Sky West_UA'!$IP$64</f>
        <v>0</v>
      </c>
      <c r="V55" s="2">
        <f>'[3]Sky West_UA'!$IB$64+'[3]Sky West_CO'!$IB$64</f>
        <v>0</v>
      </c>
      <c r="W55" s="65" t="e">
        <f t="shared" si="36"/>
        <v>#DIV/0!</v>
      </c>
      <c r="X55" s="263">
        <f>SUM('[3]Sky West_UA'!$IF$64:$IP$64)</f>
        <v>0</v>
      </c>
      <c r="Y55" s="2">
        <f>SUM('[3]Sky West_UA'!$HR$64:$IB$64)+SUM('[3]Sky West_CO'!$HR$64:$IB$64)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246</v>
      </c>
      <c r="B57" s="266"/>
      <c r="C57" s="259">
        <f>[3]WestJet!$IP$19</f>
        <v>70</v>
      </c>
      <c r="D57" s="261">
        <f>[3]WestJet!$IB$19</f>
        <v>0</v>
      </c>
      <c r="E57" s="262" t="e">
        <f>(C57-D57)/D57</f>
        <v>#DIV/0!</v>
      </c>
      <c r="F57" s="261">
        <f>SUM([3]WestJet!$IF$19:$IP$19)</f>
        <v>398</v>
      </c>
      <c r="G57" s="261">
        <f>SUM([3]WestJet!$HR$19:$IB$19)</f>
        <v>0</v>
      </c>
      <c r="H57" s="260" t="e">
        <f>(F57-G57)/G57</f>
        <v>#DIV/0!</v>
      </c>
      <c r="I57" s="262">
        <f>F57/$F$62</f>
        <v>1.4914243102162564E-3</v>
      </c>
      <c r="J57" s="258" t="s">
        <v>246</v>
      </c>
      <c r="K57" s="39"/>
      <c r="L57" s="259">
        <f>[3]WestJet!$IP$41</f>
        <v>8168</v>
      </c>
      <c r="M57" s="261">
        <f>[3]WestJet!$IB$41</f>
        <v>0</v>
      </c>
      <c r="N57" s="262" t="e">
        <f>(L57-M57)/M57</f>
        <v>#DIV/0!</v>
      </c>
      <c r="O57" s="259">
        <f>SUM([3]WestJet!$IF$41:$IP$41)</f>
        <v>46487</v>
      </c>
      <c r="P57" s="261">
        <f>SUM([3]WestJet!$HR$41:$IB$41)</f>
        <v>0</v>
      </c>
      <c r="Q57" s="260" t="e">
        <f>(O57-P57)/P57</f>
        <v>#DIV/0!</v>
      </c>
      <c r="R57" s="262">
        <f>O57/$O$62</f>
        <v>1.4953782463848853E-3</v>
      </c>
      <c r="S57" s="258" t="s">
        <v>246</v>
      </c>
      <c r="T57" s="39"/>
      <c r="U57" s="259">
        <f>[3]WestJet!$IP$64</f>
        <v>0</v>
      </c>
      <c r="V57" s="261">
        <f>[3]WestJet!$IB$64</f>
        <v>0</v>
      </c>
      <c r="W57" s="262" t="e">
        <f>(U57-V57)/V57</f>
        <v>#DIV/0!</v>
      </c>
      <c r="X57" s="259">
        <f>SUM([3]WestJet!$IF$64:$IP$64)</f>
        <v>0</v>
      </c>
      <c r="Y57" s="261">
        <f>SUM([3]WestJet!$HR$64:$IB$64)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17626</v>
      </c>
      <c r="D60" s="438">
        <f>+D62-D61</f>
        <v>15000</v>
      </c>
      <c r="E60" s="328">
        <f>(C60-D60)/D60</f>
        <v>0.17506666666666668</v>
      </c>
      <c r="F60" s="327">
        <f>+F62-F61</f>
        <v>198502</v>
      </c>
      <c r="G60" s="438">
        <f>+G62-G61</f>
        <v>165517</v>
      </c>
      <c r="H60" s="328">
        <f>(F60-G60)/G60</f>
        <v>0.19928466562347069</v>
      </c>
      <c r="I60" s="353">
        <f>F60/$F$62</f>
        <v>0.74384600107172705</v>
      </c>
      <c r="K60" s="274" t="s">
        <v>131</v>
      </c>
      <c r="L60" s="327">
        <f>+L62-L61</f>
        <v>2345233</v>
      </c>
      <c r="M60" s="438">
        <f>+M62-M61</f>
        <v>2067779</v>
      </c>
      <c r="N60" s="328">
        <f>(L60-M60)/M60</f>
        <v>0.13417971649774951</v>
      </c>
      <c r="O60" s="327">
        <f>+O62-O61</f>
        <v>27388779</v>
      </c>
      <c r="P60" s="438">
        <f>+P62-P61</f>
        <v>23139138</v>
      </c>
      <c r="Q60" s="351">
        <f>(O60-P60)/P60</f>
        <v>0.18365597715869969</v>
      </c>
      <c r="R60" s="398">
        <f>+O60/O62</f>
        <v>0.88103306971074002</v>
      </c>
      <c r="S60" s="3"/>
      <c r="T60" s="274" t="s">
        <v>131</v>
      </c>
      <c r="U60" s="327">
        <f>+U62-U61</f>
        <v>7615828</v>
      </c>
      <c r="V60" s="438">
        <f>+V62-V61</f>
        <v>8199434</v>
      </c>
      <c r="W60" s="328">
        <f>(U60-V60)/V60</f>
        <v>-7.1176376320609441E-2</v>
      </c>
      <c r="X60" s="327">
        <f>+X62-X61</f>
        <v>77787185</v>
      </c>
      <c r="Y60" s="438">
        <f>+Y62-Y61</f>
        <v>91642788</v>
      </c>
      <c r="Z60" s="351">
        <f>(X60-Y60)/Y60</f>
        <v>-0.15119141726679028</v>
      </c>
      <c r="AA60" s="398">
        <f>+X60/X62</f>
        <v>0.99503810686150429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6014</v>
      </c>
      <c r="D61" s="439">
        <f>+D34+D33+D32+D20+D55+D52+D53+D24+D21+D15+D6+D54+D22+D23+D16+D7</f>
        <v>6655</v>
      </c>
      <c r="E61" s="275">
        <f>(C61-D61)/D61</f>
        <v>-9.6318557475582267E-2</v>
      </c>
      <c r="F61" s="329">
        <f>+F34+F33+F32+F20+F55+F52+F53+F24+F21+F15+F6+F54+F22+F23+F16+F7</f>
        <v>68357</v>
      </c>
      <c r="G61" s="439">
        <f>+G34+G33+G32+G20+G55+G52+G53+G24+G21+G15+G6+G54+G22+G23+G16+G7</f>
        <v>88890</v>
      </c>
      <c r="H61" s="275">
        <f>(F61-G61)/G61</f>
        <v>-0.23099336258296771</v>
      </c>
      <c r="I61" s="354">
        <f>F61/$F$62</f>
        <v>0.25615399892827301</v>
      </c>
      <c r="K61" s="169" t="s">
        <v>132</v>
      </c>
      <c r="L61" s="329">
        <f>+L34+L33+L32+L20+L55+L52+L53+L24+L21+L15+L6+L54+L22+L23+L16+L7</f>
        <v>340773</v>
      </c>
      <c r="M61" s="439">
        <f>+M34+M33+M32+M20+M55+M52+M53+M24+M21+M15+M6+M54+M22+M23+M16+M7</f>
        <v>381137</v>
      </c>
      <c r="N61" s="275">
        <f>(L61-M61)/M61</f>
        <v>-0.1059041761886146</v>
      </c>
      <c r="O61" s="329">
        <f>+O34+O33+O32+O20+O55+O52+O53+O24+O21+O15+O6+O54+O22+O23+O16+O7</f>
        <v>3698339</v>
      </c>
      <c r="P61" s="439">
        <f>+P34+P33+P32+P20+P55+P52+P53+P24+P21+P15+P6+P54+P22+P23+P16+P7</f>
        <v>4784620</v>
      </c>
      <c r="Q61" s="350">
        <f>(O61-P61)/P61</f>
        <v>-0.22703600285916123</v>
      </c>
      <c r="R61" s="399">
        <f>+O61/O62</f>
        <v>0.11896693028926</v>
      </c>
      <c r="S61" s="3"/>
      <c r="T61" s="169" t="s">
        <v>132</v>
      </c>
      <c r="U61" s="329">
        <f>+U34+U33+U32+U20+U55+U52+U53+U24+U21+U15+U6+U54+U22+U23+U16+U7</f>
        <v>34686.199999999997</v>
      </c>
      <c r="V61" s="439">
        <f>+V34+V33+V32+V20+V55+V52+V53+V24+V21+V15+V6+V54+V22+V23+V16+V7</f>
        <v>1733</v>
      </c>
      <c r="W61" s="275">
        <f>(U61-V61)/V61</f>
        <v>19.015118291979224</v>
      </c>
      <c r="X61" s="329">
        <f>+X34+X33+X32+X20+X55+X52+X53+X24+X21+X15+X6+X54+X22+X23+X16+X7</f>
        <v>387896.39999999997</v>
      </c>
      <c r="Y61" s="439">
        <f>+Y34+Y33+Y32+Y20+Y55+Y52+Y53+Y24+Y21+Y15+Y6+Y54+Y22+Y23+Y16+Y7</f>
        <v>849588</v>
      </c>
      <c r="Z61" s="350">
        <f>(X61-Y61)/Y61</f>
        <v>-0.54342999194903885</v>
      </c>
      <c r="AA61" s="399">
        <f>+X61/X62</f>
        <v>4.9618931384956631E-3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23640</v>
      </c>
      <c r="D62" s="440">
        <f>D50+D48+D44+D38+D36+D30+D18+D13+D4+D46+D26+D42+D9+D40+D28+D11+D57</f>
        <v>21655</v>
      </c>
      <c r="E62" s="331">
        <f>(C62-D62)/D62</f>
        <v>9.1664742553682746E-2</v>
      </c>
      <c r="F62" s="330">
        <f>F50+F48+F44+F38+F36+F30+F18+F13+F4+F46+F26+F42+F9+F40+F28+F11+F57</f>
        <v>266859</v>
      </c>
      <c r="G62" s="440">
        <f>G50+G48+G44+G38+G36+G30+G18+G13+G4+G46+G26+G42+G9+G40+G28+G11+G57</f>
        <v>254407</v>
      </c>
      <c r="H62" s="331">
        <f>(F62-G62)/G62</f>
        <v>4.8945194118086371E-2</v>
      </c>
      <c r="I62" s="355">
        <f>+H62/H62</f>
        <v>1</v>
      </c>
      <c r="K62" s="169" t="s">
        <v>133</v>
      </c>
      <c r="L62" s="330">
        <f>L50+L48+L44+L38+L36+L30+L18+L13+L4+L46+L26+L42+L9+L40+L28+L11+L57</f>
        <v>2686006</v>
      </c>
      <c r="M62" s="440">
        <f>M50+M48+M44+M38+M36+M30+M18+M13+M4+M46+M26+M42+M9+M40+M28+M11+M57</f>
        <v>2448916</v>
      </c>
      <c r="N62" s="331">
        <f>(L62-M62)/M62</f>
        <v>9.6814263943720405E-2</v>
      </c>
      <c r="O62" s="330">
        <f>O50+O48+O44+O38+O36+O30+O18+O13+O4+O46+O26+O42+O9+O40+O28+O11+O57</f>
        <v>31087118</v>
      </c>
      <c r="P62" s="440">
        <f>P50+P48+P44+P38+P36+P30+P18+P13+P4+P46+P26+P42+P9+P40+P28+P11+P57</f>
        <v>27923758</v>
      </c>
      <c r="Q62" s="397">
        <f>(O62-P62)/P62</f>
        <v>0.11328561148538818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7650514.2000000002</v>
      </c>
      <c r="V62" s="440">
        <f>V50+V48+V44+V38+V36+V30+V18+V13+V4+V46+V26+V42+V9+V40+V28+V11+V57</f>
        <v>8201167</v>
      </c>
      <c r="W62" s="331">
        <f>(U62-V62)/V62</f>
        <v>-6.7143224860559458E-2</v>
      </c>
      <c r="X62" s="330">
        <f>X50+X48+X44+X38+X36+X30+X18+X13+X4+X46+X26+X42+X9+X40+X28+X11+X57</f>
        <v>78175081.400000006</v>
      </c>
      <c r="Y62" s="440">
        <f>Y50+Y48+Y44+Y38+Y36+Y30+Y18+Y13+Y4+Y46+Y26+Y42+Y9+Y40+Y28+Y11+Y57</f>
        <v>92492376</v>
      </c>
      <c r="Z62" s="397">
        <f>(X62-Y62)/Y62</f>
        <v>-0.15479432164225077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November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2024-01-24T20:54:06Z</dcterms:modified>
</cp:coreProperties>
</file>