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C746BD28-9234-4451-8600-708DF5CA0623}" xr6:coauthVersionLast="47" xr6:coauthVersionMax="47" xr10:uidLastSave="{00000000-0000-0000-0000-000000000000}"/>
  <bookViews>
    <workbookView xWindow="28965" yWindow="645" windowWidth="28305" windowHeight="1476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Activity'!$A$1:$AJ$65</definedName>
    <definedName name="_xlnm.Print_Area" localSheetId="2">'Other Major Airline Stats'!$A$2:$K$49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64" i="9" l="1"/>
  <c r="AH62" i="9" s="1"/>
  <c r="AG64" i="9"/>
  <c r="AH63" i="9"/>
  <c r="AG63" i="9"/>
  <c r="AG62" i="9"/>
  <c r="AE64" i="9"/>
  <c r="AD64" i="9"/>
  <c r="AD62" i="9" s="1"/>
  <c r="AE63" i="9"/>
  <c r="AE62" i="9" s="1"/>
  <c r="AD63" i="9"/>
  <c r="Y64" i="9"/>
  <c r="X64" i="9"/>
  <c r="Y63" i="9"/>
  <c r="Y62" i="9" s="1"/>
  <c r="X63" i="9"/>
  <c r="X62" i="9" s="1"/>
  <c r="V64" i="9"/>
  <c r="V62" i="9" s="1"/>
  <c r="U64" i="9"/>
  <c r="U62" i="9" s="1"/>
  <c r="V63" i="9"/>
  <c r="U63" i="9"/>
  <c r="P64" i="9"/>
  <c r="O64" i="9"/>
  <c r="P63" i="9"/>
  <c r="O63" i="9"/>
  <c r="P62" i="9"/>
  <c r="O62" i="9"/>
  <c r="M64" i="9"/>
  <c r="L64" i="9"/>
  <c r="M63" i="9"/>
  <c r="L63" i="9"/>
  <c r="L62" i="9" s="1"/>
  <c r="M62" i="9"/>
  <c r="G64" i="9"/>
  <c r="G62" i="9" s="1"/>
  <c r="F64" i="9"/>
  <c r="F62" i="9" s="1"/>
  <c r="G63" i="9"/>
  <c r="F63" i="9"/>
  <c r="D63" i="9"/>
  <c r="D64" i="9"/>
  <c r="D62" i="9" s="1"/>
  <c r="C64" i="9"/>
  <c r="AH11" i="9"/>
  <c r="AG11" i="9"/>
  <c r="AE11" i="9"/>
  <c r="AD11" i="9"/>
  <c r="AF11" i="9" s="1"/>
  <c r="Y11" i="9"/>
  <c r="X11" i="9"/>
  <c r="AA11" i="9" s="1"/>
  <c r="V11" i="9"/>
  <c r="U11" i="9"/>
  <c r="P11" i="9"/>
  <c r="O11" i="9"/>
  <c r="M11" i="9"/>
  <c r="L11" i="9"/>
  <c r="G11" i="9"/>
  <c r="F11" i="9"/>
  <c r="D11" i="9"/>
  <c r="C11" i="9"/>
  <c r="AI11" i="9"/>
  <c r="Z11" i="9"/>
  <c r="W11" i="9"/>
  <c r="N11" i="9"/>
  <c r="E11" i="9"/>
  <c r="R11" i="9" l="1"/>
  <c r="I11" i="9"/>
  <c r="AJ11" i="9"/>
  <c r="Q11" i="9"/>
  <c r="H11" i="9"/>
  <c r="AH59" i="9" l="1"/>
  <c r="AE59" i="9"/>
  <c r="Y59" i="9"/>
  <c r="V59" i="9"/>
  <c r="P59" i="9"/>
  <c r="M59" i="9"/>
  <c r="G59" i="9"/>
  <c r="D59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4" i="9"/>
  <c r="AE54" i="9"/>
  <c r="Y54" i="9"/>
  <c r="V54" i="9"/>
  <c r="P54" i="9"/>
  <c r="M54" i="9"/>
  <c r="G54" i="9"/>
  <c r="D54" i="9"/>
  <c r="AH53" i="9"/>
  <c r="AE53" i="9"/>
  <c r="Y53" i="9"/>
  <c r="V53" i="9"/>
  <c r="P53" i="9"/>
  <c r="M53" i="9"/>
  <c r="G53" i="9"/>
  <c r="D53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59" i="9"/>
  <c r="AD59" i="9"/>
  <c r="X59" i="9"/>
  <c r="U59" i="9"/>
  <c r="O59" i="9"/>
  <c r="L59" i="9"/>
  <c r="F59" i="9"/>
  <c r="C59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4" i="9"/>
  <c r="AD54" i="9"/>
  <c r="X54" i="9"/>
  <c r="U54" i="9"/>
  <c r="O54" i="9"/>
  <c r="L54" i="9"/>
  <c r="F54" i="9"/>
  <c r="C54" i="9"/>
  <c r="AG53" i="9"/>
  <c r="AD53" i="9"/>
  <c r="X53" i="9"/>
  <c r="U53" i="9"/>
  <c r="O53" i="9"/>
  <c r="L53" i="9"/>
  <c r="F53" i="9"/>
  <c r="C53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24" i="7"/>
  <c r="J24" i="7"/>
  <c r="E24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C21" i="1"/>
  <c r="B21" i="1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O23" i="7" l="1"/>
  <c r="M22" i="7"/>
  <c r="L22" i="7"/>
  <c r="J23" i="7"/>
  <c r="E23" i="7"/>
  <c r="C22" i="7"/>
  <c r="B22" i="7"/>
  <c r="D22" i="7" l="1"/>
  <c r="N22" i="7"/>
  <c r="B21" i="7"/>
  <c r="C21" i="7"/>
  <c r="G21" i="7"/>
  <c r="H21" i="7"/>
  <c r="M21" i="7"/>
  <c r="L21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6" i="9"/>
  <c r="AF50" i="9"/>
  <c r="AF54" i="9"/>
  <c r="AF56" i="9"/>
  <c r="AF59" i="9"/>
  <c r="AH20" i="9"/>
  <c r="AF18" i="9"/>
  <c r="AF26" i="9"/>
  <c r="AF55" i="9"/>
  <c r="AI44" i="9"/>
  <c r="AI5" i="9"/>
  <c r="AI21" i="9"/>
  <c r="AI56" i="9"/>
  <c r="AH4" i="9"/>
  <c r="AI6" i="9"/>
  <c r="AE4" i="9"/>
  <c r="AE20" i="9"/>
  <c r="AE32" i="9"/>
  <c r="AI55" i="9"/>
  <c r="AI28" i="9"/>
  <c r="AF6" i="9"/>
  <c r="AF9" i="9"/>
  <c r="AF16" i="9"/>
  <c r="AF22" i="9"/>
  <c r="AF24" i="9"/>
  <c r="AF30" i="9"/>
  <c r="AF34" i="9"/>
  <c r="AF40" i="9"/>
  <c r="AF44" i="9"/>
  <c r="AF48" i="9"/>
  <c r="AF57" i="9"/>
  <c r="AI35" i="9"/>
  <c r="AI42" i="9"/>
  <c r="AF53" i="9"/>
  <c r="AI59" i="9"/>
  <c r="AI57" i="9"/>
  <c r="AH15" i="9"/>
  <c r="AH32" i="9"/>
  <c r="AH52" i="9"/>
  <c r="AI13" i="9"/>
  <c r="AI46" i="9"/>
  <c r="AD4" i="9"/>
  <c r="AD15" i="9"/>
  <c r="AD52" i="9"/>
  <c r="AI23" i="9"/>
  <c r="AG32" i="9"/>
  <c r="AI34" i="9"/>
  <c r="AI48" i="9"/>
  <c r="AI50" i="9"/>
  <c r="AI9" i="9"/>
  <c r="AG20" i="9"/>
  <c r="AI7" i="9"/>
  <c r="AG4" i="9"/>
  <c r="AF36" i="9"/>
  <c r="AE52" i="9"/>
  <c r="AG15" i="9"/>
  <c r="AI17" i="9"/>
  <c r="AI26" i="9"/>
  <c r="AD32" i="9"/>
  <c r="AI38" i="9"/>
  <c r="AG52" i="9"/>
  <c r="AI54" i="9"/>
  <c r="AI16" i="9"/>
  <c r="AD20" i="9"/>
  <c r="AI25" i="9"/>
  <c r="AI36" i="9"/>
  <c r="AI53" i="9"/>
  <c r="AJ52" i="9" l="1"/>
  <c r="H22" i="1"/>
  <c r="AF15" i="9"/>
  <c r="AF32" i="9"/>
  <c r="AF4" i="9"/>
  <c r="AF20" i="9"/>
  <c r="AF63" i="9"/>
  <c r="AI15" i="9"/>
  <c r="AI63" i="9"/>
  <c r="AF52" i="9"/>
  <c r="AI32" i="9"/>
  <c r="AI52" i="9"/>
  <c r="AI4" i="9"/>
  <c r="AI20" i="9"/>
  <c r="AJ63" i="9" l="1"/>
  <c r="AJ4" i="9"/>
  <c r="AJ15" i="9"/>
  <c r="AJ20" i="9"/>
  <c r="AJ26" i="9"/>
  <c r="AJ5" i="9"/>
  <c r="AJ6" i="9"/>
  <c r="AJ50" i="9"/>
  <c r="AJ13" i="9"/>
  <c r="AJ21" i="9"/>
  <c r="AJ22" i="9"/>
  <c r="AJ9" i="9"/>
  <c r="AJ25" i="9"/>
  <c r="AJ30" i="9"/>
  <c r="AJ48" i="9"/>
  <c r="AJ56" i="9"/>
  <c r="AJ17" i="9"/>
  <c r="AJ35" i="9"/>
  <c r="AJ28" i="9"/>
  <c r="AJ18" i="9"/>
  <c r="AJ33" i="9"/>
  <c r="AJ34" i="9"/>
  <c r="AJ24" i="9"/>
  <c r="AJ38" i="9"/>
  <c r="AJ54" i="9"/>
  <c r="AJ59" i="9"/>
  <c r="AJ40" i="9"/>
  <c r="AJ23" i="9"/>
  <c r="AJ55" i="9"/>
  <c r="AJ44" i="9"/>
  <c r="AJ46" i="9"/>
  <c r="AJ42" i="9"/>
  <c r="AJ36" i="9"/>
  <c r="AJ57" i="9"/>
  <c r="AJ7" i="9"/>
  <c r="AJ53" i="9"/>
  <c r="AJ16" i="9"/>
  <c r="AJ32" i="9"/>
  <c r="AF64" i="9"/>
  <c r="AF62" i="9"/>
  <c r="AI64" i="9"/>
  <c r="AJ64" i="9" s="1"/>
  <c r="AJ62" i="9" l="1"/>
  <c r="AI62" i="9"/>
  <c r="H6" i="7" l="1"/>
  <c r="H5" i="7"/>
  <c r="L5" i="15"/>
  <c r="W59" i="9"/>
  <c r="N59" i="9"/>
  <c r="Q59" i="9"/>
  <c r="Z59" i="9"/>
  <c r="F12" i="7"/>
  <c r="F7" i="7"/>
  <c r="E59" i="9"/>
  <c r="H59" i="9"/>
  <c r="K16" i="3" l="1"/>
  <c r="K17" i="3"/>
  <c r="K20" i="3"/>
  <c r="C63" i="9"/>
  <c r="E63" i="9" l="1"/>
  <c r="G9" i="17"/>
  <c r="N57" i="9" l="1"/>
  <c r="N55" i="9"/>
  <c r="W54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L38" i="16"/>
  <c r="D38" i="16"/>
  <c r="G32" i="9" l="1"/>
  <c r="Q13" i="9"/>
  <c r="Z55" i="9"/>
  <c r="Q55" i="9"/>
  <c r="N5" i="9"/>
  <c r="N13" i="9"/>
  <c r="E16" i="9"/>
  <c r="L4" i="9"/>
  <c r="H6" i="9"/>
  <c r="Q23" i="9"/>
  <c r="Z50" i="9"/>
  <c r="P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K38" i="16"/>
  <c r="W6" i="9"/>
  <c r="D15" i="9"/>
  <c r="N25" i="9"/>
  <c r="W38" i="9"/>
  <c r="N40" i="9"/>
  <c r="E42" i="9"/>
  <c r="W46" i="9"/>
  <c r="E55" i="9"/>
  <c r="W55" i="9"/>
  <c r="Z48" i="9"/>
  <c r="E6" i="9"/>
  <c r="X4" i="9"/>
  <c r="V4" i="9"/>
  <c r="E9" i="9"/>
  <c r="N30" i="9"/>
  <c r="Z57" i="9"/>
  <c r="Q48" i="9"/>
  <c r="O38" i="16"/>
  <c r="D4" i="9"/>
  <c r="N46" i="9"/>
  <c r="H50" i="9"/>
  <c r="N54" i="9"/>
  <c r="G38" i="16"/>
  <c r="Z16" i="9"/>
  <c r="N17" i="9"/>
  <c r="W18" i="9"/>
  <c r="P20" i="9"/>
  <c r="N34" i="9"/>
  <c r="H44" i="9"/>
  <c r="N50" i="9"/>
  <c r="E53" i="9"/>
  <c r="N38" i="16"/>
  <c r="M20" i="9"/>
  <c r="J38" i="16"/>
  <c r="Q50" i="9"/>
  <c r="V52" i="9"/>
  <c r="F38" i="16"/>
  <c r="F20" i="9"/>
  <c r="Q35" i="9"/>
  <c r="G52" i="9"/>
  <c r="Y52" i="9"/>
  <c r="G4" i="9"/>
  <c r="L52" i="9"/>
  <c r="W17" i="9"/>
  <c r="N18" i="9"/>
  <c r="W34" i="9"/>
  <c r="Q44" i="9"/>
  <c r="H46" i="9"/>
  <c r="E50" i="9"/>
  <c r="H56" i="9"/>
  <c r="E38" i="16"/>
  <c r="M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48" i="9"/>
  <c r="N53" i="9"/>
  <c r="E56" i="9"/>
  <c r="W56" i="9"/>
  <c r="W9" i="9"/>
  <c r="Z13" i="9"/>
  <c r="W16" i="9"/>
  <c r="E24" i="9"/>
  <c r="P32" i="9"/>
  <c r="Z38" i="9"/>
  <c r="N44" i="9"/>
  <c r="E46" i="9"/>
  <c r="Y4" i="9"/>
  <c r="C20" i="9"/>
  <c r="E28" i="9"/>
  <c r="W28" i="9"/>
  <c r="M32" i="9"/>
  <c r="H35" i="9"/>
  <c r="W36" i="9"/>
  <c r="N38" i="9"/>
  <c r="N48" i="9"/>
  <c r="Q53" i="9"/>
  <c r="U52" i="9"/>
  <c r="Z56" i="9"/>
  <c r="U4" i="9"/>
  <c r="P52" i="9"/>
  <c r="I38" i="16"/>
  <c r="Q36" i="16"/>
  <c r="G15" i="9"/>
  <c r="Y15" i="9"/>
  <c r="H21" i="9"/>
  <c r="E23" i="9"/>
  <c r="H28" i="9"/>
  <c r="N35" i="9"/>
  <c r="Z36" i="9"/>
  <c r="W40" i="9"/>
  <c r="N42" i="9"/>
  <c r="E44" i="9"/>
  <c r="W53" i="9"/>
  <c r="N56" i="9"/>
  <c r="Q35" i="16"/>
  <c r="P4" i="9"/>
  <c r="E13" i="9"/>
  <c r="U15" i="9"/>
  <c r="N16" i="9"/>
  <c r="Q17" i="9"/>
  <c r="W23" i="9"/>
  <c r="C32" i="9"/>
  <c r="Q34" i="9"/>
  <c r="W44" i="9"/>
  <c r="W50" i="9"/>
  <c r="H55" i="9"/>
  <c r="D52" i="9"/>
  <c r="W57" i="9"/>
  <c r="N21" i="9"/>
  <c r="W25" i="9"/>
  <c r="N28" i="9"/>
  <c r="D32" i="9"/>
  <c r="E34" i="9"/>
  <c r="E38" i="9"/>
  <c r="Q42" i="9"/>
  <c r="E48" i="9"/>
  <c r="W48" i="9"/>
  <c r="E54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2" i="9"/>
  <c r="M52" i="9"/>
  <c r="Z53" i="9"/>
  <c r="E57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6" i="9"/>
  <c r="O52" i="9"/>
  <c r="H53" i="9"/>
  <c r="Z54" i="9"/>
  <c r="Q57" i="9"/>
  <c r="X52" i="9"/>
  <c r="Q7" i="9"/>
  <c r="H9" i="9"/>
  <c r="F15" i="9"/>
  <c r="Q18" i="9"/>
  <c r="E21" i="9"/>
  <c r="H22" i="9"/>
  <c r="Z24" i="9"/>
  <c r="Q26" i="9"/>
  <c r="H30" i="9"/>
  <c r="Z33" i="9"/>
  <c r="H36" i="9"/>
  <c r="Z40" i="9"/>
  <c r="Q46" i="9"/>
  <c r="F52" i="9"/>
  <c r="Q54" i="9"/>
  <c r="H57" i="9"/>
  <c r="H7" i="9"/>
  <c r="H18" i="9"/>
  <c r="Q24" i="9"/>
  <c r="H26" i="9"/>
  <c r="X32" i="9"/>
  <c r="Q33" i="9"/>
  <c r="Q40" i="9"/>
  <c r="H54" i="9"/>
  <c r="Z6" i="9"/>
  <c r="Z17" i="9"/>
  <c r="Q21" i="9"/>
  <c r="H24" i="9"/>
  <c r="Q28" i="9"/>
  <c r="O32" i="9"/>
  <c r="H33" i="9"/>
  <c r="Z34" i="9"/>
  <c r="H40" i="9"/>
  <c r="Z44" i="9"/>
  <c r="Q56" i="9"/>
  <c r="O20" i="9"/>
  <c r="F32" i="9"/>
  <c r="B38" i="16"/>
  <c r="C62" i="9" l="1"/>
  <c r="AA5" i="9"/>
  <c r="W4" i="9"/>
  <c r="W15" i="9"/>
  <c r="N32" i="9"/>
  <c r="N4" i="9"/>
  <c r="Z15" i="9"/>
  <c r="E4" i="9"/>
  <c r="Z4" i="9"/>
  <c r="N20" i="9"/>
  <c r="E15" i="9"/>
  <c r="E32" i="9"/>
  <c r="E20" i="9"/>
  <c r="W52" i="9"/>
  <c r="N52" i="9"/>
  <c r="W63" i="9"/>
  <c r="Q38" i="16"/>
  <c r="N63" i="9"/>
  <c r="W20" i="9"/>
  <c r="Q63" i="9"/>
  <c r="H20" i="9"/>
  <c r="Z52" i="9"/>
  <c r="Q52" i="9"/>
  <c r="Q4" i="9"/>
  <c r="H52" i="9"/>
  <c r="Z63" i="9"/>
  <c r="Q32" i="9"/>
  <c r="E52" i="9"/>
  <c r="Z20" i="9"/>
  <c r="Z32" i="9"/>
  <c r="H32" i="9"/>
  <c r="Q15" i="9"/>
  <c r="H63" i="9"/>
  <c r="Q20" i="9"/>
  <c r="H4" i="9"/>
  <c r="H15" i="9"/>
  <c r="W32" i="9"/>
  <c r="E62" i="9" l="1"/>
  <c r="E64" i="9"/>
  <c r="Z64" i="9"/>
  <c r="AA64" i="9" s="1"/>
  <c r="W64" i="9"/>
  <c r="AA63" i="9"/>
  <c r="AA59" i="9"/>
  <c r="I52" i="9"/>
  <c r="I59" i="9"/>
  <c r="R4" i="9"/>
  <c r="R59" i="9"/>
  <c r="R32" i="9"/>
  <c r="R52" i="9"/>
  <c r="R15" i="9"/>
  <c r="R20" i="9"/>
  <c r="R63" i="9"/>
  <c r="AA56" i="9"/>
  <c r="AA28" i="9"/>
  <c r="AA53" i="9"/>
  <c r="AA42" i="9"/>
  <c r="AA25" i="9"/>
  <c r="AA16" i="9"/>
  <c r="AA55" i="9"/>
  <c r="AA48" i="9"/>
  <c r="AA35" i="9"/>
  <c r="AA50" i="9"/>
  <c r="AA38" i="9"/>
  <c r="AA23" i="9"/>
  <c r="AA13" i="9"/>
  <c r="AA54" i="9"/>
  <c r="AA9" i="9"/>
  <c r="AA40" i="9"/>
  <c r="AA18" i="9"/>
  <c r="AA21" i="9"/>
  <c r="AA7" i="9"/>
  <c r="AA4" i="9"/>
  <c r="AA22" i="9"/>
  <c r="AA34" i="9"/>
  <c r="AA33" i="9"/>
  <c r="AA26" i="9"/>
  <c r="AA17" i="9"/>
  <c r="AA46" i="9"/>
  <c r="AA44" i="9"/>
  <c r="AA57" i="9"/>
  <c r="AA6" i="9"/>
  <c r="AA24" i="9"/>
  <c r="AA15" i="9"/>
  <c r="AA36" i="9"/>
  <c r="AA20" i="9"/>
  <c r="I4" i="9"/>
  <c r="AA52" i="9"/>
  <c r="I46" i="9"/>
  <c r="I50" i="9"/>
  <c r="I13" i="9"/>
  <c r="I5" i="9"/>
  <c r="I23" i="9"/>
  <c r="I38" i="9"/>
  <c r="I44" i="9"/>
  <c r="I34" i="9"/>
  <c r="H64" i="9"/>
  <c r="I64" i="9" s="1"/>
  <c r="I56" i="9"/>
  <c r="I28" i="9"/>
  <c r="I21" i="9"/>
  <c r="I33" i="9"/>
  <c r="I57" i="9"/>
  <c r="I9" i="9"/>
  <c r="I53" i="9"/>
  <c r="I54" i="9"/>
  <c r="I36" i="9"/>
  <c r="I55" i="9"/>
  <c r="I48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2" i="9"/>
  <c r="AA32" i="9"/>
  <c r="I63" i="9"/>
  <c r="Q64" i="9"/>
  <c r="R64" i="9" s="1"/>
  <c r="R48" i="9"/>
  <c r="R35" i="9"/>
  <c r="R55" i="9"/>
  <c r="R49" i="9"/>
  <c r="R50" i="9"/>
  <c r="R38" i="9"/>
  <c r="R23" i="9"/>
  <c r="R44" i="9"/>
  <c r="R34" i="9"/>
  <c r="R17" i="9"/>
  <c r="R6" i="9"/>
  <c r="R33" i="9"/>
  <c r="R30" i="9"/>
  <c r="R16" i="9"/>
  <c r="R46" i="9"/>
  <c r="R42" i="9"/>
  <c r="R21" i="9"/>
  <c r="R25" i="9"/>
  <c r="R22" i="9"/>
  <c r="R13" i="9"/>
  <c r="R5" i="9"/>
  <c r="R18" i="9"/>
  <c r="R57" i="9"/>
  <c r="R24" i="9"/>
  <c r="R53" i="9"/>
  <c r="R56" i="9"/>
  <c r="R28" i="9"/>
  <c r="R36" i="9"/>
  <c r="R7" i="9"/>
  <c r="R54" i="9"/>
  <c r="R9" i="9"/>
  <c r="R40" i="9"/>
  <c r="R26" i="9"/>
  <c r="N64" i="9"/>
  <c r="N62" i="9" l="1"/>
  <c r="I62" i="9"/>
  <c r="H62" i="9"/>
  <c r="R62" i="9"/>
  <c r="Q62" i="9"/>
  <c r="AA62" i="9"/>
  <c r="Z62" i="9"/>
  <c r="AA30" i="9"/>
  <c r="H16" i="17" l="1"/>
  <c r="N16" i="17"/>
  <c r="E16" i="17"/>
  <c r="Q16" i="17"/>
  <c r="Q10" i="16" l="1"/>
  <c r="Q9" i="16"/>
  <c r="Q4" i="16"/>
  <c r="B24" i="7" s="1"/>
  <c r="Q5" i="16"/>
  <c r="H23" i="8"/>
  <c r="H6" i="8"/>
  <c r="H12" i="8" s="1"/>
  <c r="H10" i="8"/>
  <c r="C24" i="7" l="1"/>
  <c r="H18" i="8"/>
  <c r="H31" i="8"/>
  <c r="H32" i="8"/>
  <c r="H28" i="8"/>
  <c r="D24" i="7" l="1"/>
  <c r="D21" i="7"/>
  <c r="H33" i="8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C7" i="1"/>
  <c r="K11" i="3"/>
  <c r="J10" i="2" s="1"/>
  <c r="K10" i="2" s="1"/>
  <c r="H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K4" i="2" s="1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G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F24" i="7"/>
  <c r="B21" i="4"/>
  <c r="F20" i="1"/>
  <c r="K7" i="3"/>
  <c r="F21" i="1"/>
  <c r="K12" i="3"/>
  <c r="J6" i="2"/>
  <c r="B5" i="5"/>
  <c r="B11" i="5"/>
  <c r="B5" i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J17" i="2"/>
  <c r="K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H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L20" i="4"/>
  <c r="M20" i="4" s="1"/>
  <c r="H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C16" i="1"/>
  <c r="C42" i="4"/>
  <c r="K43" i="3"/>
  <c r="D16" i="1" l="1"/>
  <c r="C22" i="1"/>
  <c r="L21" i="15"/>
  <c r="F22" i="7"/>
  <c r="F32" i="7"/>
  <c r="F30" i="7"/>
  <c r="F29" i="7"/>
  <c r="F28" i="7"/>
  <c r="F27" i="7"/>
  <c r="F26" i="7"/>
  <c r="F25" i="7"/>
  <c r="B6" i="5"/>
  <c r="B7" i="5" s="1"/>
  <c r="B28" i="1"/>
  <c r="B10" i="5"/>
  <c r="B12" i="5" s="1"/>
  <c r="C27" i="1"/>
  <c r="B27" i="1"/>
  <c r="K6" i="2"/>
  <c r="D5" i="1" s="1"/>
  <c r="B8" i="1"/>
  <c r="D6" i="1"/>
  <c r="C8" i="1"/>
  <c r="C11" i="1" s="1"/>
  <c r="B10" i="1"/>
  <c r="F19" i="1"/>
  <c r="J45" i="2"/>
  <c r="K45" i="2" s="1"/>
  <c r="K45" i="3"/>
  <c r="J23" i="2"/>
  <c r="K23" i="2" s="1"/>
  <c r="L42" i="4"/>
  <c r="M42" i="4" s="1"/>
  <c r="L42" i="15"/>
  <c r="B17" i="1"/>
  <c r="D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C7" i="5"/>
  <c r="E5" i="5"/>
  <c r="F5" i="5" s="1"/>
  <c r="M24" i="7" l="1"/>
  <c r="B11" i="1"/>
  <c r="L24" i="7" s="1"/>
  <c r="D27" i="1"/>
  <c r="D22" i="1"/>
  <c r="B22" i="1"/>
  <c r="F21" i="7"/>
  <c r="C33" i="1"/>
  <c r="B32" i="1"/>
  <c r="D32" i="1" s="1"/>
  <c r="B20" i="5"/>
  <c r="E20" i="5" s="1"/>
  <c r="D10" i="1"/>
  <c r="E6" i="5"/>
  <c r="F6" i="5" s="1"/>
  <c r="E10" i="5"/>
  <c r="F10" i="5" s="1"/>
  <c r="B21" i="5"/>
  <c r="F5" i="1"/>
  <c r="D8" i="1"/>
  <c r="F8" i="1" s="1"/>
  <c r="F6" i="1"/>
  <c r="G22" i="7"/>
  <c r="D28" i="1"/>
  <c r="B29" i="1"/>
  <c r="C12" i="5"/>
  <c r="C21" i="5"/>
  <c r="E11" i="5"/>
  <c r="F11" i="5" s="1"/>
  <c r="C29" i="1"/>
  <c r="F16" i="1"/>
  <c r="D22" i="5"/>
  <c r="F15" i="5"/>
  <c r="E17" i="5"/>
  <c r="F17" i="1"/>
  <c r="H24" i="7" l="1"/>
  <c r="N24" i="7"/>
  <c r="P24" i="7" s="1"/>
  <c r="G24" i="7"/>
  <c r="D11" i="1"/>
  <c r="F11" i="1" s="1"/>
  <c r="F22" i="1"/>
  <c r="H22" i="7"/>
  <c r="I22" i="7" s="1"/>
  <c r="N21" i="7"/>
  <c r="P29" i="7"/>
  <c r="P27" i="7"/>
  <c r="P31" i="7"/>
  <c r="B22" i="5"/>
  <c r="C32" i="1"/>
  <c r="H6" i="5"/>
  <c r="F28" i="1"/>
  <c r="F10" i="1"/>
  <c r="E7" i="5"/>
  <c r="E21" i="5"/>
  <c r="F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F12" i="5"/>
  <c r="H12" i="5" s="1"/>
  <c r="H10" i="5"/>
  <c r="I24" i="7" l="1"/>
  <c r="K24" i="7" s="1"/>
  <c r="I21" i="7"/>
  <c r="P32" i="7"/>
  <c r="K31" i="7"/>
  <c r="K30" i="7"/>
  <c r="K29" i="7"/>
  <c r="K28" i="7"/>
  <c r="K27" i="7"/>
  <c r="K26" i="7"/>
  <c r="P26" i="7"/>
  <c r="K25" i="7"/>
  <c r="P25" i="7"/>
  <c r="K22" i="7"/>
  <c r="P30" i="7"/>
  <c r="P28" i="7"/>
  <c r="P22" i="7"/>
  <c r="H21" i="5"/>
  <c r="E22" i="5"/>
  <c r="F22" i="5"/>
  <c r="H22" i="5" s="1"/>
  <c r="H20" i="5"/>
  <c r="K32" i="7" l="1"/>
  <c r="P21" i="7" l="1"/>
  <c r="K21" i="7" l="1"/>
  <c r="B23" i="7" l="1"/>
  <c r="B33" i="7" s="1"/>
  <c r="C23" i="7"/>
  <c r="D23" i="7" l="1"/>
  <c r="C33" i="7"/>
  <c r="D33" i="7" l="1"/>
  <c r="F23" i="7"/>
  <c r="F33" i="7" l="1"/>
  <c r="G20" i="1"/>
  <c r="G21" i="1"/>
  <c r="I20" i="1" l="1"/>
  <c r="I21" i="1"/>
  <c r="G7" i="1"/>
  <c r="G18" i="1"/>
  <c r="G19" i="1"/>
  <c r="I16" i="5"/>
  <c r="I19" i="1" l="1"/>
  <c r="I7" i="1"/>
  <c r="I18" i="1"/>
  <c r="G16" i="1"/>
  <c r="G5" i="1"/>
  <c r="G6" i="1"/>
  <c r="G17" i="1"/>
  <c r="I5" i="5"/>
  <c r="I17" i="1" l="1"/>
  <c r="I6" i="1"/>
  <c r="I5" i="1"/>
  <c r="G8" i="1"/>
  <c r="K5" i="5"/>
  <c r="I16" i="1"/>
  <c r="G22" i="1"/>
  <c r="I22" i="1" s="1"/>
  <c r="M23" i="7"/>
  <c r="L23" i="7"/>
  <c r="G27" i="1"/>
  <c r="G10" i="1"/>
  <c r="I6" i="5"/>
  <c r="I10" i="5"/>
  <c r="G28" i="1"/>
  <c r="I11" i="5"/>
  <c r="I15" i="5"/>
  <c r="K6" i="5" l="1"/>
  <c r="K11" i="5"/>
  <c r="I28" i="1"/>
  <c r="I10" i="1"/>
  <c r="I7" i="5"/>
  <c r="K7" i="5" s="1"/>
  <c r="I17" i="5"/>
  <c r="K17" i="5" s="1"/>
  <c r="K15" i="5"/>
  <c r="G29" i="1"/>
  <c r="I29" i="1" s="1"/>
  <c r="I27" i="1"/>
  <c r="I12" i="5"/>
  <c r="K12" i="5" s="1"/>
  <c r="K10" i="5"/>
  <c r="N23" i="7"/>
  <c r="G23" i="7"/>
  <c r="L33" i="7"/>
  <c r="H23" i="7"/>
  <c r="H33" i="7" s="1"/>
  <c r="M33" i="7"/>
  <c r="D34" i="1"/>
  <c r="E33" i="1" s="1"/>
  <c r="G11" i="1"/>
  <c r="I11" i="1" s="1"/>
  <c r="I8" i="1"/>
  <c r="I21" i="5"/>
  <c r="I20" i="5"/>
  <c r="K21" i="5" l="1"/>
  <c r="I23" i="7"/>
  <c r="G33" i="7"/>
  <c r="P23" i="7"/>
  <c r="N33" i="7"/>
  <c r="P33" i="7" s="1"/>
  <c r="I22" i="5"/>
  <c r="K22" i="5" s="1"/>
  <c r="K20" i="5"/>
  <c r="E32" i="1"/>
  <c r="K23" i="7" l="1"/>
  <c r="I33" i="7"/>
  <c r="K33" i="7" l="1"/>
</calcChain>
</file>

<file path=xl/sharedStrings.xml><?xml version="1.0" encoding="utf-8"?>
<sst xmlns="http://schemas.openxmlformats.org/spreadsheetml/2006/main" count="729" uniqueCount="252">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</sst>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2378712</v>
          </cell>
          <cell r="G5">
            <v>8905261</v>
          </cell>
        </row>
        <row r="6">
          <cell r="D6">
            <v>325630</v>
          </cell>
          <cell r="G6">
            <v>1258141</v>
          </cell>
        </row>
        <row r="7">
          <cell r="D7">
            <v>0</v>
          </cell>
          <cell r="G7">
            <v>728</v>
          </cell>
        </row>
        <row r="10">
          <cell r="D10">
            <v>77763</v>
          </cell>
          <cell r="G10">
            <v>307098</v>
          </cell>
        </row>
        <row r="16">
          <cell r="D16">
            <v>17312</v>
          </cell>
          <cell r="G16">
            <v>65846</v>
          </cell>
        </row>
        <row r="17">
          <cell r="D17">
            <v>6106</v>
          </cell>
          <cell r="G17">
            <v>24343</v>
          </cell>
        </row>
        <row r="18">
          <cell r="D18">
            <v>0</v>
          </cell>
          <cell r="G18">
            <v>13</v>
          </cell>
        </row>
        <row r="19">
          <cell r="D19">
            <v>1122</v>
          </cell>
          <cell r="G19">
            <v>4636</v>
          </cell>
        </row>
        <row r="20">
          <cell r="D20">
            <v>1414</v>
          </cell>
          <cell r="G20">
            <v>5220</v>
          </cell>
        </row>
        <row r="21">
          <cell r="D21">
            <v>31</v>
          </cell>
          <cell r="G21">
            <v>233</v>
          </cell>
        </row>
        <row r="27">
          <cell r="D27">
            <v>15523.322114558025</v>
          </cell>
          <cell r="G27">
            <v>62053.336359797169</v>
          </cell>
        </row>
        <row r="28">
          <cell r="D28">
            <v>1030.92065620467</v>
          </cell>
          <cell r="G28">
            <v>5067.8337821965706</v>
          </cell>
        </row>
        <row r="32">
          <cell r="B32">
            <v>887041</v>
          </cell>
          <cell r="D32">
            <v>3625117</v>
          </cell>
        </row>
        <row r="33">
          <cell r="B33">
            <v>416852</v>
          </cell>
          <cell r="D33">
            <v>1444783</v>
          </cell>
        </row>
      </sheetData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>
        <row r="5">
          <cell r="F5">
            <v>8506.8642651741975</v>
          </cell>
          <cell r="I5">
            <v>33683.187618626238</v>
          </cell>
        </row>
        <row r="6">
          <cell r="F6">
            <v>515.67328972004998</v>
          </cell>
          <cell r="I6">
            <v>2572.8720842224402</v>
          </cell>
        </row>
        <row r="10">
          <cell r="F10">
            <v>7016.457849383828</v>
          </cell>
          <cell r="I10">
            <v>28370.148741170924</v>
          </cell>
        </row>
        <row r="11">
          <cell r="F11">
            <v>515.24736648461999</v>
          </cell>
          <cell r="I11">
            <v>2494.9616979741299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15523.322114558026</v>
          </cell>
          <cell r="I20">
            <v>62053.336359797162</v>
          </cell>
        </row>
        <row r="21">
          <cell r="F21">
            <v>1030.92065620467</v>
          </cell>
          <cell r="I21">
            <v>5067.8337821965706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7058297</v>
          </cell>
        </row>
        <row r="6">
          <cell r="G6">
            <v>1073219</v>
          </cell>
        </row>
        <row r="7">
          <cell r="G7">
            <v>501</v>
          </cell>
        </row>
        <row r="10">
          <cell r="G10">
            <v>243584</v>
          </cell>
        </row>
        <row r="16">
          <cell r="G16">
            <v>51644</v>
          </cell>
        </row>
        <row r="17">
          <cell r="G17">
            <v>19346</v>
          </cell>
        </row>
        <row r="18">
          <cell r="G18">
            <v>3</v>
          </cell>
        </row>
        <row r="19">
          <cell r="G19">
            <v>3366</v>
          </cell>
        </row>
        <row r="20">
          <cell r="G20">
            <v>3690</v>
          </cell>
        </row>
        <row r="21">
          <cell r="G21">
            <v>241</v>
          </cell>
        </row>
        <row r="27">
          <cell r="G27">
            <v>46119.230789138819</v>
          </cell>
        </row>
        <row r="28">
          <cell r="G28">
            <v>933.50625163872996</v>
          </cell>
        </row>
        <row r="32">
          <cell r="D32">
            <v>2957365</v>
          </cell>
        </row>
        <row r="33">
          <cell r="D33">
            <v>1147035</v>
          </cell>
        </row>
      </sheetData>
      <sheetData sheetId="1"/>
      <sheetData sheetId="2"/>
      <sheetData sheetId="3"/>
      <sheetData sheetId="4"/>
      <sheetData sheetId="5">
        <row r="23">
          <cell r="B23">
            <v>203887</v>
          </cell>
          <cell r="C23">
            <v>201641</v>
          </cell>
          <cell r="L23">
            <v>1623259</v>
          </cell>
          <cell r="M23">
            <v>1624803</v>
          </cell>
        </row>
      </sheetData>
      <sheetData sheetId="6"/>
      <sheetData sheetId="7">
        <row r="5">
          <cell r="I5">
            <v>25767.687964827885</v>
          </cell>
        </row>
        <row r="6">
          <cell r="I6">
            <v>435.05178187624995</v>
          </cell>
        </row>
        <row r="10">
          <cell r="I10">
            <v>20351.542824310927</v>
          </cell>
        </row>
        <row r="11">
          <cell r="I11">
            <v>498.45446976248002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46119.230789138819</v>
          </cell>
        </row>
        <row r="21">
          <cell r="I21">
            <v>933.50625163872996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8">
          <cell r="IW8"/>
        </row>
        <row r="9">
          <cell r="IW9"/>
        </row>
        <row r="15">
          <cell r="IT15"/>
          <cell r="IU15"/>
          <cell r="IV15"/>
          <cell r="IW15"/>
        </row>
        <row r="16">
          <cell r="IT16"/>
          <cell r="IU16"/>
          <cell r="IV16"/>
          <cell r="IW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32">
          <cell r="IT32"/>
          <cell r="IU32"/>
          <cell r="IV32"/>
          <cell r="IW32"/>
        </row>
        <row r="33">
          <cell r="IT33"/>
          <cell r="IU33"/>
          <cell r="IV33"/>
          <cell r="IW33"/>
        </row>
        <row r="37">
          <cell r="IT37"/>
          <cell r="IU37"/>
          <cell r="IV37"/>
          <cell r="IW37"/>
        </row>
        <row r="38">
          <cell r="IT38"/>
          <cell r="IU38"/>
          <cell r="IV38"/>
          <cell r="IW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5">
        <row r="4">
          <cell r="IW4">
            <v>28</v>
          </cell>
        </row>
        <row r="5">
          <cell r="IW5">
            <v>28</v>
          </cell>
        </row>
        <row r="8">
          <cell r="IW8"/>
        </row>
        <row r="9">
          <cell r="IW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</row>
        <row r="22">
          <cell r="IW22">
            <v>2409</v>
          </cell>
        </row>
        <row r="23">
          <cell r="IW23">
            <v>4085</v>
          </cell>
        </row>
        <row r="27">
          <cell r="IW27"/>
        </row>
        <row r="28">
          <cell r="IW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6">
        <row r="4">
          <cell r="IW4"/>
        </row>
        <row r="5">
          <cell r="IW5"/>
        </row>
        <row r="8">
          <cell r="IW8"/>
        </row>
        <row r="9">
          <cell r="IW9"/>
        </row>
        <row r="15">
          <cell r="IT15"/>
          <cell r="IU15"/>
          <cell r="IV15"/>
          <cell r="IW15">
            <v>1</v>
          </cell>
        </row>
        <row r="16">
          <cell r="IT16"/>
          <cell r="IU16"/>
          <cell r="IV16"/>
          <cell r="IW16">
            <v>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</row>
        <row r="22">
          <cell r="IW22"/>
        </row>
        <row r="23">
          <cell r="IW23"/>
        </row>
        <row r="27">
          <cell r="IW27"/>
        </row>
        <row r="28">
          <cell r="IW28"/>
        </row>
        <row r="32">
          <cell r="IT32"/>
          <cell r="IU32"/>
          <cell r="IV32"/>
          <cell r="IW32">
            <v>104</v>
          </cell>
        </row>
        <row r="33">
          <cell r="IT33"/>
          <cell r="IU33"/>
          <cell r="IV33"/>
          <cell r="IW33">
            <v>156</v>
          </cell>
        </row>
        <row r="37">
          <cell r="IT37"/>
          <cell r="IU37"/>
          <cell r="IV37"/>
          <cell r="IW37">
            <v>1</v>
          </cell>
        </row>
        <row r="38">
          <cell r="IT38"/>
          <cell r="IU38"/>
          <cell r="IV38"/>
          <cell r="IW38">
            <v>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7">
        <row r="4">
          <cell r="IW4">
            <v>79</v>
          </cell>
        </row>
        <row r="5">
          <cell r="IW5">
            <v>78</v>
          </cell>
        </row>
        <row r="8">
          <cell r="IW8"/>
        </row>
        <row r="9">
          <cell r="IW9"/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</row>
        <row r="22">
          <cell r="IW22">
            <v>10453</v>
          </cell>
        </row>
        <row r="23">
          <cell r="IW23">
            <v>9274</v>
          </cell>
        </row>
        <row r="27">
          <cell r="IW27">
            <v>417</v>
          </cell>
        </row>
        <row r="28">
          <cell r="IW28">
            <v>477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</row>
        <row r="47">
          <cell r="IW47">
            <v>15934</v>
          </cell>
        </row>
        <row r="48">
          <cell r="IW48"/>
        </row>
        <row r="52">
          <cell r="IW52">
            <v>7271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</row>
      </sheetData>
      <sheetData sheetId="8"/>
      <sheetData sheetId="9">
        <row r="4">
          <cell r="IW4">
            <v>363</v>
          </cell>
        </row>
        <row r="5">
          <cell r="IW5">
            <v>360</v>
          </cell>
        </row>
        <row r="8">
          <cell r="IW8"/>
        </row>
        <row r="9">
          <cell r="IW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</row>
        <row r="22">
          <cell r="IW22">
            <v>52939</v>
          </cell>
        </row>
        <row r="23">
          <cell r="IW23">
            <v>45845</v>
          </cell>
        </row>
        <row r="27">
          <cell r="IW27">
            <v>1656</v>
          </cell>
        </row>
        <row r="28">
          <cell r="IW28">
            <v>1783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</row>
        <row r="47">
          <cell r="IW47">
            <v>21899</v>
          </cell>
        </row>
        <row r="48">
          <cell r="IW48">
            <v>309</v>
          </cell>
        </row>
        <row r="52">
          <cell r="IW52">
            <v>2895</v>
          </cell>
        </row>
        <row r="53">
          <cell r="IW53">
            <v>245</v>
          </cell>
        </row>
        <row r="57">
          <cell r="IW57"/>
        </row>
        <row r="58">
          <cell r="IW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</row>
      </sheetData>
      <sheetData sheetId="10"/>
      <sheetData sheetId="11"/>
      <sheetData sheetId="12">
        <row r="5">
          <cell r="IW5"/>
        </row>
        <row r="8">
          <cell r="IW8"/>
        </row>
        <row r="9">
          <cell r="IW9"/>
        </row>
        <row r="15">
          <cell r="IT15"/>
          <cell r="IU15"/>
          <cell r="IV15"/>
          <cell r="IW15"/>
        </row>
        <row r="16">
          <cell r="IT16"/>
          <cell r="IU16"/>
          <cell r="IV16"/>
          <cell r="IW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22">
          <cell r="IW22"/>
        </row>
        <row r="23">
          <cell r="IW23"/>
        </row>
        <row r="27">
          <cell r="IW27"/>
        </row>
        <row r="28">
          <cell r="IW28"/>
        </row>
        <row r="32">
          <cell r="IT32"/>
          <cell r="IU32"/>
          <cell r="IV32"/>
          <cell r="IW32"/>
        </row>
        <row r="33">
          <cell r="IT33"/>
          <cell r="IU33"/>
          <cell r="IV33"/>
          <cell r="IW33"/>
        </row>
        <row r="37">
          <cell r="IT37"/>
          <cell r="IU37"/>
          <cell r="IV37"/>
          <cell r="IW37"/>
        </row>
        <row r="38">
          <cell r="IT38"/>
          <cell r="IU38"/>
          <cell r="IV38"/>
          <cell r="IW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13">
        <row r="4">
          <cell r="IW4">
            <v>5473</v>
          </cell>
        </row>
        <row r="5">
          <cell r="IW5">
            <v>5583</v>
          </cell>
        </row>
        <row r="8">
          <cell r="IW8">
            <v>4</v>
          </cell>
        </row>
        <row r="9">
          <cell r="IW9">
            <v>12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</row>
        <row r="22">
          <cell r="IW22">
            <v>776084</v>
          </cell>
        </row>
        <row r="23">
          <cell r="IW23">
            <v>739950</v>
          </cell>
        </row>
        <row r="27">
          <cell r="IW27">
            <v>24337</v>
          </cell>
        </row>
        <row r="28">
          <cell r="IW28">
            <v>24148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</row>
        <row r="47">
          <cell r="IW47">
            <v>3446519</v>
          </cell>
        </row>
        <row r="48">
          <cell r="IW48">
            <v>99556</v>
          </cell>
        </row>
        <row r="52">
          <cell r="IW52">
            <v>1988076</v>
          </cell>
        </row>
        <row r="53">
          <cell r="IW53">
            <v>123343</v>
          </cell>
        </row>
        <row r="57">
          <cell r="IW57"/>
        </row>
        <row r="58">
          <cell r="IW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</row>
        <row r="70">
          <cell r="IW70">
            <v>438424</v>
          </cell>
        </row>
        <row r="71">
          <cell r="IW71">
            <v>301526</v>
          </cell>
        </row>
        <row r="73">
          <cell r="IW73">
            <v>50759</v>
          </cell>
        </row>
        <row r="74">
          <cell r="IW74">
            <v>34909</v>
          </cell>
        </row>
      </sheetData>
      <sheetData sheetId="14">
        <row r="4">
          <cell r="IW4">
            <v>86</v>
          </cell>
        </row>
        <row r="5">
          <cell r="IW5">
            <v>86</v>
          </cell>
        </row>
        <row r="8">
          <cell r="IW8"/>
        </row>
        <row r="9">
          <cell r="IW9"/>
        </row>
        <row r="15">
          <cell r="IW15"/>
        </row>
        <row r="16">
          <cell r="IW16"/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T19">
            <v>180</v>
          </cell>
          <cell r="IU19">
            <v>162</v>
          </cell>
          <cell r="IV19">
            <v>269</v>
          </cell>
          <cell r="IW19">
            <v>172</v>
          </cell>
        </row>
        <row r="22">
          <cell r="IW22">
            <v>806</v>
          </cell>
        </row>
        <row r="23">
          <cell r="IW23">
            <v>831</v>
          </cell>
        </row>
        <row r="27">
          <cell r="IW27">
            <v>23</v>
          </cell>
        </row>
        <row r="28">
          <cell r="IW28">
            <v>21</v>
          </cell>
        </row>
        <row r="32">
          <cell r="IW32"/>
        </row>
        <row r="33">
          <cell r="IW33"/>
        </row>
        <row r="37">
          <cell r="IW37"/>
        </row>
        <row r="38">
          <cell r="IW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15">
        <row r="4">
          <cell r="IW4">
            <v>156</v>
          </cell>
        </row>
        <row r="5">
          <cell r="IW5">
            <v>156</v>
          </cell>
        </row>
        <row r="8">
          <cell r="IW8"/>
        </row>
        <row r="9">
          <cell r="IW9"/>
        </row>
        <row r="15">
          <cell r="IT15">
            <v>31</v>
          </cell>
          <cell r="IU15">
            <v>29</v>
          </cell>
          <cell r="IV15">
            <v>6</v>
          </cell>
          <cell r="IW15"/>
        </row>
        <row r="16">
          <cell r="IT16">
            <v>31</v>
          </cell>
          <cell r="IU16">
            <v>29</v>
          </cell>
          <cell r="IV16">
            <v>6</v>
          </cell>
          <cell r="IW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</row>
        <row r="22">
          <cell r="IW22">
            <v>25627</v>
          </cell>
        </row>
        <row r="23">
          <cell r="IW23">
            <v>18807</v>
          </cell>
        </row>
        <row r="27">
          <cell r="IW27">
            <v>141</v>
          </cell>
        </row>
        <row r="28">
          <cell r="IW28">
            <v>111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</row>
        <row r="33">
          <cell r="IT33">
            <v>3981</v>
          </cell>
          <cell r="IU33">
            <v>5072</v>
          </cell>
          <cell r="IV33">
            <v>1230</v>
          </cell>
          <cell r="IW33"/>
        </row>
        <row r="37">
          <cell r="IT37">
            <v>4</v>
          </cell>
          <cell r="IU37">
            <v>5</v>
          </cell>
          <cell r="IV37">
            <v>1</v>
          </cell>
          <cell r="IW37"/>
        </row>
        <row r="38">
          <cell r="IT38">
            <v>4</v>
          </cell>
          <cell r="IU38">
            <v>2</v>
          </cell>
          <cell r="IV38">
            <v>0</v>
          </cell>
          <cell r="IW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16">
        <row r="8">
          <cell r="IW8"/>
        </row>
        <row r="9">
          <cell r="IW9"/>
        </row>
        <row r="15">
          <cell r="IT15">
            <v>5</v>
          </cell>
          <cell r="IU15"/>
          <cell r="IV15">
            <v>4</v>
          </cell>
          <cell r="IW15">
            <v>16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</row>
        <row r="47">
          <cell r="IW47">
            <v>1556</v>
          </cell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</row>
      </sheetData>
      <sheetData sheetId="17">
        <row r="4">
          <cell r="IW4">
            <v>29</v>
          </cell>
        </row>
        <row r="5">
          <cell r="IW5">
            <v>29</v>
          </cell>
        </row>
        <row r="8">
          <cell r="IW8"/>
        </row>
        <row r="9">
          <cell r="IW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</row>
        <row r="22">
          <cell r="IW22">
            <v>2527</v>
          </cell>
        </row>
        <row r="23">
          <cell r="IW23">
            <v>2058</v>
          </cell>
        </row>
        <row r="27">
          <cell r="IW27">
            <v>65</v>
          </cell>
        </row>
        <row r="28">
          <cell r="IW28">
            <v>51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18">
        <row r="4">
          <cell r="IW4"/>
        </row>
        <row r="5">
          <cell r="IW5"/>
        </row>
        <row r="8">
          <cell r="IW8"/>
        </row>
        <row r="9">
          <cell r="IW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</row>
        <row r="22">
          <cell r="IW22"/>
        </row>
        <row r="23">
          <cell r="IW23"/>
        </row>
        <row r="27">
          <cell r="IW27"/>
        </row>
        <row r="28">
          <cell r="IW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</row>
        <row r="38">
          <cell r="IT38"/>
          <cell r="IU38">
            <v>0</v>
          </cell>
          <cell r="IV38">
            <v>0</v>
          </cell>
          <cell r="IW38"/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</row>
        <row r="47">
          <cell r="IW47">
            <v>189231</v>
          </cell>
        </row>
        <row r="48">
          <cell r="IW48"/>
        </row>
        <row r="52">
          <cell r="IW52">
            <v>11607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</row>
      </sheetData>
      <sheetData sheetId="19"/>
      <sheetData sheetId="20"/>
      <sheetData sheetId="21"/>
      <sheetData sheetId="22"/>
      <sheetData sheetId="23">
        <row r="4">
          <cell r="IW4">
            <v>619</v>
          </cell>
        </row>
        <row r="5">
          <cell r="IW5">
            <v>617</v>
          </cell>
        </row>
        <row r="8">
          <cell r="IW8"/>
        </row>
        <row r="9">
          <cell r="IW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</row>
        <row r="22">
          <cell r="IW22">
            <v>76010</v>
          </cell>
        </row>
        <row r="23">
          <cell r="IW23">
            <v>66558</v>
          </cell>
        </row>
        <row r="27">
          <cell r="IW27">
            <v>1597</v>
          </cell>
        </row>
        <row r="28">
          <cell r="IW28">
            <v>1807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</row>
        <row r="47">
          <cell r="IW47">
            <v>201363</v>
          </cell>
        </row>
        <row r="48">
          <cell r="IW48"/>
        </row>
        <row r="52">
          <cell r="IW52">
            <v>41581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</row>
        <row r="70">
          <cell r="IW70">
            <v>65818</v>
          </cell>
        </row>
        <row r="71">
          <cell r="IW71">
            <v>740</v>
          </cell>
        </row>
        <row r="73">
          <cell r="IW73"/>
        </row>
        <row r="74">
          <cell r="IW74"/>
        </row>
      </sheetData>
      <sheetData sheetId="24">
        <row r="4">
          <cell r="IW4">
            <v>84</v>
          </cell>
        </row>
        <row r="5">
          <cell r="IW5">
            <v>84</v>
          </cell>
        </row>
        <row r="8">
          <cell r="IW8"/>
        </row>
        <row r="9">
          <cell r="IW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</row>
        <row r="22">
          <cell r="IW22">
            <v>12100</v>
          </cell>
        </row>
        <row r="23">
          <cell r="IW23">
            <v>9821</v>
          </cell>
        </row>
        <row r="27">
          <cell r="IW27">
            <v>82</v>
          </cell>
        </row>
        <row r="28">
          <cell r="IW28">
            <v>85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  <row r="70">
          <cell r="IW70"/>
        </row>
        <row r="71">
          <cell r="IW71"/>
        </row>
        <row r="73">
          <cell r="IW73"/>
        </row>
        <row r="74">
          <cell r="IW74"/>
        </row>
      </sheetData>
      <sheetData sheetId="25">
        <row r="4">
          <cell r="IW4">
            <v>1089</v>
          </cell>
        </row>
        <row r="5">
          <cell r="IW5">
            <v>1088</v>
          </cell>
        </row>
        <row r="8">
          <cell r="IW8">
            <v>37</v>
          </cell>
        </row>
        <row r="9">
          <cell r="IW9">
            <v>39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</row>
        <row r="22">
          <cell r="IW22">
            <v>172269</v>
          </cell>
        </row>
        <row r="23">
          <cell r="IW23">
            <v>157202</v>
          </cell>
        </row>
        <row r="27">
          <cell r="IW27">
            <v>1073</v>
          </cell>
        </row>
        <row r="28">
          <cell r="IW28">
            <v>2724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  <row r="70">
          <cell r="IW70">
            <v>157202</v>
          </cell>
        </row>
        <row r="71">
          <cell r="IW71"/>
        </row>
        <row r="73">
          <cell r="IW73">
            <v>11327</v>
          </cell>
        </row>
        <row r="74">
          <cell r="IW74"/>
        </row>
      </sheetData>
      <sheetData sheetId="26"/>
      <sheetData sheetId="27"/>
      <sheetData sheetId="28">
        <row r="4">
          <cell r="IW4">
            <v>419</v>
          </cell>
        </row>
        <row r="5">
          <cell r="IW5">
            <v>419</v>
          </cell>
        </row>
        <row r="8">
          <cell r="IW8"/>
        </row>
        <row r="9">
          <cell r="IW9"/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</row>
        <row r="22">
          <cell r="IW22">
            <v>53380</v>
          </cell>
        </row>
        <row r="23">
          <cell r="IW23">
            <v>48213</v>
          </cell>
        </row>
        <row r="27">
          <cell r="IW27">
            <v>1984</v>
          </cell>
        </row>
        <row r="28">
          <cell r="IW28">
            <v>2317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</row>
        <row r="47">
          <cell r="IW47">
            <v>68008</v>
          </cell>
        </row>
        <row r="48">
          <cell r="IW48"/>
        </row>
        <row r="52">
          <cell r="IW52">
            <v>47770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</row>
      </sheetData>
      <sheetData sheetId="29">
        <row r="4">
          <cell r="IW4"/>
        </row>
        <row r="5">
          <cell r="IW5"/>
        </row>
        <row r="8">
          <cell r="IW8"/>
        </row>
        <row r="9">
          <cell r="IW9"/>
        </row>
        <row r="15">
          <cell r="IW15">
            <v>42</v>
          </cell>
        </row>
        <row r="16">
          <cell r="IW16">
            <v>42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</row>
        <row r="22">
          <cell r="IW22"/>
        </row>
        <row r="23">
          <cell r="IW23"/>
        </row>
        <row r="27">
          <cell r="IW27"/>
        </row>
        <row r="28">
          <cell r="IW28"/>
        </row>
        <row r="32">
          <cell r="IW32">
            <v>4393</v>
          </cell>
        </row>
        <row r="33">
          <cell r="IW33">
            <v>4836</v>
          </cell>
        </row>
        <row r="37">
          <cell r="IW37">
            <v>2</v>
          </cell>
        </row>
        <row r="38">
          <cell r="IW38">
            <v>1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31">
        <row r="4">
          <cell r="IW4">
            <v>107</v>
          </cell>
        </row>
        <row r="5">
          <cell r="IW5">
            <v>107</v>
          </cell>
        </row>
        <row r="8">
          <cell r="IW8"/>
        </row>
        <row r="9">
          <cell r="IW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</row>
        <row r="22">
          <cell r="IW22">
            <v>7231</v>
          </cell>
        </row>
        <row r="23">
          <cell r="IW23">
            <v>7318</v>
          </cell>
        </row>
        <row r="27">
          <cell r="IW27">
            <v>291</v>
          </cell>
        </row>
        <row r="28">
          <cell r="IW28">
            <v>269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</row>
        <row r="47">
          <cell r="IW47">
            <v>502</v>
          </cell>
        </row>
        <row r="48">
          <cell r="IW48"/>
        </row>
        <row r="52">
          <cell r="IW52">
            <v>580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</row>
      </sheetData>
      <sheetData sheetId="32">
        <row r="4">
          <cell r="IW4">
            <v>5</v>
          </cell>
        </row>
        <row r="5">
          <cell r="IW5">
            <v>5</v>
          </cell>
        </row>
        <row r="8">
          <cell r="IW8"/>
        </row>
        <row r="9">
          <cell r="IW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</row>
        <row r="22">
          <cell r="IW22">
            <v>228</v>
          </cell>
        </row>
        <row r="23">
          <cell r="IW23">
            <v>232</v>
          </cell>
        </row>
        <row r="27">
          <cell r="IW27">
            <v>12</v>
          </cell>
        </row>
        <row r="28">
          <cell r="IW28">
            <v>4</v>
          </cell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IW4"/>
        </row>
        <row r="5">
          <cell r="IW5"/>
        </row>
        <row r="8">
          <cell r="IW8"/>
        </row>
        <row r="9">
          <cell r="IW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22">
          <cell r="IW22"/>
        </row>
        <row r="23">
          <cell r="IW23"/>
        </row>
        <row r="27">
          <cell r="IW27"/>
        </row>
        <row r="28">
          <cell r="IW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44">
        <row r="4">
          <cell r="IW4">
            <v>65</v>
          </cell>
        </row>
        <row r="5">
          <cell r="IW5">
            <v>64</v>
          </cell>
        </row>
        <row r="8">
          <cell r="IW8"/>
        </row>
        <row r="9">
          <cell r="IW9">
            <v>1</v>
          </cell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</row>
        <row r="22">
          <cell r="IW22">
            <v>4135</v>
          </cell>
        </row>
        <row r="23">
          <cell r="IW23">
            <v>3881</v>
          </cell>
        </row>
        <row r="27">
          <cell r="IW27">
            <v>170</v>
          </cell>
        </row>
        <row r="28">
          <cell r="IW28">
            <v>170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45">
        <row r="4">
          <cell r="IW4"/>
        </row>
        <row r="5">
          <cell r="IW5"/>
        </row>
        <row r="8">
          <cell r="IW8"/>
        </row>
        <row r="9">
          <cell r="IW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</row>
        <row r="22">
          <cell r="IW22"/>
        </row>
        <row r="23">
          <cell r="IW23"/>
        </row>
        <row r="27">
          <cell r="IW27"/>
        </row>
        <row r="28">
          <cell r="IW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</row>
        <row r="47">
          <cell r="IW47">
            <v>15713.2</v>
          </cell>
        </row>
        <row r="48">
          <cell r="IW48"/>
        </row>
        <row r="52">
          <cell r="IW52">
            <v>14911.1</v>
          </cell>
        </row>
        <row r="53">
          <cell r="IW53"/>
        </row>
        <row r="57">
          <cell r="IW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</row>
      </sheetData>
      <sheetData sheetId="46">
        <row r="4">
          <cell r="IW4">
            <v>64</v>
          </cell>
        </row>
        <row r="5">
          <cell r="IW5">
            <v>64</v>
          </cell>
        </row>
        <row r="8">
          <cell r="IW8"/>
        </row>
        <row r="9">
          <cell r="IW9"/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</row>
        <row r="22">
          <cell r="IW22">
            <v>3919</v>
          </cell>
        </row>
        <row r="23">
          <cell r="IW23">
            <v>3527</v>
          </cell>
        </row>
        <row r="27">
          <cell r="IW27">
            <v>155</v>
          </cell>
        </row>
        <row r="28">
          <cell r="IW28">
            <v>152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47"/>
      <sheetData sheetId="48"/>
      <sheetData sheetId="49">
        <row r="4">
          <cell r="IW4">
            <v>667</v>
          </cell>
        </row>
        <row r="5">
          <cell r="IW5">
            <v>670</v>
          </cell>
        </row>
        <row r="8">
          <cell r="IW8">
            <v>1</v>
          </cell>
        </row>
        <row r="9">
          <cell r="IW9"/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</row>
        <row r="22">
          <cell r="IW22">
            <v>43818</v>
          </cell>
        </row>
        <row r="23">
          <cell r="IW23">
            <v>43596</v>
          </cell>
        </row>
        <row r="27">
          <cell r="IW27">
            <v>1267</v>
          </cell>
        </row>
        <row r="28">
          <cell r="IW28">
            <v>1345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  <row r="70">
          <cell r="IW70">
            <v>14505</v>
          </cell>
        </row>
        <row r="71">
          <cell r="IW71">
            <v>29091</v>
          </cell>
        </row>
        <row r="73">
          <cell r="IW73">
            <v>232</v>
          </cell>
        </row>
        <row r="74">
          <cell r="IW74">
            <v>465</v>
          </cell>
        </row>
      </sheetData>
      <sheetData sheetId="50">
        <row r="4">
          <cell r="IW4">
            <v>84</v>
          </cell>
        </row>
        <row r="5">
          <cell r="IW5">
            <v>83</v>
          </cell>
        </row>
        <row r="8">
          <cell r="IW8"/>
        </row>
        <row r="9">
          <cell r="IW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</row>
        <row r="22">
          <cell r="IW22">
            <v>5568</v>
          </cell>
        </row>
        <row r="23">
          <cell r="IW23">
            <v>5197</v>
          </cell>
        </row>
        <row r="27">
          <cell r="IW27">
            <v>113</v>
          </cell>
        </row>
        <row r="28">
          <cell r="IW28">
            <v>149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</row>
        <row r="47">
          <cell r="IW47">
            <v>142</v>
          </cell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</row>
      </sheetData>
      <sheetData sheetId="51">
        <row r="4">
          <cell r="IW4">
            <v>54</v>
          </cell>
        </row>
        <row r="5">
          <cell r="IW5">
            <v>54</v>
          </cell>
        </row>
        <row r="8">
          <cell r="IW8"/>
        </row>
        <row r="9">
          <cell r="IW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</row>
        <row r="22">
          <cell r="IW22">
            <v>3066</v>
          </cell>
        </row>
        <row r="23">
          <cell r="IW23">
            <v>3191</v>
          </cell>
        </row>
        <row r="27">
          <cell r="IW27">
            <v>127</v>
          </cell>
        </row>
        <row r="28">
          <cell r="IW28">
            <v>165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</row>
        <row r="47">
          <cell r="IW47">
            <v>3061</v>
          </cell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</row>
      </sheetData>
      <sheetData sheetId="52">
        <row r="4">
          <cell r="IW4">
            <v>41</v>
          </cell>
        </row>
        <row r="5">
          <cell r="IW5">
            <v>41</v>
          </cell>
        </row>
        <row r="8">
          <cell r="IW8"/>
        </row>
        <row r="9">
          <cell r="IW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</row>
        <row r="22">
          <cell r="IW22">
            <v>2777</v>
          </cell>
        </row>
        <row r="23">
          <cell r="IW23">
            <v>2754</v>
          </cell>
        </row>
        <row r="27">
          <cell r="IW27">
            <v>98</v>
          </cell>
        </row>
        <row r="28">
          <cell r="IW28">
            <v>82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53"/>
      <sheetData sheetId="54">
        <row r="4">
          <cell r="IW4">
            <v>2048</v>
          </cell>
        </row>
        <row r="5">
          <cell r="IW5">
            <v>2049</v>
          </cell>
        </row>
        <row r="8">
          <cell r="IW8">
            <v>1</v>
          </cell>
        </row>
        <row r="9">
          <cell r="IW9"/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</row>
        <row r="22">
          <cell r="IW22">
            <v>110038</v>
          </cell>
        </row>
        <row r="23">
          <cell r="IW23">
            <v>113043</v>
          </cell>
        </row>
        <row r="27">
          <cell r="IW27">
            <v>3990</v>
          </cell>
        </row>
        <row r="28">
          <cell r="IW28">
            <v>3845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  <row r="70">
          <cell r="IW70">
            <v>36819</v>
          </cell>
        </row>
        <row r="71">
          <cell r="IW71">
            <v>76224</v>
          </cell>
        </row>
        <row r="73">
          <cell r="IW73">
            <v>3436</v>
          </cell>
        </row>
        <row r="74">
          <cell r="IW74">
            <v>7112</v>
          </cell>
        </row>
      </sheetData>
      <sheetData sheetId="55"/>
      <sheetData sheetId="56">
        <row r="4">
          <cell r="IW4"/>
        </row>
        <row r="5">
          <cell r="IW5"/>
        </row>
        <row r="8">
          <cell r="IW8"/>
        </row>
        <row r="9">
          <cell r="IW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22">
          <cell r="IW22"/>
        </row>
        <row r="23">
          <cell r="IW23"/>
        </row>
        <row r="27">
          <cell r="IW27"/>
        </row>
        <row r="28">
          <cell r="IW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57">
        <row r="4">
          <cell r="IW4"/>
        </row>
        <row r="5">
          <cell r="IW5"/>
        </row>
        <row r="8">
          <cell r="IW8"/>
        </row>
        <row r="9">
          <cell r="IW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22">
          <cell r="IW22"/>
        </row>
        <row r="23">
          <cell r="IW23"/>
        </row>
        <row r="27">
          <cell r="IW27"/>
        </row>
        <row r="28">
          <cell r="IW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IW4"/>
        </row>
        <row r="5">
          <cell r="IW5"/>
        </row>
        <row r="15">
          <cell r="IW15"/>
        </row>
        <row r="16">
          <cell r="IW16"/>
        </row>
        <row r="22">
          <cell r="IW22"/>
        </row>
        <row r="23">
          <cell r="IW23"/>
        </row>
        <row r="32">
          <cell r="IW32"/>
        </row>
        <row r="33">
          <cell r="IW33"/>
        </row>
      </sheetData>
      <sheetData sheetId="65">
        <row r="4">
          <cell r="IW4"/>
        </row>
        <row r="5">
          <cell r="IW5"/>
        </row>
        <row r="15">
          <cell r="IW15"/>
        </row>
        <row r="16">
          <cell r="IW16"/>
        </row>
        <row r="22">
          <cell r="IW22"/>
        </row>
        <row r="23">
          <cell r="IW23"/>
        </row>
        <row r="32">
          <cell r="IW32"/>
        </row>
        <row r="33">
          <cell r="IW33"/>
        </row>
      </sheetData>
      <sheetData sheetId="66">
        <row r="4">
          <cell r="IW4"/>
        </row>
        <row r="5">
          <cell r="IW5"/>
        </row>
        <row r="15">
          <cell r="IT15"/>
          <cell r="IU15"/>
          <cell r="IV15"/>
          <cell r="IW15"/>
        </row>
        <row r="16">
          <cell r="IT16"/>
          <cell r="IU16"/>
          <cell r="IV16"/>
          <cell r="IW16"/>
        </row>
        <row r="22">
          <cell r="IW22"/>
        </row>
        <row r="23">
          <cell r="IW23"/>
        </row>
        <row r="28">
          <cell r="IW28"/>
        </row>
        <row r="32">
          <cell r="IT32"/>
          <cell r="IU32"/>
          <cell r="IV32"/>
          <cell r="IW32"/>
        </row>
        <row r="33">
          <cell r="IT33"/>
          <cell r="IU33"/>
          <cell r="IV33"/>
          <cell r="IW33"/>
        </row>
        <row r="37">
          <cell r="IT37"/>
          <cell r="IU37"/>
          <cell r="IV37"/>
          <cell r="IW37"/>
        </row>
        <row r="38">
          <cell r="IT38"/>
          <cell r="IU38"/>
          <cell r="IV38">
            <v>201</v>
          </cell>
          <cell r="IW38"/>
        </row>
      </sheetData>
      <sheetData sheetId="67">
        <row r="4">
          <cell r="IW4"/>
        </row>
        <row r="5">
          <cell r="IW5"/>
        </row>
        <row r="15">
          <cell r="IT15"/>
          <cell r="IU15">
            <v>2</v>
          </cell>
          <cell r="IV15">
            <v>1</v>
          </cell>
          <cell r="IW15"/>
        </row>
        <row r="16">
          <cell r="IT16"/>
          <cell r="IU16"/>
          <cell r="IV16"/>
          <cell r="IW16"/>
        </row>
        <row r="22">
          <cell r="IW22"/>
        </row>
        <row r="23">
          <cell r="IW23"/>
        </row>
        <row r="28">
          <cell r="IW28"/>
        </row>
        <row r="32">
          <cell r="IT32"/>
          <cell r="IU32">
            <v>240</v>
          </cell>
          <cell r="IV32"/>
          <cell r="IW32"/>
        </row>
        <row r="33">
          <cell r="IT33"/>
          <cell r="IU33"/>
          <cell r="IV33"/>
          <cell r="IW33"/>
        </row>
        <row r="37">
          <cell r="IT37"/>
          <cell r="IU37"/>
          <cell r="IV37"/>
          <cell r="IW37"/>
        </row>
        <row r="38">
          <cell r="IT38"/>
          <cell r="IU38"/>
          <cell r="IV38"/>
          <cell r="IW38"/>
        </row>
      </sheetData>
      <sheetData sheetId="68">
        <row r="4">
          <cell r="IW4">
            <v>1</v>
          </cell>
        </row>
        <row r="5">
          <cell r="IW5">
            <v>1</v>
          </cell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</row>
        <row r="47">
          <cell r="IW47">
            <v>32249</v>
          </cell>
        </row>
        <row r="48">
          <cell r="IW48"/>
        </row>
        <row r="52">
          <cell r="IW52">
            <v>39381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</row>
      </sheetData>
      <sheetData sheetId="69">
        <row r="4">
          <cell r="IW4">
            <v>96</v>
          </cell>
        </row>
        <row r="5">
          <cell r="IW5">
            <v>96</v>
          </cell>
        </row>
        <row r="8">
          <cell r="IW8"/>
        </row>
        <row r="9">
          <cell r="IW9"/>
        </row>
        <row r="15">
          <cell r="IW15"/>
        </row>
        <row r="16">
          <cell r="IW16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</row>
        <row r="47">
          <cell r="IW47">
            <v>1783161</v>
          </cell>
        </row>
        <row r="48">
          <cell r="IW48"/>
        </row>
        <row r="52">
          <cell r="IW52">
            <v>2336730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</row>
      </sheetData>
      <sheetData sheetId="70">
        <row r="4">
          <cell r="IW4">
            <v>1</v>
          </cell>
        </row>
        <row r="5">
          <cell r="IW5">
            <v>1</v>
          </cell>
        </row>
        <row r="15">
          <cell r="IW15"/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</row>
        <row r="47">
          <cell r="IW47">
            <v>33717</v>
          </cell>
        </row>
        <row r="48">
          <cell r="IW48"/>
        </row>
        <row r="52">
          <cell r="IW52">
            <v>37527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</row>
      </sheetData>
      <sheetData sheetId="71">
        <row r="4">
          <cell r="IW4">
            <v>21</v>
          </cell>
        </row>
        <row r="5">
          <cell r="IW5">
            <v>21</v>
          </cell>
        </row>
        <row r="8">
          <cell r="IW8"/>
        </row>
        <row r="9">
          <cell r="IW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</row>
        <row r="47">
          <cell r="IW47">
            <v>76821</v>
          </cell>
        </row>
        <row r="48">
          <cell r="IW48"/>
        </row>
        <row r="52">
          <cell r="IW52">
            <v>512574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73">
        <row r="4">
          <cell r="IW4"/>
        </row>
        <row r="5">
          <cell r="IW5"/>
        </row>
        <row r="15">
          <cell r="IW1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74">
        <row r="4">
          <cell r="IW4">
            <v>42</v>
          </cell>
        </row>
        <row r="5">
          <cell r="IW5">
            <v>42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</row>
        <row r="47">
          <cell r="IW47">
            <v>46508</v>
          </cell>
        </row>
        <row r="48">
          <cell r="IW48"/>
        </row>
        <row r="52">
          <cell r="IW52">
            <v>47931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</row>
      </sheetData>
      <sheetData sheetId="75">
        <row r="4">
          <cell r="IW4"/>
        </row>
        <row r="5">
          <cell r="IW5"/>
        </row>
        <row r="12">
          <cell r="IW12">
            <v>0</v>
          </cell>
        </row>
        <row r="15">
          <cell r="IW1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76">
        <row r="4">
          <cell r="IW4"/>
        </row>
        <row r="5">
          <cell r="IW5"/>
        </row>
        <row r="15">
          <cell r="IW15"/>
        </row>
        <row r="16">
          <cell r="IW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</row>
      </sheetData>
      <sheetData sheetId="77">
        <row r="4">
          <cell r="IW4"/>
        </row>
        <row r="5">
          <cell r="IW5"/>
        </row>
        <row r="15">
          <cell r="IW1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</row>
      </sheetData>
      <sheetData sheetId="78"/>
      <sheetData sheetId="79">
        <row r="4">
          <cell r="IW4"/>
        </row>
        <row r="5">
          <cell r="IW5"/>
        </row>
        <row r="15">
          <cell r="IW1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81"/>
      <sheetData sheetId="82">
        <row r="4">
          <cell r="IW4">
            <v>87</v>
          </cell>
        </row>
        <row r="5">
          <cell r="IW5">
            <v>87</v>
          </cell>
        </row>
        <row r="15">
          <cell r="IW15"/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</row>
        <row r="47">
          <cell r="IW47">
            <v>6853149</v>
          </cell>
        </row>
        <row r="48">
          <cell r="IW48"/>
        </row>
        <row r="52">
          <cell r="IW52">
            <v>5493267</v>
          </cell>
        </row>
        <row r="53">
          <cell r="IW53"/>
        </row>
        <row r="57">
          <cell r="IW57"/>
        </row>
        <row r="58">
          <cell r="IW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</row>
      </sheetData>
      <sheetData sheetId="83">
        <row r="4">
          <cell r="IW4">
            <v>20</v>
          </cell>
        </row>
        <row r="5">
          <cell r="IW5">
            <v>20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</row>
        <row r="47">
          <cell r="IW47"/>
        </row>
        <row r="48">
          <cell r="IW48">
            <v>41701</v>
          </cell>
        </row>
        <row r="52">
          <cell r="IW52"/>
        </row>
        <row r="53">
          <cell r="IW53">
            <v>93590</v>
          </cell>
        </row>
        <row r="57">
          <cell r="IW57"/>
        </row>
        <row r="58">
          <cell r="IW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</row>
      </sheetData>
      <sheetData sheetId="84">
        <row r="4">
          <cell r="IW4">
            <v>18</v>
          </cell>
        </row>
        <row r="5">
          <cell r="IW5">
            <v>18</v>
          </cell>
        </row>
        <row r="15">
          <cell r="IW15"/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</row>
        <row r="47">
          <cell r="IW47">
            <v>60009</v>
          </cell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</row>
      </sheetData>
      <sheetData sheetId="85">
        <row r="4">
          <cell r="IW4">
            <v>89</v>
          </cell>
        </row>
        <row r="5">
          <cell r="IW5">
            <v>72</v>
          </cell>
        </row>
        <row r="15">
          <cell r="IW15"/>
        </row>
        <row r="16">
          <cell r="IW16">
            <v>17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</row>
        <row r="47">
          <cell r="IW47">
            <v>5017690</v>
          </cell>
        </row>
        <row r="48">
          <cell r="IW48">
            <v>265310</v>
          </cell>
        </row>
        <row r="52">
          <cell r="IW52">
            <v>3995389</v>
          </cell>
        </row>
        <row r="53">
          <cell r="IW53">
            <v>99503</v>
          </cell>
        </row>
        <row r="57">
          <cell r="IW57"/>
        </row>
        <row r="58">
          <cell r="IW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</row>
      </sheetData>
      <sheetData sheetId="86"/>
      <sheetData sheetId="87"/>
      <sheetData sheetId="88"/>
      <sheetData sheetId="89">
        <row r="4">
          <cell r="IW4">
            <v>172</v>
          </cell>
        </row>
        <row r="5">
          <cell r="IW5">
            <v>172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</row>
      </sheetData>
      <sheetData sheetId="91">
        <row r="4">
          <cell r="IW4"/>
        </row>
        <row r="5">
          <cell r="IW5"/>
        </row>
        <row r="8">
          <cell r="IW8"/>
        </row>
        <row r="9">
          <cell r="IW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</row>
        <row r="47">
          <cell r="IW47"/>
        </row>
        <row r="48">
          <cell r="IW48"/>
        </row>
        <row r="52">
          <cell r="IW52"/>
        </row>
        <row r="53">
          <cell r="IW53"/>
        </row>
        <row r="57">
          <cell r="IW57"/>
        </row>
        <row r="58">
          <cell r="IW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</row>
      </sheetData>
      <sheetData sheetId="92">
        <row r="4">
          <cell r="IW4">
            <v>38</v>
          </cell>
        </row>
        <row r="5">
          <cell r="IW5">
            <v>39</v>
          </cell>
        </row>
      </sheetData>
      <sheetData sheetId="93">
        <row r="4">
          <cell r="IW4">
            <v>661</v>
          </cell>
        </row>
        <row r="5">
          <cell r="IW5">
            <v>660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152125</v>
          </cell>
          <cell r="C21">
            <v>149353</v>
          </cell>
          <cell r="G21">
            <v>1103358</v>
          </cell>
          <cell r="H21">
            <v>1138892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158108</v>
          </cell>
          <cell r="C22">
            <v>164917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I23" sqref="I23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9.710937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</cols>
  <sheetData>
    <row r="1" spans="1:14" hidden="1" x14ac:dyDescent="0.2"/>
    <row r="2" spans="1:14" ht="12.75" customHeight="1" x14ac:dyDescent="0.2">
      <c r="A2" s="388">
        <v>45383</v>
      </c>
      <c r="B2" s="10"/>
      <c r="C2" s="10"/>
      <c r="D2" s="453" t="s">
        <v>237</v>
      </c>
      <c r="E2" s="453" t="s">
        <v>218</v>
      </c>
      <c r="F2" s="5"/>
      <c r="G2" s="5"/>
      <c r="H2" s="5"/>
      <c r="I2" s="5"/>
      <c r="J2" s="5"/>
    </row>
    <row r="3" spans="1:14" ht="13.5" thickBot="1" x14ac:dyDescent="0.25">
      <c r="A3" s="277"/>
      <c r="B3" s="5" t="s">
        <v>0</v>
      </c>
      <c r="C3" s="5" t="s">
        <v>1</v>
      </c>
      <c r="D3" s="454"/>
      <c r="E3" s="455"/>
      <c r="F3" s="5" t="s">
        <v>2</v>
      </c>
      <c r="G3" s="5" t="s">
        <v>238</v>
      </c>
      <c r="H3" s="5" t="s">
        <v>219</v>
      </c>
      <c r="I3" s="5" t="s">
        <v>2</v>
      </c>
    </row>
    <row r="4" spans="1:14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4" x14ac:dyDescent="0.2">
      <c r="A5" s="48" t="s">
        <v>4</v>
      </c>
      <c r="B5" s="209">
        <f>'Major Airline Stats'!K4</f>
        <v>1315119</v>
      </c>
      <c r="C5" s="10">
        <f>'Major Airline Stats'!K5</f>
        <v>1209992</v>
      </c>
      <c r="D5" s="2">
        <f>'Major Airline Stats'!K6</f>
        <v>2525111</v>
      </c>
      <c r="E5" s="2">
        <f>'[1]Monthly Summary'!D5</f>
        <v>2378712</v>
      </c>
      <c r="F5" s="3">
        <f>(D5-E5)/E5</f>
        <v>6.1545491846007418E-2</v>
      </c>
      <c r="G5" s="2">
        <f>'[2]Monthly Summary'!G5+D5</f>
        <v>9583408</v>
      </c>
      <c r="H5" s="2">
        <f>'[1]Monthly Summary'!G5</f>
        <v>8905261</v>
      </c>
      <c r="I5" s="63">
        <f>(G5-H5)/H5</f>
        <v>7.6151277317980909E-2</v>
      </c>
      <c r="J5" s="2"/>
    </row>
    <row r="6" spans="1:14" x14ac:dyDescent="0.2">
      <c r="A6" s="48" t="s">
        <v>5</v>
      </c>
      <c r="B6" s="209">
        <f>'Regional Major'!M5</f>
        <v>196808</v>
      </c>
      <c r="C6" s="209">
        <f>'Regional Major'!M6</f>
        <v>198114</v>
      </c>
      <c r="D6" s="2">
        <f>B6+C6</f>
        <v>394922</v>
      </c>
      <c r="E6" s="2">
        <f>'[1]Monthly Summary'!D6</f>
        <v>325630</v>
      </c>
      <c r="F6" s="3">
        <f>(D6-E6)/E6</f>
        <v>0.21279366151767343</v>
      </c>
      <c r="G6" s="2">
        <f>'[2]Monthly Summary'!G6+D6</f>
        <v>1468141</v>
      </c>
      <c r="H6" s="2">
        <f>'[1]Monthly Summary'!G6</f>
        <v>1258141</v>
      </c>
      <c r="I6" s="63">
        <f>(G6-H6)/H6</f>
        <v>0.16691292947292871</v>
      </c>
      <c r="K6" s="2"/>
    </row>
    <row r="7" spans="1:14" x14ac:dyDescent="0.2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0</v>
      </c>
      <c r="F7" s="3"/>
      <c r="G7" s="2">
        <f>'[2]Monthly Summary'!G7+D7</f>
        <v>501</v>
      </c>
      <c r="H7" s="2">
        <f>'[1]Monthly Summary'!G7</f>
        <v>728</v>
      </c>
      <c r="I7" s="63">
        <f>(G7-H7)/H7</f>
        <v>-0.31181318681318682</v>
      </c>
      <c r="K7" s="2"/>
    </row>
    <row r="8" spans="1:14" x14ac:dyDescent="0.2">
      <c r="A8" s="50" t="s">
        <v>7</v>
      </c>
      <c r="B8" s="113">
        <f>SUM(B5:B7)</f>
        <v>1511927</v>
      </c>
      <c r="C8" s="113">
        <f>SUM(C5:C7)</f>
        <v>1408106</v>
      </c>
      <c r="D8" s="113">
        <f>SUM(D5:D7)</f>
        <v>2920033</v>
      </c>
      <c r="E8" s="113">
        <f>SUM(E5:E7)</f>
        <v>2704342</v>
      </c>
      <c r="F8" s="69">
        <f>(D8-E8)/E8</f>
        <v>7.9757294010890628E-2</v>
      </c>
      <c r="G8" s="113">
        <f>SUM(G5:G7)</f>
        <v>11052050</v>
      </c>
      <c r="H8" s="113">
        <f>SUM(H5:H7)</f>
        <v>10164130</v>
      </c>
      <c r="I8" s="68">
        <f>(G8-H8)/H8</f>
        <v>8.7358190027085447E-2</v>
      </c>
    </row>
    <row r="9" spans="1:14" x14ac:dyDescent="0.2">
      <c r="A9" s="48"/>
      <c r="B9" s="89"/>
      <c r="C9" s="89"/>
      <c r="D9" s="89"/>
      <c r="E9" s="89"/>
      <c r="F9" s="4"/>
      <c r="G9" s="89"/>
      <c r="H9" s="89"/>
      <c r="I9" s="63"/>
    </row>
    <row r="10" spans="1:14" x14ac:dyDescent="0.2">
      <c r="A10" s="48" t="s">
        <v>8</v>
      </c>
      <c r="B10" s="435">
        <f>'Major Airline Stats'!K9+'Regional Major'!M10</f>
        <v>40845</v>
      </c>
      <c r="C10" s="436">
        <f>'Major Airline Stats'!K10+'Regional Major'!M11</f>
        <v>42911</v>
      </c>
      <c r="D10" s="437">
        <f>SUM(B10:C10)</f>
        <v>83756</v>
      </c>
      <c r="E10" s="394">
        <f>'[1]Monthly Summary'!D10</f>
        <v>77763</v>
      </c>
      <c r="F10" s="438">
        <f>(D10-E10)/E10</f>
        <v>7.7067499967851033E-2</v>
      </c>
      <c r="G10" s="394">
        <f>'[2]Monthly Summary'!G10+D10</f>
        <v>327340</v>
      </c>
      <c r="H10" s="394">
        <f>'[1]Monthly Summary'!G10</f>
        <v>307098</v>
      </c>
      <c r="I10" s="439">
        <f>(G10-H10)/H10</f>
        <v>6.5913812528899565E-2</v>
      </c>
      <c r="J10" s="163"/>
    </row>
    <row r="11" spans="1:14" ht="15.75" thickBot="1" x14ac:dyDescent="0.3">
      <c r="A11" s="49" t="s">
        <v>13</v>
      </c>
      <c r="B11" s="189">
        <f>B10+B8</f>
        <v>1552772</v>
      </c>
      <c r="C11" s="189">
        <f>C10+C8</f>
        <v>1451017</v>
      </c>
      <c r="D11" s="189">
        <f>D10+D8</f>
        <v>3003789</v>
      </c>
      <c r="E11" s="189">
        <f>E10+E8</f>
        <v>2782105</v>
      </c>
      <c r="F11" s="70">
        <f>(D11-E11)/E11</f>
        <v>7.9682111207161482E-2</v>
      </c>
      <c r="G11" s="189">
        <f>G8+G10</f>
        <v>11379390</v>
      </c>
      <c r="H11" s="189">
        <f>H8+H10</f>
        <v>10471228</v>
      </c>
      <c r="I11" s="72">
        <f>(G11-H11)/H11</f>
        <v>8.6729273777631427E-2</v>
      </c>
      <c r="N11" s="428"/>
    </row>
    <row r="12" spans="1:14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</row>
    <row r="13" spans="1:14" ht="16.5" customHeight="1" x14ac:dyDescent="0.2">
      <c r="B13" s="10"/>
      <c r="C13" s="10"/>
      <c r="D13" s="453" t="s">
        <v>237</v>
      </c>
      <c r="E13" s="453" t="s">
        <v>218</v>
      </c>
      <c r="F13" s="5"/>
      <c r="G13" s="5"/>
      <c r="H13" s="5"/>
      <c r="I13" s="5"/>
    </row>
    <row r="14" spans="1:14" ht="13.5" thickBot="1" x14ac:dyDescent="0.25">
      <c r="A14" s="9"/>
      <c r="B14" s="5" t="s">
        <v>249</v>
      </c>
      <c r="C14" s="5" t="s">
        <v>250</v>
      </c>
      <c r="D14" s="454"/>
      <c r="E14" s="455"/>
      <c r="F14" s="5" t="s">
        <v>2</v>
      </c>
      <c r="G14" s="5" t="s">
        <v>238</v>
      </c>
      <c r="H14" s="5" t="s">
        <v>219</v>
      </c>
      <c r="I14" s="5" t="s">
        <v>2</v>
      </c>
      <c r="N14" s="332"/>
    </row>
    <row r="15" spans="1:14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</row>
    <row r="16" spans="1:14" x14ac:dyDescent="0.2">
      <c r="A16" s="48" t="s">
        <v>4</v>
      </c>
      <c r="B16" s="218">
        <f>'Major Airline Stats'!K15+'Major Airline Stats'!K19</f>
        <v>9221</v>
      </c>
      <c r="C16" s="218">
        <f>'Major Airline Stats'!K16+'Major Airline Stats'!K20</f>
        <v>9323</v>
      </c>
      <c r="D16" s="30">
        <f>SUM(B16:C16)</f>
        <v>18544</v>
      </c>
      <c r="E16" s="2">
        <f>'[1]Monthly Summary'!D16</f>
        <v>17312</v>
      </c>
      <c r="F16" s="71">
        <f t="shared" ref="F16:F22" si="0">(D16-E16)/E16</f>
        <v>7.1164510166358594E-2</v>
      </c>
      <c r="G16" s="2">
        <f>'[2]Monthly Summary'!G16+D16</f>
        <v>70188</v>
      </c>
      <c r="H16" s="2">
        <f>'[1]Monthly Summary'!G16</f>
        <v>65846</v>
      </c>
      <c r="I16" s="185">
        <f t="shared" ref="I16:I22" si="1">(G16-H16)/H16</f>
        <v>6.5941742854539381E-2</v>
      </c>
      <c r="N16" s="332"/>
    </row>
    <row r="17" spans="1:14" x14ac:dyDescent="0.2">
      <c r="A17" s="48" t="s">
        <v>5</v>
      </c>
      <c r="B17" s="30">
        <f>'Regional Major'!M15+'Regional Major'!M18</f>
        <v>3398</v>
      </c>
      <c r="C17" s="30">
        <f>'Regional Major'!M16+'Regional Major'!M19</f>
        <v>3399</v>
      </c>
      <c r="D17" s="30">
        <f>SUM(B17:C17)</f>
        <v>6797</v>
      </c>
      <c r="E17" s="2">
        <f>'[1]Monthly Summary'!D17</f>
        <v>6106</v>
      </c>
      <c r="F17" s="71">
        <f t="shared" si="0"/>
        <v>0.11316737635113004</v>
      </c>
      <c r="G17" s="2">
        <f>'[2]Monthly Summary'!G17+D17</f>
        <v>26143</v>
      </c>
      <c r="H17" s="2">
        <f>'[1]Monthly Summary'!G17</f>
        <v>24343</v>
      </c>
      <c r="I17" s="185">
        <f t="shared" si="1"/>
        <v>7.3943228032699343E-2</v>
      </c>
      <c r="L17" s="2"/>
      <c r="M17" s="2"/>
      <c r="N17" s="332"/>
    </row>
    <row r="18" spans="1:14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0</v>
      </c>
      <c r="F18" s="71"/>
      <c r="G18" s="2">
        <f>'[2]Monthly Summary'!G18+D18</f>
        <v>3</v>
      </c>
      <c r="H18" s="2">
        <f>'[1]Monthly Summary'!G18</f>
        <v>13</v>
      </c>
      <c r="I18" s="185">
        <f t="shared" si="1"/>
        <v>-0.76923076923076927</v>
      </c>
      <c r="N18" s="332"/>
    </row>
    <row r="19" spans="1:14" x14ac:dyDescent="0.2">
      <c r="A19" s="48" t="s">
        <v>11</v>
      </c>
      <c r="B19" s="30">
        <f>Cargo!S4+Cargo!S8</f>
        <v>547</v>
      </c>
      <c r="C19" s="30">
        <f>Cargo!S5+Cargo!S9</f>
        <v>547</v>
      </c>
      <c r="D19" s="30">
        <f t="shared" si="2"/>
        <v>1094</v>
      </c>
      <c r="E19" s="2">
        <f>'[1]Monthly Summary'!D19</f>
        <v>1122</v>
      </c>
      <c r="F19" s="71">
        <f t="shared" si="0"/>
        <v>-2.4955436720142603E-2</v>
      </c>
      <c r="G19" s="2">
        <f>'[2]Monthly Summary'!G19+D19</f>
        <v>4460</v>
      </c>
      <c r="H19" s="2">
        <f>'[1]Monthly Summary'!G19</f>
        <v>4636</v>
      </c>
      <c r="I19" s="185">
        <f t="shared" si="1"/>
        <v>-3.7963761863675581E-2</v>
      </c>
      <c r="N19" s="332"/>
    </row>
    <row r="20" spans="1:14" x14ac:dyDescent="0.2">
      <c r="A20" s="48" t="s">
        <v>146</v>
      </c>
      <c r="B20" s="30">
        <f>'[3]General Avation'!$IW$4</f>
        <v>661</v>
      </c>
      <c r="C20" s="30">
        <f>'[3]General Avation'!$IW$5</f>
        <v>660</v>
      </c>
      <c r="D20" s="30">
        <f t="shared" si="2"/>
        <v>1321</v>
      </c>
      <c r="E20" s="2">
        <f>'[1]Monthly Summary'!D20</f>
        <v>1414</v>
      </c>
      <c r="F20" s="71">
        <f t="shared" si="0"/>
        <v>-6.5770862800565766E-2</v>
      </c>
      <c r="G20" s="2">
        <f>'[2]Monthly Summary'!G20+D20</f>
        <v>5011</v>
      </c>
      <c r="H20" s="2">
        <f>'[1]Monthly Summary'!G20</f>
        <v>5220</v>
      </c>
      <c r="I20" s="185">
        <f t="shared" si="1"/>
        <v>-4.0038314176245211E-2</v>
      </c>
      <c r="M20" s="2"/>
      <c r="N20" s="332"/>
    </row>
    <row r="21" spans="1:14" ht="12.75" customHeight="1" x14ac:dyDescent="0.2">
      <c r="A21" s="48" t="s">
        <v>12</v>
      </c>
      <c r="B21" s="440">
        <f>'[3]Military '!$IW$4</f>
        <v>38</v>
      </c>
      <c r="C21" s="441">
        <f>'[3]Military '!$IW$5</f>
        <v>39</v>
      </c>
      <c r="D21" s="441">
        <f t="shared" si="2"/>
        <v>77</v>
      </c>
      <c r="E21" s="394">
        <f>'[1]Monthly Summary'!D21</f>
        <v>31</v>
      </c>
      <c r="F21" s="442">
        <f t="shared" si="0"/>
        <v>1.4838709677419355</v>
      </c>
      <c r="G21" s="394">
        <f>'[2]Monthly Summary'!G21+D21</f>
        <v>318</v>
      </c>
      <c r="H21" s="394">
        <f>'[1]Monthly Summary'!G21</f>
        <v>233</v>
      </c>
      <c r="I21" s="443">
        <f t="shared" si="1"/>
        <v>0.36480686695278969</v>
      </c>
      <c r="K21" s="89"/>
      <c r="N21" s="332"/>
    </row>
    <row r="22" spans="1:14" ht="15.75" thickBot="1" x14ac:dyDescent="0.3">
      <c r="A22" s="49" t="s">
        <v>28</v>
      </c>
      <c r="B22" s="190">
        <f>SUM(B16:B21)</f>
        <v>13865</v>
      </c>
      <c r="C22" s="190">
        <f>SUM(C16:C21)</f>
        <v>13968</v>
      </c>
      <c r="D22" s="190">
        <f>SUM(D16:D21)</f>
        <v>27833</v>
      </c>
      <c r="E22" s="190">
        <f>SUM(E16:E21)</f>
        <v>25985</v>
      </c>
      <c r="F22" s="187">
        <f t="shared" si="0"/>
        <v>7.111795266499904E-2</v>
      </c>
      <c r="G22" s="190">
        <f>SUM(G16:G21)</f>
        <v>106123</v>
      </c>
      <c r="H22" s="190">
        <f>SUM(H16:H21)</f>
        <v>100291</v>
      </c>
      <c r="I22" s="188">
        <f t="shared" si="1"/>
        <v>5.8150781226630505E-2</v>
      </c>
      <c r="N22" s="325"/>
    </row>
    <row r="23" spans="1:14" x14ac:dyDescent="0.2">
      <c r="B23" s="89"/>
      <c r="C23" s="89"/>
      <c r="L23" s="2"/>
      <c r="N23" s="332"/>
    </row>
    <row r="24" spans="1:14" ht="12.75" customHeight="1" x14ac:dyDescent="0.2">
      <c r="B24" s="10"/>
      <c r="C24" s="10"/>
      <c r="D24" s="453" t="s">
        <v>237</v>
      </c>
      <c r="E24" s="453" t="s">
        <v>218</v>
      </c>
      <c r="F24" s="5"/>
      <c r="G24" s="5"/>
      <c r="H24" s="5"/>
      <c r="I24" s="5"/>
      <c r="N24" s="332"/>
    </row>
    <row r="25" spans="1:14" ht="13.5" thickBot="1" x14ac:dyDescent="0.25">
      <c r="B25" s="5" t="s">
        <v>0</v>
      </c>
      <c r="C25" s="5" t="s">
        <v>1</v>
      </c>
      <c r="D25" s="454"/>
      <c r="E25" s="455"/>
      <c r="F25" s="5" t="s">
        <v>2</v>
      </c>
      <c r="G25" s="5" t="s">
        <v>238</v>
      </c>
      <c r="H25" s="5" t="s">
        <v>219</v>
      </c>
      <c r="I25" s="5" t="s">
        <v>2</v>
      </c>
      <c r="N25" s="332"/>
    </row>
    <row r="26" spans="1:14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4" x14ac:dyDescent="0.2">
      <c r="A27" s="43" t="s">
        <v>15</v>
      </c>
      <c r="B27" s="12">
        <f>(Cargo!S16+'Major Airline Stats'!K28+'Regional Major'!M25)*0.00045359237</f>
        <v>8104.4401989383132</v>
      </c>
      <c r="C27" s="12">
        <f>(Cargo!S21+'Major Airline Stats'!K33+'Regional Major'!M30)*0.00045359237</f>
        <v>6612.2382831105369</v>
      </c>
      <c r="D27" s="12">
        <f>SUM(B27:C27)</f>
        <v>14716.67848204885</v>
      </c>
      <c r="E27" s="2">
        <f>'[1]Monthly Summary'!D27</f>
        <v>15523.322114558025</v>
      </c>
      <c r="F27" s="73">
        <f>(D27-E27)/E27</f>
        <v>-5.1963337909009241E-2</v>
      </c>
      <c r="G27" s="2">
        <f>'[2]Monthly Summary'!G27+D27</f>
        <v>60835.909271187673</v>
      </c>
      <c r="H27" s="2">
        <f>'[1]Monthly Summary'!G27</f>
        <v>62053.336359797169</v>
      </c>
      <c r="I27" s="74">
        <f>(G27-H27)/H27</f>
        <v>-1.9619043230014583E-2</v>
      </c>
      <c r="N27" s="89"/>
    </row>
    <row r="28" spans="1:14" x14ac:dyDescent="0.2">
      <c r="A28" s="43" t="s">
        <v>16</v>
      </c>
      <c r="B28" s="446">
        <f>(Cargo!S17+'Major Airline Stats'!K29+'Regional Major'!M26)*0.00045359237</f>
        <v>184.55584913612</v>
      </c>
      <c r="C28" s="447">
        <f>(Cargo!S22+'Major Airline Stats'!K34+'Regional Major'!M31)*0.00045359237</f>
        <v>143.64408532396999</v>
      </c>
      <c r="D28" s="447">
        <f>SUM(B28:C28)</f>
        <v>328.19993446008999</v>
      </c>
      <c r="E28" s="394">
        <f>'[1]Monthly Summary'!D28</f>
        <v>1030.92065620467</v>
      </c>
      <c r="F28" s="448">
        <f>(D28-E28)/E28</f>
        <v>-0.68164384670653844</v>
      </c>
      <c r="G28" s="394">
        <f>'[2]Monthly Summary'!G28+D28</f>
        <v>1261.7061860988199</v>
      </c>
      <c r="H28" s="394">
        <f>'[1]Monthly Summary'!G28</f>
        <v>5067.8337821965706</v>
      </c>
      <c r="I28" s="449">
        <f>(G28-H28)/H28</f>
        <v>-0.75103639142009238</v>
      </c>
    </row>
    <row r="29" spans="1:14" ht="15.75" thickBot="1" x14ac:dyDescent="0.3">
      <c r="A29" s="44" t="s">
        <v>62</v>
      </c>
      <c r="B29" s="444">
        <f>SUM(B27:B28)</f>
        <v>8288.9960480744339</v>
      </c>
      <c r="C29" s="444">
        <f>SUM(C27:C28)</f>
        <v>6755.882368434507</v>
      </c>
      <c r="D29" s="444">
        <f>SUM(D27:D28)</f>
        <v>15044.87841650894</v>
      </c>
      <c r="E29" s="444">
        <f>SUM(E27:E28)</f>
        <v>16554.242770762696</v>
      </c>
      <c r="F29" s="70">
        <f>(D29-E29)/E29</f>
        <v>-9.1176888919348345E-2</v>
      </c>
      <c r="G29" s="444">
        <f>SUM(G27:G28)</f>
        <v>62097.615457286491</v>
      </c>
      <c r="H29" s="444">
        <f>SUM(H27:H28)</f>
        <v>67121.170141993745</v>
      </c>
      <c r="I29" s="445">
        <f>(G29-H29)/H29</f>
        <v>-7.4843073714001201E-2</v>
      </c>
    </row>
    <row r="30" spans="1:14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4" ht="13.5" thickBot="1" x14ac:dyDescent="0.25">
      <c r="B31" s="452" t="s">
        <v>142</v>
      </c>
      <c r="C31" s="451"/>
      <c r="D31" s="452" t="s">
        <v>149</v>
      </c>
      <c r="E31" s="451"/>
      <c r="F31" s="300"/>
      <c r="G31" s="301"/>
    </row>
    <row r="32" spans="1:14" x14ac:dyDescent="0.2">
      <c r="A32" s="282" t="s">
        <v>143</v>
      </c>
      <c r="B32" s="283">
        <f>C8-B33</f>
        <v>958039</v>
      </c>
      <c r="C32" s="284">
        <f>B32/C8</f>
        <v>0.68037420478287858</v>
      </c>
      <c r="D32" s="285">
        <f>+'[2]Monthly Summary'!D32+B32</f>
        <v>3915404</v>
      </c>
      <c r="E32" s="286">
        <f>+D32/D34</f>
        <v>0.71027659652433939</v>
      </c>
      <c r="G32" s="2"/>
      <c r="I32" s="299"/>
    </row>
    <row r="33" spans="1:14" ht="13.5" thickBot="1" x14ac:dyDescent="0.25">
      <c r="A33" s="287" t="s">
        <v>144</v>
      </c>
      <c r="B33" s="288">
        <f>'Major Airline Stats'!K51+'Regional Major'!M45</f>
        <v>450067</v>
      </c>
      <c r="C33" s="289">
        <f>+B33/C8</f>
        <v>0.31962579521712142</v>
      </c>
      <c r="D33" s="290">
        <f>+'[2]Monthly Summary'!D33+B33</f>
        <v>1597102</v>
      </c>
      <c r="E33" s="291">
        <f>+D33/D34</f>
        <v>0.28972340347566061</v>
      </c>
      <c r="G33" s="222"/>
      <c r="H33" s="428"/>
      <c r="I33" s="299"/>
    </row>
    <row r="34" spans="1:14" ht="13.5" thickBot="1" x14ac:dyDescent="0.25">
      <c r="B34" s="222"/>
      <c r="D34" s="292">
        <f>SUM(D32:D33)</f>
        <v>5512506</v>
      </c>
    </row>
    <row r="35" spans="1:14" ht="13.5" thickBot="1" x14ac:dyDescent="0.25">
      <c r="B35" s="450" t="s">
        <v>251</v>
      </c>
      <c r="C35" s="451"/>
      <c r="D35" s="452" t="s">
        <v>239</v>
      </c>
      <c r="E35" s="451"/>
    </row>
    <row r="36" spans="1:14" x14ac:dyDescent="0.2">
      <c r="A36" s="282" t="s">
        <v>143</v>
      </c>
      <c r="B36" s="283">
        <f>'[1]Monthly Summary'!$B$32</f>
        <v>887041</v>
      </c>
      <c r="C36" s="284">
        <f>+B36/B38</f>
        <v>0.68030198796987174</v>
      </c>
      <c r="D36" s="285">
        <f>+'[1]Monthly Summary'!D32</f>
        <v>3625117</v>
      </c>
      <c r="E36" s="286">
        <f>+D36/D38</f>
        <v>0.71502731809305908</v>
      </c>
    </row>
    <row r="37" spans="1:14" ht="13.5" thickBot="1" x14ac:dyDescent="0.25">
      <c r="A37" s="287" t="s">
        <v>144</v>
      </c>
      <c r="B37" s="288">
        <f>'[1]Monthly Summary'!$B$33</f>
        <v>416852</v>
      </c>
      <c r="C37" s="291">
        <f>+B37/B38</f>
        <v>0.31969801203012826</v>
      </c>
      <c r="D37" s="290">
        <f>+'[1]Monthly Summary'!D33</f>
        <v>1444783</v>
      </c>
      <c r="E37" s="291">
        <f>+D37/D38</f>
        <v>0.28497268190694097</v>
      </c>
      <c r="G37" s="222"/>
      <c r="M37" s="1"/>
    </row>
    <row r="38" spans="1:14" x14ac:dyDescent="0.2">
      <c r="B38" s="304">
        <f>+SUM(B36:B37)</f>
        <v>1303893</v>
      </c>
      <c r="D38" s="292">
        <f>SUM(D36:D37)</f>
        <v>5069900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April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zoomScaleNormal="100" zoomScaleSheetLayoutView="100" workbookViewId="0">
      <selection activeCell="S23" sqref="S2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9.5703125" bestFit="1" customWidth="1"/>
    <col min="17" max="17" width="13.85546875" customWidth="1"/>
  </cols>
  <sheetData>
    <row r="1" spans="1:19" ht="39" thickBot="1" x14ac:dyDescent="0.25">
      <c r="A1" s="481">
        <v>45383</v>
      </c>
      <c r="B1" s="482"/>
      <c r="C1" s="317" t="s">
        <v>186</v>
      </c>
      <c r="D1" s="356" t="s">
        <v>155</v>
      </c>
      <c r="E1" s="317" t="s">
        <v>161</v>
      </c>
      <c r="F1" s="317" t="s">
        <v>160</v>
      </c>
      <c r="G1" s="317" t="s">
        <v>49</v>
      </c>
      <c r="H1" s="317" t="s">
        <v>113</v>
      </c>
      <c r="I1" s="317" t="s">
        <v>185</v>
      </c>
      <c r="J1" s="317" t="s">
        <v>236</v>
      </c>
      <c r="K1" s="317" t="s">
        <v>187</v>
      </c>
      <c r="L1" s="317" t="s">
        <v>159</v>
      </c>
      <c r="M1" s="317" t="s">
        <v>194</v>
      </c>
      <c r="N1" s="317" t="s">
        <v>154</v>
      </c>
      <c r="O1" s="317" t="s">
        <v>47</v>
      </c>
      <c r="P1" s="317" t="s">
        <v>137</v>
      </c>
      <c r="Q1" s="317" t="s">
        <v>21</v>
      </c>
    </row>
    <row r="2" spans="1:19" ht="15" x14ac:dyDescent="0.25">
      <c r="A2" s="486" t="s">
        <v>138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8"/>
    </row>
    <row r="3" spans="1:19" x14ac:dyDescent="0.2">
      <c r="A3" s="43" t="s">
        <v>29</v>
      </c>
      <c r="Q3" s="37"/>
    </row>
    <row r="4" spans="1:19" x14ac:dyDescent="0.2">
      <c r="A4" s="43" t="s">
        <v>30</v>
      </c>
      <c r="B4" s="11">
        <f>[3]Delta!$IW$32</f>
        <v>101160</v>
      </c>
      <c r="C4" s="11">
        <f>'[3]Atlantic Southeast'!$IW$32</f>
        <v>0</v>
      </c>
      <c r="D4" s="11">
        <f>[3]Pinnacle!$IW$32</f>
        <v>845</v>
      </c>
      <c r="E4" s="11">
        <f>'[3]Sky West'!$IW$32</f>
        <v>9858</v>
      </c>
      <c r="F4" s="11">
        <f>'[3]Go Jet'!$IW$32</f>
        <v>0</v>
      </c>
      <c r="G4" s="11">
        <f>'[3]Sun Country'!$IW$32</f>
        <v>19308</v>
      </c>
      <c r="H4" s="11">
        <f>[3]Icelandair!$IW$32</f>
        <v>2156</v>
      </c>
      <c r="I4" s="11">
        <f>[3]KLM!$IW$32</f>
        <v>3394</v>
      </c>
      <c r="J4" s="11">
        <f>[3]Jazz_AC!$IW$32</f>
        <v>5325</v>
      </c>
      <c r="K4" s="11">
        <f>'[3]Sky Regional'!$IW$32</f>
        <v>0</v>
      </c>
      <c r="L4" s="11">
        <f>[3]Condor!$IW$32</f>
        <v>0</v>
      </c>
      <c r="M4" s="11">
        <f>'[3]Aer Lingus'!$IW$32</f>
        <v>104</v>
      </c>
      <c r="N4" s="11">
        <f>'[3]Air France'!$IW$32</f>
        <v>0</v>
      </c>
      <c r="O4" s="11">
        <f>[3]Frontier!$IW$32</f>
        <v>0</v>
      </c>
      <c r="P4" s="11">
        <f>'[3]Charter Misc'!$IW$32+[3]Ryan!$IW$32+[3]Omni!$IW$32</f>
        <v>0</v>
      </c>
      <c r="Q4" s="197">
        <f>SUM(B4:P4)</f>
        <v>142150</v>
      </c>
    </row>
    <row r="5" spans="1:19" x14ac:dyDescent="0.2">
      <c r="A5" s="43" t="s">
        <v>31</v>
      </c>
      <c r="B5" s="7">
        <f>[3]Delta!$IW$33</f>
        <v>85668</v>
      </c>
      <c r="C5" s="7">
        <f>'[3]Atlantic Southeast'!$IW$33</f>
        <v>0</v>
      </c>
      <c r="D5" s="7">
        <f>[3]Pinnacle!$IW$33</f>
        <v>697</v>
      </c>
      <c r="E5" s="7">
        <f>'[3]Sky West'!$IW$33</f>
        <v>10548</v>
      </c>
      <c r="F5" s="7">
        <f>'[3]Go Jet'!$IW$33</f>
        <v>0</v>
      </c>
      <c r="G5" s="7">
        <f>'[3]Sun Country'!$IW$33</f>
        <v>11327</v>
      </c>
      <c r="H5" s="7">
        <f>[3]Icelandair!$IW$33</f>
        <v>2385</v>
      </c>
      <c r="I5" s="7">
        <f>[3]KLM!$IW$33</f>
        <v>2976</v>
      </c>
      <c r="J5" s="7">
        <f>[3]Jazz_AC!$IW$33</f>
        <v>4130</v>
      </c>
      <c r="K5" s="7">
        <f>'[3]Sky Regional'!$IW$33</f>
        <v>0</v>
      </c>
      <c r="L5" s="7">
        <f>[3]Condor!$IW$33</f>
        <v>0</v>
      </c>
      <c r="M5" s="7">
        <f>'[3]Aer Lingus'!$IW$33</f>
        <v>156</v>
      </c>
      <c r="N5" s="7">
        <f>'[3]Air France'!$IW$33</f>
        <v>0</v>
      </c>
      <c r="O5" s="7">
        <f>[3]Frontier!$IW$33</f>
        <v>0</v>
      </c>
      <c r="P5" s="7">
        <f>'[3]Charter Misc'!$IW$33++[3]Ryan!$IW$33+[3]Omni!$IW$33</f>
        <v>0</v>
      </c>
      <c r="Q5" s="198">
        <f>SUM(B5:P5)</f>
        <v>117887</v>
      </c>
    </row>
    <row r="6" spans="1:19" ht="15" x14ac:dyDescent="0.25">
      <c r="A6" s="41" t="s">
        <v>7</v>
      </c>
      <c r="B6" s="23">
        <f t="shared" ref="B6:P6" si="0">SUM(B4:B5)</f>
        <v>186828</v>
      </c>
      <c r="C6" s="23">
        <f t="shared" si="0"/>
        <v>0</v>
      </c>
      <c r="D6" s="23">
        <f t="shared" si="0"/>
        <v>1542</v>
      </c>
      <c r="E6" s="23">
        <f t="shared" si="0"/>
        <v>20406</v>
      </c>
      <c r="F6" s="23">
        <f t="shared" ref="F6" si="1">SUM(F4:F5)</f>
        <v>0</v>
      </c>
      <c r="G6" s="23">
        <f t="shared" si="0"/>
        <v>30635</v>
      </c>
      <c r="H6" s="23">
        <f t="shared" si="0"/>
        <v>4541</v>
      </c>
      <c r="I6" s="23">
        <f t="shared" ref="I6" si="2">SUM(I4:I5)</f>
        <v>6370</v>
      </c>
      <c r="J6" s="23">
        <f t="shared" si="0"/>
        <v>9455</v>
      </c>
      <c r="K6" s="23">
        <f t="shared" ref="K6" si="3">SUM(K4:K5)</f>
        <v>0</v>
      </c>
      <c r="L6" s="23">
        <f t="shared" ref="L6:M6" si="4">SUM(L4:L5)</f>
        <v>0</v>
      </c>
      <c r="M6" s="23">
        <f t="shared" si="4"/>
        <v>260</v>
      </c>
      <c r="N6" s="23">
        <f t="shared" si="0"/>
        <v>0</v>
      </c>
      <c r="O6" s="23">
        <f t="shared" si="0"/>
        <v>0</v>
      </c>
      <c r="P6" s="23">
        <f t="shared" si="0"/>
        <v>0</v>
      </c>
      <c r="Q6" s="199">
        <f>SUM(B6:P6)</f>
        <v>260037</v>
      </c>
    </row>
    <row r="7" spans="1:19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97"/>
    </row>
    <row r="8" spans="1:19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97">
        <f>SUM(B8:P8)</f>
        <v>0</v>
      </c>
    </row>
    <row r="9" spans="1:19" x14ac:dyDescent="0.2">
      <c r="A9" s="43" t="s">
        <v>30</v>
      </c>
      <c r="B9" s="11">
        <f>[3]Delta!$IW$37</f>
        <v>2660</v>
      </c>
      <c r="C9" s="11">
        <f>'[3]Atlantic Southeast'!$IW$37</f>
        <v>0</v>
      </c>
      <c r="D9" s="11">
        <f>[3]Pinnacle!$IW$37</f>
        <v>5</v>
      </c>
      <c r="E9" s="11">
        <f>'[3]Sky West'!$IW$37</f>
        <v>185</v>
      </c>
      <c r="F9" s="11">
        <f>'[3]Go Jet'!$IW$37</f>
        <v>0</v>
      </c>
      <c r="G9" s="11">
        <f>'[3]Sun Country'!$IW$37</f>
        <v>281</v>
      </c>
      <c r="H9" s="11">
        <f>[3]Icelandair!$IW$37</f>
        <v>25</v>
      </c>
      <c r="I9" s="11">
        <f>[3]KLM!$IW$37</f>
        <v>12</v>
      </c>
      <c r="J9" s="11">
        <f>[3]Jazz_AC!$IW$37</f>
        <v>76</v>
      </c>
      <c r="K9" s="11">
        <f>'[3]Sky Regional'!$IW$37</f>
        <v>0</v>
      </c>
      <c r="L9" s="11">
        <f>[3]Condor!$IW$37</f>
        <v>0</v>
      </c>
      <c r="M9" s="11">
        <f>'[3]Aer Lingus'!$IW$37</f>
        <v>1</v>
      </c>
      <c r="N9" s="11">
        <f>'[3]Air France'!$IW$37</f>
        <v>0</v>
      </c>
      <c r="O9" s="11">
        <f>[3]Frontier!$IW$37</f>
        <v>0</v>
      </c>
      <c r="P9" s="11">
        <f>'[3]Charter Misc'!$IW$37+[3]Ryan!$IW$37+[3]Omni!$IW$37</f>
        <v>0</v>
      </c>
      <c r="Q9" s="197">
        <f>SUM(B9:P9)</f>
        <v>3245</v>
      </c>
    </row>
    <row r="10" spans="1:19" x14ac:dyDescent="0.2">
      <c r="A10" s="43" t="s">
        <v>33</v>
      </c>
      <c r="B10" s="7">
        <f>[3]Delta!$IW$38</f>
        <v>2691</v>
      </c>
      <c r="C10" s="7">
        <f>'[3]Atlantic Southeast'!$IW$38</f>
        <v>0</v>
      </c>
      <c r="D10" s="7">
        <f>[3]Pinnacle!$IW$38</f>
        <v>11</v>
      </c>
      <c r="E10" s="7">
        <f>'[3]Sky West'!$IW$38</f>
        <v>155</v>
      </c>
      <c r="F10" s="7">
        <f>'[3]Go Jet'!$IW$38</f>
        <v>0</v>
      </c>
      <c r="G10" s="7">
        <f>'[3]Sun Country'!$IW$38</f>
        <v>262</v>
      </c>
      <c r="H10" s="7">
        <f>[3]Icelandair!$IW$38</f>
        <v>20</v>
      </c>
      <c r="I10" s="7">
        <f>[3]KLM!$IW$38</f>
        <v>0</v>
      </c>
      <c r="J10" s="7">
        <f>[3]Jazz_AC!$IW$38</f>
        <v>64</v>
      </c>
      <c r="K10" s="7">
        <f>'[3]Sky Regional'!$IW$38</f>
        <v>0</v>
      </c>
      <c r="L10" s="7">
        <f>[3]Condor!$IW$38</f>
        <v>0</v>
      </c>
      <c r="M10" s="7">
        <f>'[3]Aer Lingus'!$IW$38</f>
        <v>2</v>
      </c>
      <c r="N10" s="7">
        <f>'[3]Air France'!$IW$38</f>
        <v>0</v>
      </c>
      <c r="O10" s="7">
        <f>[3]Frontier!$IW$38</f>
        <v>0</v>
      </c>
      <c r="P10" s="7">
        <f>'[3]Charter Misc'!$IW$38+[3]Ryan!$IW$38+[3]Omni!$IW$38</f>
        <v>0</v>
      </c>
      <c r="Q10" s="198">
        <f>SUM(B10:P10)</f>
        <v>3205</v>
      </c>
    </row>
    <row r="11" spans="1:19" ht="15.75" thickBot="1" x14ac:dyDescent="0.3">
      <c r="A11" s="44" t="s">
        <v>34</v>
      </c>
      <c r="B11" s="200">
        <f t="shared" ref="B11:G11" si="5">SUM(B9:B10)</f>
        <v>5351</v>
      </c>
      <c r="C11" s="200">
        <f t="shared" si="5"/>
        <v>0</v>
      </c>
      <c r="D11" s="200">
        <f t="shared" si="5"/>
        <v>16</v>
      </c>
      <c r="E11" s="200">
        <f t="shared" si="5"/>
        <v>340</v>
      </c>
      <c r="F11" s="200">
        <f t="shared" ref="F11" si="6">SUM(F9:F10)</f>
        <v>0</v>
      </c>
      <c r="G11" s="200">
        <f t="shared" si="5"/>
        <v>543</v>
      </c>
      <c r="H11" s="200">
        <f t="shared" ref="H11:P11" si="7">SUM(H9:H10)</f>
        <v>45</v>
      </c>
      <c r="I11" s="200">
        <f t="shared" ref="I11" si="8">SUM(I9:I10)</f>
        <v>12</v>
      </c>
      <c r="J11" s="200">
        <f t="shared" si="7"/>
        <v>140</v>
      </c>
      <c r="K11" s="200">
        <f t="shared" ref="K11" si="9">SUM(K9:K10)</f>
        <v>0</v>
      </c>
      <c r="L11" s="200">
        <f t="shared" si="7"/>
        <v>0</v>
      </c>
      <c r="M11" s="200">
        <f t="shared" ref="M11" si="10">SUM(M9:M10)</f>
        <v>3</v>
      </c>
      <c r="N11" s="200">
        <f t="shared" si="7"/>
        <v>0</v>
      </c>
      <c r="O11" s="200">
        <f t="shared" si="7"/>
        <v>0</v>
      </c>
      <c r="P11" s="200">
        <f t="shared" si="7"/>
        <v>0</v>
      </c>
      <c r="Q11" s="201">
        <f>SUM(B11:P11)</f>
        <v>6450</v>
      </c>
      <c r="S11" s="222"/>
    </row>
    <row r="12" spans="1:19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3"/>
    </row>
    <row r="13" spans="1:19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160</v>
      </c>
      <c r="G13" s="317" t="s">
        <v>49</v>
      </c>
      <c r="H13" s="317" t="s">
        <v>113</v>
      </c>
      <c r="I13" s="317" t="s">
        <v>185</v>
      </c>
      <c r="J13" s="317" t="s">
        <v>236</v>
      </c>
      <c r="K13" s="317" t="s">
        <v>187</v>
      </c>
      <c r="L13" s="317" t="s">
        <v>159</v>
      </c>
      <c r="M13" s="317" t="s">
        <v>194</v>
      </c>
      <c r="N13" s="317" t="s">
        <v>154</v>
      </c>
      <c r="O13" s="317" t="s">
        <v>47</v>
      </c>
      <c r="P13" s="317" t="s">
        <v>137</v>
      </c>
      <c r="Q13" s="317" t="s">
        <v>21</v>
      </c>
    </row>
    <row r="14" spans="1:19" ht="15" x14ac:dyDescent="0.25">
      <c r="A14" s="489" t="s">
        <v>139</v>
      </c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1"/>
    </row>
    <row r="15" spans="1:19" x14ac:dyDescent="0.2">
      <c r="A15" s="43" t="s">
        <v>29</v>
      </c>
      <c r="Q15" s="37"/>
    </row>
    <row r="16" spans="1:19" x14ac:dyDescent="0.2">
      <c r="A16" s="43"/>
      <c r="Q16" s="37"/>
    </row>
    <row r="17" spans="1:20" x14ac:dyDescent="0.2">
      <c r="A17" s="43" t="s">
        <v>30</v>
      </c>
      <c r="B17" s="11">
        <f>SUM([3]Delta!$IT$32:$IW$32)</f>
        <v>424491</v>
      </c>
      <c r="C17" s="11">
        <f>SUM('[3]Atlantic Southeast'!$IT$32:$IW$32)</f>
        <v>0</v>
      </c>
      <c r="D17" s="11">
        <f>SUM([3]Pinnacle!$IT$32:$IW$32)</f>
        <v>7219</v>
      </c>
      <c r="E17" s="11">
        <f>SUM('[3]Sky West'!$IT$32:$IW$32)</f>
        <v>29251</v>
      </c>
      <c r="F17" s="11">
        <f>SUM('[3]Go Jet'!$IT$32:$IW$32)</f>
        <v>0</v>
      </c>
      <c r="G17" s="11">
        <f>SUM('[3]Sun Country'!$IT$32:$IW$32)</f>
        <v>139624</v>
      </c>
      <c r="H17" s="11">
        <f>SUM([3]Icelandair!$IT$32:$IW$32)</f>
        <v>3267</v>
      </c>
      <c r="I17" s="11">
        <f>SUM([3]KLM!$IT$32:$IW$32)</f>
        <v>12983</v>
      </c>
      <c r="J17" s="11">
        <f>SUM([3]Jazz_AC!$IT$32:$IW$32)</f>
        <v>17409</v>
      </c>
      <c r="K17" s="11">
        <f>SUM('[3]Sky Regional'!$IT$32:$IW$32)</f>
        <v>0</v>
      </c>
      <c r="L17" s="11">
        <f>SUM([3]Condor!$IT$32:$IW$32)</f>
        <v>0</v>
      </c>
      <c r="M17" s="11">
        <f>SUM('[3]Aer Lingus'!$IT$32:$IW$32)</f>
        <v>104</v>
      </c>
      <c r="N17" s="11">
        <f>SUM('[3]Air France'!$IT$32:$IW$32)</f>
        <v>0</v>
      </c>
      <c r="O17" s="11">
        <f>SUM([3]Frontier!$IT$32:$IW$32)</f>
        <v>10257</v>
      </c>
      <c r="P17" s="11">
        <f>SUM('[3]Charter Misc'!$IT$32:$IW$32)+SUM([3]Ryan!$IT$32:$IW$32)+SUM([3]Omni!$IT$32:$IW$32)</f>
        <v>240</v>
      </c>
      <c r="Q17" s="197">
        <f>SUM(B17:P17)</f>
        <v>644845</v>
      </c>
    </row>
    <row r="18" spans="1:20" x14ac:dyDescent="0.2">
      <c r="A18" s="43" t="s">
        <v>31</v>
      </c>
      <c r="B18" s="7">
        <f>SUM([3]Delta!$IT$33:$IW$33)</f>
        <v>411197</v>
      </c>
      <c r="C18" s="7">
        <f>SUM('[3]Atlantic Southeast'!$IT$33:$IW$33)</f>
        <v>0</v>
      </c>
      <c r="D18" s="7">
        <f>SUM([3]Pinnacle!$IT$33:$IW$33)</f>
        <v>7439</v>
      </c>
      <c r="E18" s="7">
        <f>SUM('[3]Sky West'!$IT$33:$IW$33)</f>
        <v>30475</v>
      </c>
      <c r="F18" s="7">
        <f>SUM('[3]Go Jet'!$IT$33:$IW$33)</f>
        <v>0</v>
      </c>
      <c r="G18" s="7">
        <f>SUM('[3]Sun Country'!$IT$33:$IW$33)</f>
        <v>133376</v>
      </c>
      <c r="H18" s="7">
        <f>SUM([3]Icelandair!$IT$33:$IW$33)</f>
        <v>3391</v>
      </c>
      <c r="I18" s="7">
        <f>SUM([3]KLM!$IT$33:$IW$33)</f>
        <v>10387</v>
      </c>
      <c r="J18" s="7">
        <f>SUM([3]Jazz_AC!$IT$33:$IW$33)</f>
        <v>15438</v>
      </c>
      <c r="K18" s="7">
        <f>SUM('[3]Sky Regional'!$IT$33:$IW$33)</f>
        <v>0</v>
      </c>
      <c r="L18" s="7">
        <f>SUM([3]Condor!$IT$33:$IW$33)</f>
        <v>0</v>
      </c>
      <c r="M18" s="7">
        <f>SUM('[3]Aer Lingus'!$IT$33:$IW$33)</f>
        <v>156</v>
      </c>
      <c r="N18" s="7">
        <f>SUM('[3]Air France'!$IT$33:$IW$33)</f>
        <v>0</v>
      </c>
      <c r="O18" s="7">
        <f>SUM([3]Frontier!$IT$33:$IW$33)</f>
        <v>10283</v>
      </c>
      <c r="P18" s="7">
        <f>SUM('[3]Charter Misc'!$IT$33:$IW$33)++SUM([3]Ryan!$IT$33:$IW$33)+SUM([3]Omni!$IT$33:$IW$33)</f>
        <v>0</v>
      </c>
      <c r="Q18" s="198">
        <f>SUM(B18:P18)</f>
        <v>622142</v>
      </c>
    </row>
    <row r="19" spans="1:20" ht="15" x14ac:dyDescent="0.25">
      <c r="A19" s="41" t="s">
        <v>7</v>
      </c>
      <c r="B19" s="23">
        <f t="shared" ref="B19:P19" si="11">SUM(B17:B18)</f>
        <v>835688</v>
      </c>
      <c r="C19" s="23">
        <f t="shared" si="11"/>
        <v>0</v>
      </c>
      <c r="D19" s="23">
        <f t="shared" si="11"/>
        <v>14658</v>
      </c>
      <c r="E19" s="23">
        <f t="shared" si="11"/>
        <v>59726</v>
      </c>
      <c r="F19" s="23">
        <f t="shared" ref="F19" si="12">SUM(F17:F18)</f>
        <v>0</v>
      </c>
      <c r="G19" s="23">
        <f t="shared" si="11"/>
        <v>273000</v>
      </c>
      <c r="H19" s="23">
        <f t="shared" si="11"/>
        <v>6658</v>
      </c>
      <c r="I19" s="23">
        <f t="shared" ref="I19" si="13">SUM(I17:I18)</f>
        <v>23370</v>
      </c>
      <c r="J19" s="23">
        <f t="shared" si="11"/>
        <v>32847</v>
      </c>
      <c r="K19" s="23">
        <f t="shared" ref="K19" si="14">SUM(K17:K18)</f>
        <v>0</v>
      </c>
      <c r="L19" s="23">
        <f t="shared" ref="L19:M19" si="15">SUM(L17:L18)</f>
        <v>0</v>
      </c>
      <c r="M19" s="23">
        <f t="shared" si="15"/>
        <v>260</v>
      </c>
      <c r="N19" s="23">
        <f t="shared" si="11"/>
        <v>0</v>
      </c>
      <c r="O19" s="23">
        <f t="shared" si="11"/>
        <v>20540</v>
      </c>
      <c r="P19" s="23">
        <f t="shared" si="11"/>
        <v>240</v>
      </c>
      <c r="Q19" s="199">
        <f>SUM(B19:P19)</f>
        <v>1266987</v>
      </c>
      <c r="T19" s="222"/>
    </row>
    <row r="20" spans="1:20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97"/>
      <c r="T20" s="89"/>
    </row>
    <row r="21" spans="1:20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97">
        <f>SUM(B21:P21)</f>
        <v>0</v>
      </c>
    </row>
    <row r="22" spans="1:20" x14ac:dyDescent="0.2">
      <c r="A22" s="43" t="s">
        <v>30</v>
      </c>
      <c r="B22" s="11">
        <f>SUM([3]Delta!$IT$37:$IW$37)</f>
        <v>11724</v>
      </c>
      <c r="C22" s="11">
        <f>SUM('[3]Atlantic Southeast'!$IT$37:$IW$37)</f>
        <v>0</v>
      </c>
      <c r="D22" s="11">
        <f>SUM([3]Pinnacle!$IT$37:$IW$37)</f>
        <v>129</v>
      </c>
      <c r="E22" s="11">
        <f>SUM('[3]Sky West'!$IT$37:$IW$37)</f>
        <v>476</v>
      </c>
      <c r="F22" s="11">
        <f>SUM('[3]Go Jet'!$IT$37:$IW$37)</f>
        <v>0</v>
      </c>
      <c r="G22" s="11">
        <f>SUM('[3]Sun Country'!$IT$37:$IW$37)</f>
        <v>1960</v>
      </c>
      <c r="H22" s="11">
        <f>SUM([3]Icelandair!$IT$37:$IW$37)</f>
        <v>65</v>
      </c>
      <c r="I22" s="11">
        <f>SUM([3]KLM!$IT$37:$IW$37)</f>
        <v>40</v>
      </c>
      <c r="J22" s="11">
        <f>SUM([3]Jazz_AC!$IT$37:$IW$37)</f>
        <v>265</v>
      </c>
      <c r="K22" s="11">
        <f>SUM('[3]Sky Regional'!$IT$37:$IW$37)</f>
        <v>0</v>
      </c>
      <c r="L22" s="11">
        <f>SUM([3]Condor!$IT$37:$IW$37)</f>
        <v>0</v>
      </c>
      <c r="M22" s="11">
        <f>SUM('[3]Aer Lingus'!$IT$37:$IW$37)</f>
        <v>1</v>
      </c>
      <c r="N22" s="11">
        <f>SUM('[3]Air France'!$IT$37:$IW$37)</f>
        <v>0</v>
      </c>
      <c r="O22" s="11">
        <f>SUM([3]Frontier!$IT$37:$IW$37)</f>
        <v>10</v>
      </c>
      <c r="P22" s="11">
        <f>SUM('[3]Charter Misc'!$IT$37:$IW$37)++SUM([3]Ryan!$IT$37:$IW$37)+SUM([3]Omni!$IT$37:$IW$37)</f>
        <v>0</v>
      </c>
      <c r="Q22" s="197">
        <f>SUM(B22:P22)</f>
        <v>14670</v>
      </c>
    </row>
    <row r="23" spans="1:20" x14ac:dyDescent="0.2">
      <c r="A23" s="43" t="s">
        <v>33</v>
      </c>
      <c r="B23" s="7">
        <f>SUM([3]Delta!$IT$38:$IW$38)</f>
        <v>11841</v>
      </c>
      <c r="C23" s="7">
        <f>SUM('[3]Atlantic Southeast'!$IT$38:$IW$38)</f>
        <v>0</v>
      </c>
      <c r="D23" s="7">
        <f>SUM([3]Pinnacle!$IT$38:$IW$38)</f>
        <v>130</v>
      </c>
      <c r="E23" s="7">
        <f>SUM('[3]Sky West'!$IT$38:$IW$38)</f>
        <v>398</v>
      </c>
      <c r="F23" s="7">
        <f>SUM('[3]Go Jet'!$IT$38:$IW$38)</f>
        <v>0</v>
      </c>
      <c r="G23" s="7">
        <f>SUM('[3]Sun Country'!$IT$38:$IW$38)</f>
        <v>1981</v>
      </c>
      <c r="H23" s="7">
        <f>SUM([3]Icelandair!$IT$38:$IW$38)</f>
        <v>42</v>
      </c>
      <c r="I23" s="7">
        <f>SUM([3]KLM!$IT$38:$IW$38)</f>
        <v>0</v>
      </c>
      <c r="J23" s="7">
        <f>SUM([3]Jazz_AC!$IT$38:$IW$38)</f>
        <v>260</v>
      </c>
      <c r="K23" s="7">
        <f>SUM('[3]Sky Regional'!$IT$38:$IW$38)</f>
        <v>0</v>
      </c>
      <c r="L23" s="7">
        <f>SUM([3]Condor!$IT$38:$IW$38)</f>
        <v>0</v>
      </c>
      <c r="M23" s="7">
        <f>SUM('[3]Aer Lingus'!$IT$38:$IW$38)</f>
        <v>2</v>
      </c>
      <c r="N23" s="7">
        <f>SUM('[3]Air France'!$IT$38:$IW$38)</f>
        <v>0</v>
      </c>
      <c r="O23" s="7">
        <f>SUM([3]Frontier!$IT$38:$IW$38)</f>
        <v>6</v>
      </c>
      <c r="P23" s="7">
        <f>SUM('[3]Charter Misc'!$IT$38:$IW$38)++SUM([3]Ryan!$IT$38:$IW$38)+SUM([3]Omni!$IT$38:$IW$38)</f>
        <v>201</v>
      </c>
      <c r="Q23" s="198">
        <f>SUM(B23:P23)</f>
        <v>14861</v>
      </c>
    </row>
    <row r="24" spans="1:20" ht="15.75" thickBot="1" x14ac:dyDescent="0.3">
      <c r="A24" s="44" t="s">
        <v>34</v>
      </c>
      <c r="B24" s="200">
        <f t="shared" ref="B24:P24" si="16">SUM(B22:B23)</f>
        <v>23565</v>
      </c>
      <c r="C24" s="200">
        <f t="shared" si="16"/>
        <v>0</v>
      </c>
      <c r="D24" s="200">
        <f t="shared" si="16"/>
        <v>259</v>
      </c>
      <c r="E24" s="200">
        <f t="shared" si="16"/>
        <v>874</v>
      </c>
      <c r="F24" s="200">
        <f t="shared" ref="F24" si="17">SUM(F22:F23)</f>
        <v>0</v>
      </c>
      <c r="G24" s="200">
        <f t="shared" si="16"/>
        <v>3941</v>
      </c>
      <c r="H24" s="200">
        <f t="shared" si="16"/>
        <v>107</v>
      </c>
      <c r="I24" s="200">
        <f t="shared" ref="I24" si="18">SUM(I22:I23)</f>
        <v>40</v>
      </c>
      <c r="J24" s="200">
        <f t="shared" si="16"/>
        <v>525</v>
      </c>
      <c r="K24" s="200">
        <f t="shared" ref="K24" si="19">SUM(K22:K23)</f>
        <v>0</v>
      </c>
      <c r="L24" s="200">
        <f t="shared" ref="L24:M24" si="20">SUM(L22:L23)</f>
        <v>0</v>
      </c>
      <c r="M24" s="200">
        <f t="shared" si="20"/>
        <v>3</v>
      </c>
      <c r="N24" s="200">
        <f t="shared" si="16"/>
        <v>0</v>
      </c>
      <c r="O24" s="200">
        <f t="shared" si="16"/>
        <v>16</v>
      </c>
      <c r="P24" s="200">
        <f t="shared" si="16"/>
        <v>201</v>
      </c>
      <c r="Q24" s="201">
        <f>SUM(B24:P24)</f>
        <v>29531</v>
      </c>
    </row>
    <row r="26" spans="1:20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160</v>
      </c>
      <c r="G26" s="317" t="s">
        <v>49</v>
      </c>
      <c r="H26" s="317" t="s">
        <v>113</v>
      </c>
      <c r="I26" s="317" t="s">
        <v>185</v>
      </c>
      <c r="J26" s="317" t="s">
        <v>236</v>
      </c>
      <c r="K26" s="317" t="s">
        <v>187</v>
      </c>
      <c r="L26" s="317" t="s">
        <v>159</v>
      </c>
      <c r="M26" s="317" t="s">
        <v>194</v>
      </c>
      <c r="N26" s="317" t="s">
        <v>154</v>
      </c>
      <c r="O26" s="317" t="s">
        <v>47</v>
      </c>
      <c r="P26" s="317" t="s">
        <v>137</v>
      </c>
      <c r="Q26" s="317" t="s">
        <v>21</v>
      </c>
    </row>
    <row r="27" spans="1:20" ht="15" x14ac:dyDescent="0.25">
      <c r="A27" s="492" t="s">
        <v>140</v>
      </c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4"/>
    </row>
    <row r="28" spans="1:20" x14ac:dyDescent="0.2">
      <c r="A28" s="43" t="s">
        <v>22</v>
      </c>
      <c r="B28" s="11">
        <f>[3]Delta!$IW$15</f>
        <v>550</v>
      </c>
      <c r="C28" s="11">
        <f>'[3]Atlantic Southeast'!$IW$15</f>
        <v>0</v>
      </c>
      <c r="D28" s="11">
        <f>[3]Pinnacle!$IW$15</f>
        <v>12</v>
      </c>
      <c r="E28" s="11">
        <f>'[3]Sky West'!$IW$15</f>
        <v>159</v>
      </c>
      <c r="F28" s="11">
        <f>'[3]Go Jet'!$IW$15</f>
        <v>0</v>
      </c>
      <c r="G28" s="11">
        <f>'[3]Sun Country'!$IW$15</f>
        <v>134</v>
      </c>
      <c r="H28" s="11">
        <f>[3]Icelandair!$IW$15</f>
        <v>16</v>
      </c>
      <c r="I28" s="11">
        <f>[3]KLM!$IW$15</f>
        <v>12</v>
      </c>
      <c r="J28" s="11">
        <f>[3]Jazz_AC!$IW$15</f>
        <v>90</v>
      </c>
      <c r="K28" s="11">
        <f>'[3]Sky Regional'!$IW$15</f>
        <v>0</v>
      </c>
      <c r="L28" s="11">
        <f>[3]Condor!$IW$15</f>
        <v>0</v>
      </c>
      <c r="M28" s="11">
        <f>'[3]Aer Lingus'!$IW$15</f>
        <v>1</v>
      </c>
      <c r="N28" s="11">
        <f>'[3]Air France'!$IW$15</f>
        <v>0</v>
      </c>
      <c r="O28" s="11">
        <f>[3]Frontier!$IW$15</f>
        <v>0</v>
      </c>
      <c r="P28" s="11">
        <f>'[3]Charter Misc'!$IW$15+[3]Ryan!$IW$15+[3]Omni!$IW$15</f>
        <v>0</v>
      </c>
      <c r="Q28" s="197">
        <f>SUM(B28:P28)</f>
        <v>974</v>
      </c>
    </row>
    <row r="29" spans="1:20" x14ac:dyDescent="0.2">
      <c r="A29" s="43" t="s">
        <v>23</v>
      </c>
      <c r="B29" s="11">
        <f>[3]Delta!$IW$16</f>
        <v>539</v>
      </c>
      <c r="C29" s="11">
        <f>'[3]Atlantic Southeast'!$IW$16</f>
        <v>0</v>
      </c>
      <c r="D29" s="11">
        <f>[3]Pinnacle!$IW$16</f>
        <v>10</v>
      </c>
      <c r="E29" s="11">
        <f>'[3]Sky West'!$IW$16</f>
        <v>161</v>
      </c>
      <c r="F29" s="11">
        <f>'[3]Go Jet'!$IW$16</f>
        <v>0</v>
      </c>
      <c r="G29" s="11">
        <f>'[3]Sun Country'!$IW$16</f>
        <v>134</v>
      </c>
      <c r="H29" s="11">
        <f>[3]Icelandair!$IW$16</f>
        <v>16</v>
      </c>
      <c r="I29" s="11">
        <f>[3]KLM!$IW$16</f>
        <v>12</v>
      </c>
      <c r="J29" s="11">
        <f>[3]Jazz_AC!$IW$16</f>
        <v>90</v>
      </c>
      <c r="K29" s="11">
        <f>'[3]Sky Regional'!$IW$16</f>
        <v>0</v>
      </c>
      <c r="L29" s="11">
        <f>[3]Condor!$IW$16</f>
        <v>0</v>
      </c>
      <c r="M29" s="11">
        <f>'[3]Aer Lingus'!$IW$16</f>
        <v>1</v>
      </c>
      <c r="N29" s="11">
        <f>'[3]Air France'!$IW$16</f>
        <v>0</v>
      </c>
      <c r="O29" s="11">
        <f>[3]Frontier!$IW$16</f>
        <v>0</v>
      </c>
      <c r="P29" s="11">
        <f>'[3]Charter Misc'!$IW$16+[3]Ryan!$IW$16+[3]Omni!$IW$16</f>
        <v>0</v>
      </c>
      <c r="Q29" s="197">
        <f>SUM(B29:P29)</f>
        <v>963</v>
      </c>
    </row>
    <row r="30" spans="1:20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97"/>
    </row>
    <row r="31" spans="1:20" ht="15.75" thickBot="1" x14ac:dyDescent="0.3">
      <c r="A31" s="44" t="s">
        <v>28</v>
      </c>
      <c r="B31" s="274">
        <f t="shared" ref="B31:J31" si="21">SUM(B28:B29)</f>
        <v>1089</v>
      </c>
      <c r="C31" s="274">
        <f t="shared" si="21"/>
        <v>0</v>
      </c>
      <c r="D31" s="274">
        <f t="shared" si="21"/>
        <v>22</v>
      </c>
      <c r="E31" s="274">
        <f>SUM(E28:E29)</f>
        <v>320</v>
      </c>
      <c r="F31" s="274">
        <f>SUM(F28:F29)</f>
        <v>0</v>
      </c>
      <c r="G31" s="274">
        <f t="shared" si="21"/>
        <v>268</v>
      </c>
      <c r="H31" s="274">
        <f t="shared" si="21"/>
        <v>32</v>
      </c>
      <c r="I31" s="274">
        <f t="shared" ref="I31" si="22">SUM(I28:I29)</f>
        <v>24</v>
      </c>
      <c r="J31" s="274">
        <f t="shared" si="21"/>
        <v>180</v>
      </c>
      <c r="K31" s="274">
        <f t="shared" ref="K31" si="23">SUM(K28:K29)</f>
        <v>0</v>
      </c>
      <c r="L31" s="274">
        <f>SUM(L28:L29)</f>
        <v>0</v>
      </c>
      <c r="M31" s="274">
        <f>SUM(M28:M29)</f>
        <v>2</v>
      </c>
      <c r="N31" s="274">
        <f>SUM(N28:N29)</f>
        <v>0</v>
      </c>
      <c r="O31" s="274">
        <f t="shared" ref="O31" si="24">SUM(O28:O29)</f>
        <v>0</v>
      </c>
      <c r="P31" s="274">
        <f>SUM(P28:P29)</f>
        <v>0</v>
      </c>
      <c r="Q31" s="275">
        <f>SUM(B31:P31)</f>
        <v>1937</v>
      </c>
    </row>
    <row r="32" spans="1:20" ht="15" x14ac:dyDescent="0.25">
      <c r="A32" s="276"/>
    </row>
    <row r="33" spans="1:17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160</v>
      </c>
      <c r="G33" s="317" t="s">
        <v>49</v>
      </c>
      <c r="H33" s="317" t="s">
        <v>113</v>
      </c>
      <c r="I33" s="317" t="s">
        <v>185</v>
      </c>
      <c r="J33" s="317" t="s">
        <v>236</v>
      </c>
      <c r="K33" s="317" t="s">
        <v>187</v>
      </c>
      <c r="L33" s="317" t="s">
        <v>159</v>
      </c>
      <c r="M33" s="317" t="s">
        <v>194</v>
      </c>
      <c r="N33" s="317" t="s">
        <v>154</v>
      </c>
      <c r="O33" s="317" t="s">
        <v>47</v>
      </c>
      <c r="P33" s="317" t="s">
        <v>137</v>
      </c>
      <c r="Q33" s="317" t="s">
        <v>21</v>
      </c>
    </row>
    <row r="34" spans="1:17" ht="15" x14ac:dyDescent="0.25">
      <c r="A34" s="495" t="s">
        <v>141</v>
      </c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7"/>
    </row>
    <row r="35" spans="1:17" x14ac:dyDescent="0.2">
      <c r="A35" s="43" t="s">
        <v>22</v>
      </c>
      <c r="B35" s="11">
        <f>SUM([3]Delta!$IT$15:$IW$15)</f>
        <v>2538</v>
      </c>
      <c r="C35" s="11">
        <f>SUM('[3]Atlantic Southeast'!$IT$15:$IW$15)</f>
        <v>0</v>
      </c>
      <c r="D35" s="11">
        <f>SUM([3]Pinnacle!$IT$15:$IW$15)</f>
        <v>126</v>
      </c>
      <c r="E35" s="11">
        <f>SUM('[3]Sky West'!$IT$15:$IW$15)</f>
        <v>468</v>
      </c>
      <c r="F35" s="11">
        <f>SUM('[3]Go Jet'!$IT$15:$IW$15)</f>
        <v>0</v>
      </c>
      <c r="G35" s="11">
        <f>SUM('[3]Sun Country'!$IT$15:$IW$15)</f>
        <v>934</v>
      </c>
      <c r="H35" s="11">
        <f>SUM([3]Icelandair!$IT$15:$IW$15)</f>
        <v>25</v>
      </c>
      <c r="I35" s="11">
        <f>SUM([3]KLM!$IT$15:$IW$15)</f>
        <v>56</v>
      </c>
      <c r="J35" s="11">
        <f>SUM([3]Jazz_AC!$IT$15:$IW$15)</f>
        <v>363</v>
      </c>
      <c r="K35" s="11">
        <f>SUM('[3]Sky Regional'!$IT$15:$IW$15)</f>
        <v>0</v>
      </c>
      <c r="L35" s="11">
        <f>SUM([3]Condor!$IT$15:$IW$15)</f>
        <v>0</v>
      </c>
      <c r="M35" s="11">
        <f>SUM('[3]Aer Lingus'!$IT$15:$IW$15)</f>
        <v>1</v>
      </c>
      <c r="N35" s="11">
        <f>SUM('[3]Air France'!$IT$15:$IW$15)</f>
        <v>0</v>
      </c>
      <c r="O35" s="11">
        <f>SUM([3]Frontier!$IT$15:$IW$15)</f>
        <v>66</v>
      </c>
      <c r="P35" s="11">
        <f>SUM('[3]Charter Misc'!$IT$15:$IW$15)+SUM([3]Ryan!$IT$15:$IW$15)+SUM([3]Omni!$IT$15:$IW$15)</f>
        <v>3</v>
      </c>
      <c r="Q35" s="197">
        <f>SUM(B35:P35)</f>
        <v>4580</v>
      </c>
    </row>
    <row r="36" spans="1:17" x14ac:dyDescent="0.2">
      <c r="A36" s="43" t="s">
        <v>23</v>
      </c>
      <c r="B36" s="11">
        <f>SUM([3]Delta!$IT$16:$IW$16)</f>
        <v>2523</v>
      </c>
      <c r="C36" s="11">
        <f>SUM('[3]Atlantic Southeast'!$IT$16:$IW$16)</f>
        <v>0</v>
      </c>
      <c r="D36" s="11">
        <f>SUM([3]Pinnacle!$IT$16:$IW$16)</f>
        <v>124</v>
      </c>
      <c r="E36" s="11">
        <f>SUM('[3]Sky West'!$IT$16:$IW$16)</f>
        <v>470</v>
      </c>
      <c r="F36" s="11">
        <f>SUM('[3]Go Jet'!$IT$16:$IW$16)</f>
        <v>0</v>
      </c>
      <c r="G36" s="11">
        <f>SUM('[3]Sun Country'!$IT$16:$IW$16)</f>
        <v>933</v>
      </c>
      <c r="H36" s="11">
        <f>SUM([3]Icelandair!$IT$16:$IW$16)</f>
        <v>25</v>
      </c>
      <c r="I36" s="11">
        <f>SUM([3]KLM!$IT$16:$IW$16)</f>
        <v>56</v>
      </c>
      <c r="J36" s="11">
        <f>SUM([3]Jazz_AC!$IT$16:$IW$16)</f>
        <v>365</v>
      </c>
      <c r="K36" s="11">
        <f>SUM('[3]Sky Regional'!$IT$16:$IW$16)</f>
        <v>0</v>
      </c>
      <c r="L36" s="11">
        <f>SUM([3]Condor!$IT$16:$IW$16)</f>
        <v>0</v>
      </c>
      <c r="M36" s="11">
        <f>SUM('[3]Aer Lingus'!$IT$16:$IW$16)</f>
        <v>1</v>
      </c>
      <c r="N36" s="11">
        <f>SUM('[3]Air France'!$IT$16:$IW$16)</f>
        <v>0</v>
      </c>
      <c r="O36" s="11">
        <f>SUM([3]Frontier!$IT$16:$IW$16)</f>
        <v>66</v>
      </c>
      <c r="P36" s="11">
        <f>SUM('[3]Charter Misc'!$IT$16:$IW$16)+SUM([3]Ryan!$IT$16:$IW$16)+SUM([3]Omni!$IT$16:$IW$16)</f>
        <v>0</v>
      </c>
      <c r="Q36" s="197">
        <f>SUM(B36:P36)</f>
        <v>4563</v>
      </c>
    </row>
    <row r="37" spans="1:17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97"/>
    </row>
    <row r="38" spans="1:17" ht="15.75" thickBot="1" x14ac:dyDescent="0.3">
      <c r="A38" s="44" t="s">
        <v>28</v>
      </c>
      <c r="B38" s="274">
        <f t="shared" ref="B38:J38" si="25">+SUM(B35:B36)</f>
        <v>5061</v>
      </c>
      <c r="C38" s="274">
        <f t="shared" si="25"/>
        <v>0</v>
      </c>
      <c r="D38" s="274">
        <f t="shared" si="25"/>
        <v>250</v>
      </c>
      <c r="E38" s="274">
        <f>+SUM(E35:E36)</f>
        <v>938</v>
      </c>
      <c r="F38" s="274">
        <f>+SUM(F35:F36)</f>
        <v>0</v>
      </c>
      <c r="G38" s="274">
        <f t="shared" si="25"/>
        <v>1867</v>
      </c>
      <c r="H38" s="274">
        <f t="shared" si="25"/>
        <v>50</v>
      </c>
      <c r="I38" s="274">
        <f t="shared" ref="I38" si="26">+SUM(I35:I36)</f>
        <v>112</v>
      </c>
      <c r="J38" s="274">
        <f t="shared" si="25"/>
        <v>728</v>
      </c>
      <c r="K38" s="274">
        <f t="shared" ref="K38" si="27">+SUM(K35:K36)</f>
        <v>0</v>
      </c>
      <c r="L38" s="274">
        <f>+SUM(L35:L36)</f>
        <v>0</v>
      </c>
      <c r="M38" s="274">
        <f>+SUM(M35:M36)</f>
        <v>2</v>
      </c>
      <c r="N38" s="274">
        <f>+SUM(N35:N36)</f>
        <v>0</v>
      </c>
      <c r="O38" s="274">
        <f t="shared" ref="O38" si="28">+SUM(O35:O36)</f>
        <v>132</v>
      </c>
      <c r="P38" s="274">
        <f>+SUM(P35:P36)</f>
        <v>3</v>
      </c>
      <c r="Q38" s="275">
        <f>SUM(B38:P38)</f>
        <v>9143</v>
      </c>
    </row>
  </sheetData>
  <mergeCells count="5">
    <mergeCell ref="A2:Q2"/>
    <mergeCell ref="A14:Q14"/>
    <mergeCell ref="A27:Q27"/>
    <mergeCell ref="A34:Q34"/>
    <mergeCell ref="A1:B1"/>
  </mergeCells>
  <phoneticPr fontId="6" type="noConversion"/>
  <pageMargins left="0.75" right="0.75" top="1" bottom="1" header="0.5" footer="0.5"/>
  <pageSetup scale="59" orientation="landscape" r:id="rId1"/>
  <headerFooter alignWithMargins="0">
    <oddHeader>&amp;LSchedule 9&amp;CMinneapolis-St. Paul International Airport
&amp;"Arial,Bold"International Detail&amp;"Arial,Regular"
&amp;"Arial,Bold"April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3"/>
  <sheetViews>
    <sheetView zoomScaleNormal="100" zoomScaleSheetLayoutView="85" workbookViewId="0">
      <pane ySplit="2" topLeftCell="A45" activePane="bottomLeft" state="frozen"/>
      <selection pane="bottomLeft" activeCell="B67" sqref="B67:R73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2.42578125" style="2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28515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1" t="s">
        <v>130</v>
      </c>
      <c r="B1" s="502"/>
      <c r="C1" s="399" t="s">
        <v>242</v>
      </c>
      <c r="D1" s="399" t="s">
        <v>220</v>
      </c>
      <c r="E1" s="398" t="s">
        <v>95</v>
      </c>
      <c r="F1" s="400" t="s">
        <v>243</v>
      </c>
      <c r="G1" s="399" t="s">
        <v>221</v>
      </c>
      <c r="H1" s="401" t="s">
        <v>96</v>
      </c>
      <c r="I1" s="398" t="s">
        <v>246</v>
      </c>
      <c r="J1" s="505" t="s">
        <v>134</v>
      </c>
      <c r="K1" s="506"/>
      <c r="L1" s="402" t="s">
        <v>247</v>
      </c>
      <c r="M1" s="402" t="s">
        <v>222</v>
      </c>
      <c r="N1" s="403" t="s">
        <v>96</v>
      </c>
      <c r="O1" s="404" t="s">
        <v>248</v>
      </c>
      <c r="P1" s="404" t="s">
        <v>223</v>
      </c>
      <c r="Q1" s="405" t="s">
        <v>96</v>
      </c>
      <c r="R1" s="406" t="s">
        <v>246</v>
      </c>
      <c r="S1" s="512" t="s">
        <v>208</v>
      </c>
      <c r="T1" s="513"/>
      <c r="U1" s="407" t="s">
        <v>247</v>
      </c>
      <c r="V1" s="407" t="s">
        <v>222</v>
      </c>
      <c r="W1" s="408" t="s">
        <v>96</v>
      </c>
      <c r="X1" s="409" t="s">
        <v>248</v>
      </c>
      <c r="Y1" s="409" t="s">
        <v>223</v>
      </c>
      <c r="Z1" s="410" t="s">
        <v>96</v>
      </c>
      <c r="AA1" s="411" t="s">
        <v>246</v>
      </c>
      <c r="AB1" s="507" t="s">
        <v>13</v>
      </c>
      <c r="AC1" s="508"/>
      <c r="AD1" s="430" t="s">
        <v>247</v>
      </c>
      <c r="AE1" s="430" t="s">
        <v>222</v>
      </c>
      <c r="AF1" s="431" t="s">
        <v>96</v>
      </c>
      <c r="AG1" s="432" t="s">
        <v>248</v>
      </c>
      <c r="AH1" s="432" t="s">
        <v>223</v>
      </c>
      <c r="AI1" s="433" t="s">
        <v>96</v>
      </c>
      <c r="AJ1" s="434" t="s">
        <v>246</v>
      </c>
    </row>
    <row r="2" spans="1:36" s="9" customFormat="1" ht="13.5" customHeight="1" thickBot="1" x14ac:dyDescent="0.25">
      <c r="A2" s="481">
        <v>45383</v>
      </c>
      <c r="B2" s="482"/>
      <c r="C2" s="503" t="s">
        <v>9</v>
      </c>
      <c r="D2" s="504"/>
      <c r="E2" s="504"/>
      <c r="F2" s="504"/>
      <c r="G2" s="504"/>
      <c r="H2" s="504"/>
      <c r="I2" s="324"/>
      <c r="J2" s="481">
        <f>+A2</f>
        <v>45383</v>
      </c>
      <c r="K2" s="482"/>
      <c r="L2" s="498" t="s">
        <v>136</v>
      </c>
      <c r="M2" s="499"/>
      <c r="N2" s="499"/>
      <c r="O2" s="499"/>
      <c r="P2" s="499"/>
      <c r="Q2" s="499"/>
      <c r="R2" s="500"/>
      <c r="S2" s="481">
        <f>+J2</f>
        <v>45383</v>
      </c>
      <c r="T2" s="482"/>
      <c r="U2" s="514" t="s">
        <v>209</v>
      </c>
      <c r="V2" s="515"/>
      <c r="W2" s="515"/>
      <c r="X2" s="515"/>
      <c r="Y2" s="515"/>
      <c r="Z2" s="515"/>
      <c r="AA2" s="516"/>
      <c r="AB2" s="481">
        <f>+S2</f>
        <v>45383</v>
      </c>
      <c r="AC2" s="482"/>
      <c r="AD2" s="509" t="s">
        <v>13</v>
      </c>
      <c r="AE2" s="510"/>
      <c r="AF2" s="510"/>
      <c r="AG2" s="510"/>
      <c r="AH2" s="510"/>
      <c r="AI2" s="510"/>
      <c r="AJ2" s="511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180</v>
      </c>
      <c r="D4" s="253">
        <f>SUM(D5:D7)</f>
        <v>174</v>
      </c>
      <c r="E4" s="254">
        <f>(C4-D4)/D4</f>
        <v>3.4482758620689655E-2</v>
      </c>
      <c r="F4" s="251">
        <f>SUM(F5:F7)</f>
        <v>728</v>
      </c>
      <c r="G4" s="253">
        <f>SUM(G5:G7)</f>
        <v>569</v>
      </c>
      <c r="H4" s="252">
        <f>(F4-G4)/G4</f>
        <v>0.27943760984182775</v>
      </c>
      <c r="I4" s="254">
        <f>F4/$F$64</f>
        <v>7.5572764738246253E-3</v>
      </c>
      <c r="J4" s="250" t="s">
        <v>98</v>
      </c>
      <c r="K4" s="37"/>
      <c r="L4" s="251">
        <f>SUM(L5:L7)</f>
        <v>9455</v>
      </c>
      <c r="M4" s="253">
        <f>SUM(M5:M7)</f>
        <v>9026</v>
      </c>
      <c r="N4" s="254">
        <f>(L4-M4)/M4</f>
        <v>4.7529359627742081E-2</v>
      </c>
      <c r="O4" s="251">
        <f>SUM(O5:O7)</f>
        <v>32847</v>
      </c>
      <c r="P4" s="253">
        <f>SUM(P5:P7)</f>
        <v>30542</v>
      </c>
      <c r="Q4" s="252">
        <f>(O4-P4)/P4</f>
        <v>7.5469844803876626E-2</v>
      </c>
      <c r="R4" s="254">
        <f>O4/$O$64</f>
        <v>2.9721625448161158E-3</v>
      </c>
      <c r="S4" s="250" t="s">
        <v>98</v>
      </c>
      <c r="T4" s="37"/>
      <c r="U4" s="251">
        <f>SUM(U5:U7)</f>
        <v>30624.300000000003</v>
      </c>
      <c r="V4" s="253">
        <f>SUM(V5:V7)</f>
        <v>593.1</v>
      </c>
      <c r="W4" s="254">
        <f>(U4-V4)/V4</f>
        <v>50.634294385432476</v>
      </c>
      <c r="X4" s="251">
        <f>SUM(X5:X7)</f>
        <v>77459.8</v>
      </c>
      <c r="Y4" s="253">
        <f>SUM(Y5:Y7)</f>
        <v>8123.1</v>
      </c>
      <c r="Z4" s="252">
        <f>(X4-Y4)/Y4</f>
        <v>8.5357437431522438</v>
      </c>
      <c r="AA4" s="254">
        <f>X4/$X$64</f>
        <v>3.0603641839621349E-3</v>
      </c>
      <c r="AB4" s="250" t="s">
        <v>98</v>
      </c>
      <c r="AC4" s="37"/>
      <c r="AD4" s="251">
        <f>SUM(AD5:AD7)</f>
        <v>9595</v>
      </c>
      <c r="AE4" s="253">
        <f>SUM(AE5:AE7)</f>
        <v>9117</v>
      </c>
      <c r="AF4" s="254">
        <f>(AD4-AE4)/AE4</f>
        <v>5.2429527256773065E-2</v>
      </c>
      <c r="AG4" s="251">
        <f>SUM(AG5:AG7)</f>
        <v>33372</v>
      </c>
      <c r="AH4" s="253">
        <f>SUM(AH5:AH7)</f>
        <v>30986</v>
      </c>
      <c r="AI4" s="252">
        <f>(AG4-AH4)/AH4</f>
        <v>7.7002517265862006E-2</v>
      </c>
      <c r="AJ4" s="254">
        <f>AG4/$AG$64</f>
        <v>2.9327995026579485E-3</v>
      </c>
    </row>
    <row r="5" spans="1:36" ht="14.1" customHeight="1" x14ac:dyDescent="0.2">
      <c r="A5" s="250"/>
      <c r="B5" s="310" t="s">
        <v>98</v>
      </c>
      <c r="C5" s="255">
        <f>+[3]AirCanada!$IW$19</f>
        <v>0</v>
      </c>
      <c r="D5" s="2">
        <f>+[3]AirCanada!$II$19</f>
        <v>0</v>
      </c>
      <c r="E5" s="63" t="e">
        <f>(C5-D5)/D5</f>
        <v>#DIV/0!</v>
      </c>
      <c r="F5" s="209">
        <f>SUM([3]AirCanada!$IT$19:$IW$19)</f>
        <v>0</v>
      </c>
      <c r="G5" s="209">
        <f>SUM([3]AirCanada!$IF$19:$II$19)</f>
        <v>0</v>
      </c>
      <c r="H5" s="315" t="e">
        <f>(F5-G5)/G5</f>
        <v>#DIV/0!</v>
      </c>
      <c r="I5" s="63">
        <f>F5/$F$64</f>
        <v>0</v>
      </c>
      <c r="J5" s="250"/>
      <c r="K5" s="310" t="s">
        <v>98</v>
      </c>
      <c r="L5" s="314">
        <f>+[3]AirCanada!$IW$41</f>
        <v>0</v>
      </c>
      <c r="M5" s="209">
        <f>+[3]AirCanada!$II$41</f>
        <v>0</v>
      </c>
      <c r="N5" s="316" t="e">
        <f>(L5-M5)/M5</f>
        <v>#DIV/0!</v>
      </c>
      <c r="O5" s="314">
        <f>SUM([3]AirCanada!$IT$41:$IW$41)</f>
        <v>0</v>
      </c>
      <c r="P5" s="209">
        <f>SUM([3]AirCanada!$IF$41:$II$41)</f>
        <v>0</v>
      </c>
      <c r="Q5" s="315" t="e">
        <f>(O5-P5)/P5</f>
        <v>#DIV/0!</v>
      </c>
      <c r="R5" s="316">
        <f>O5/$O$64</f>
        <v>0</v>
      </c>
      <c r="S5" s="250"/>
      <c r="T5" s="310" t="s">
        <v>98</v>
      </c>
      <c r="U5" s="314">
        <f>+[3]AirCanada!$IW$64</f>
        <v>0</v>
      </c>
      <c r="V5" s="209">
        <f>+[3]AirCanada!$II$64</f>
        <v>0</v>
      </c>
      <c r="W5" s="316" t="e">
        <f>(U5-V5)/V5</f>
        <v>#DIV/0!</v>
      </c>
      <c r="X5" s="314">
        <f>SUM([3]AirCanada!$IT$64:$IW$64)</f>
        <v>0</v>
      </c>
      <c r="Y5" s="209">
        <f>SUM([3]AirCanada!$IF$64:$II$64)</f>
        <v>0</v>
      </c>
      <c r="Z5" s="315" t="e">
        <f>(X5-Y5)/Y5</f>
        <v>#DIV/0!</v>
      </c>
      <c r="AA5" s="316">
        <f>X5/$X$64</f>
        <v>0</v>
      </c>
      <c r="AB5" s="250"/>
      <c r="AC5" s="310" t="s">
        <v>98</v>
      </c>
      <c r="AD5" s="314">
        <f>+[3]AirCanada!$IW$43</f>
        <v>0</v>
      </c>
      <c r="AE5" s="209">
        <f>+[3]AirCanada!$II$43</f>
        <v>0</v>
      </c>
      <c r="AF5" s="316" t="e">
        <f>(AD5-AE5)/AE5</f>
        <v>#DIV/0!</v>
      </c>
      <c r="AG5" s="314">
        <f>SUM([3]AirCanada!$IT$43:$IW$43)</f>
        <v>0</v>
      </c>
      <c r="AH5" s="209">
        <f>SUM([3]AirCanada!$IF$43:$II$43)</f>
        <v>0</v>
      </c>
      <c r="AI5" s="315" t="e">
        <f>(AG5-AH5)/AH5</f>
        <v>#DIV/0!</v>
      </c>
      <c r="AJ5" s="63">
        <f>AG5/$AG$64</f>
        <v>0</v>
      </c>
    </row>
    <row r="6" spans="1:36" ht="14.1" customHeight="1" x14ac:dyDescent="0.2">
      <c r="A6" s="250"/>
      <c r="B6" s="310" t="s">
        <v>162</v>
      </c>
      <c r="C6" s="255">
        <f>'[3]Air Georgian'!$IW$19</f>
        <v>0</v>
      </c>
      <c r="D6" s="2">
        <f>'[3]Air Georgian'!$II$19</f>
        <v>0</v>
      </c>
      <c r="E6" s="63" t="e">
        <f>(C6-D6)/D6</f>
        <v>#DIV/0!</v>
      </c>
      <c r="F6" s="209">
        <f>SUM('[3]Air Georgian'!$IT$19:$IW$19)</f>
        <v>0</v>
      </c>
      <c r="G6" s="209">
        <f>SUM('[3]Air Georgian'!$IF$19:$II$19)</f>
        <v>0</v>
      </c>
      <c r="H6" s="315" t="e">
        <f>(F6-G6)/G6</f>
        <v>#DIV/0!</v>
      </c>
      <c r="I6" s="63">
        <f>F6/$F$64</f>
        <v>0</v>
      </c>
      <c r="J6" s="250"/>
      <c r="K6" s="310" t="s">
        <v>162</v>
      </c>
      <c r="L6" s="255">
        <f>'[3]Air Georgian'!$IW$41</f>
        <v>0</v>
      </c>
      <c r="M6" s="2">
        <f>'[3]Air Georgian'!$II$41</f>
        <v>0</v>
      </c>
      <c r="N6" s="63" t="e">
        <f>(L6-M6)/M6</f>
        <v>#DIV/0!</v>
      </c>
      <c r="O6" s="255">
        <f>SUM('[3]Air Georgian'!$IT$41:$IW$41)</f>
        <v>0</v>
      </c>
      <c r="P6" s="2">
        <f>SUM('[3]Air Georgian'!$IF$41:$II$41)</f>
        <v>0</v>
      </c>
      <c r="Q6" s="3" t="e">
        <f>(O6-P6)/P6</f>
        <v>#DIV/0!</v>
      </c>
      <c r="R6" s="63">
        <f>O6/$O$64</f>
        <v>0</v>
      </c>
      <c r="S6" s="250"/>
      <c r="T6" s="310" t="s">
        <v>162</v>
      </c>
      <c r="U6" s="255">
        <f>'[3]Air Georgian'!$IW$64</f>
        <v>0</v>
      </c>
      <c r="V6" s="2">
        <f>'[3]Air Georgian'!$II$64</f>
        <v>0</v>
      </c>
      <c r="W6" s="63" t="e">
        <f>(U6-V6)/V6</f>
        <v>#DIV/0!</v>
      </c>
      <c r="X6" s="255">
        <f>SUM('[3]Air Georgian'!$IT$64:$IW$64)</f>
        <v>0</v>
      </c>
      <c r="Y6" s="2">
        <f>SUM('[3]Air Georgian'!$IF$64:$II$64)</f>
        <v>0</v>
      </c>
      <c r="Z6" s="3" t="e">
        <f>(X6-Y6)/Y6</f>
        <v>#DIV/0!</v>
      </c>
      <c r="AA6" s="63">
        <f>X6/$X$64</f>
        <v>0</v>
      </c>
      <c r="AB6" s="250"/>
      <c r="AC6" s="310" t="s">
        <v>162</v>
      </c>
      <c r="AD6" s="255">
        <f>'[3]Air Georgian'!$IW$43</f>
        <v>0</v>
      </c>
      <c r="AE6" s="2">
        <f>'[3]Air Georgian'!$II$43</f>
        <v>0</v>
      </c>
      <c r="AF6" s="63" t="e">
        <f>(AD6-AE6)/AE6</f>
        <v>#DIV/0!</v>
      </c>
      <c r="AG6" s="255">
        <f>SUM('[3]Air Georgian'!$IT$43:$IW$43)</f>
        <v>0</v>
      </c>
      <c r="AH6" s="2">
        <f>SUM('[3]Air Georgian'!$IF$43:$II$43)</f>
        <v>0</v>
      </c>
      <c r="AI6" s="3" t="e">
        <f>(AG6-AH6)/AH6</f>
        <v>#DIV/0!</v>
      </c>
      <c r="AJ6" s="63">
        <f t="shared" ref="AJ6:AJ7" si="0">AG6/$AG$64</f>
        <v>0</v>
      </c>
    </row>
    <row r="7" spans="1:36" ht="14.1" customHeight="1" x14ac:dyDescent="0.2">
      <c r="A7" s="250"/>
      <c r="B7" s="310" t="s">
        <v>216</v>
      </c>
      <c r="C7" s="255">
        <f>[3]Jazz_AC!$IW$19</f>
        <v>180</v>
      </c>
      <c r="D7" s="2">
        <f>[3]Jazz_AC!$II$19</f>
        <v>174</v>
      </c>
      <c r="E7" s="63">
        <f t="shared" ref="E7" si="1">(C7-D7)/D7</f>
        <v>3.4482758620689655E-2</v>
      </c>
      <c r="F7" s="2">
        <f>SUM([3]Jazz_AC!$IT$19:$IW$19)</f>
        <v>728</v>
      </c>
      <c r="G7" s="2">
        <f>SUM([3]Jazz_AC!$IF$19:$II$19)</f>
        <v>569</v>
      </c>
      <c r="H7" s="3">
        <f t="shared" ref="H7" si="2">(F7-G7)/G7</f>
        <v>0.27943760984182775</v>
      </c>
      <c r="I7" s="63">
        <f>F7/$F$64</f>
        <v>7.5572764738246253E-3</v>
      </c>
      <c r="J7" s="250"/>
      <c r="K7" s="310" t="s">
        <v>216</v>
      </c>
      <c r="L7" s="255">
        <f>[3]Jazz_AC!$IW$41</f>
        <v>9455</v>
      </c>
      <c r="M7" s="2">
        <f>[3]Jazz_AC!$II$41</f>
        <v>9026</v>
      </c>
      <c r="N7" s="63">
        <f t="shared" ref="N7" si="3">(L7-M7)/M7</f>
        <v>4.7529359627742081E-2</v>
      </c>
      <c r="O7" s="255">
        <f>SUM([3]Jazz_AC!$IT$41:$IW$41)</f>
        <v>32847</v>
      </c>
      <c r="P7" s="2">
        <f>SUM([3]Jazz_AC!$IF$41:$II$41)</f>
        <v>30542</v>
      </c>
      <c r="Q7" s="3">
        <f t="shared" ref="Q7" si="4">(O7-P7)/P7</f>
        <v>7.5469844803876626E-2</v>
      </c>
      <c r="R7" s="63">
        <f>O7/$O$64</f>
        <v>2.9721625448161158E-3</v>
      </c>
      <c r="S7" s="250"/>
      <c r="T7" s="310" t="s">
        <v>216</v>
      </c>
      <c r="U7" s="255">
        <f>[3]Jazz_AC!$IW$64</f>
        <v>30624.300000000003</v>
      </c>
      <c r="V7" s="2">
        <f>[3]Jazz_AC!$II$64</f>
        <v>593.1</v>
      </c>
      <c r="W7" s="63">
        <f t="shared" ref="W7" si="5">(U7-V7)/V7</f>
        <v>50.634294385432476</v>
      </c>
      <c r="X7" s="255">
        <f>SUM([3]Jazz_AC!$IT$64:$IW$64)</f>
        <v>77459.8</v>
      </c>
      <c r="Y7" s="2">
        <f>SUM([3]Jazz_AC!$IF$64:$II$64)</f>
        <v>8123.1</v>
      </c>
      <c r="Z7" s="3">
        <f t="shared" ref="Z7" si="6">(X7-Y7)/Y7</f>
        <v>8.5357437431522438</v>
      </c>
      <c r="AA7" s="63">
        <f>X7/$X$64</f>
        <v>3.0603641839621349E-3</v>
      </c>
      <c r="AB7" s="250"/>
      <c r="AC7" s="310" t="s">
        <v>216</v>
      </c>
      <c r="AD7" s="255">
        <f>[3]Jazz_AC!$IW$43</f>
        <v>9595</v>
      </c>
      <c r="AE7" s="2">
        <f>[3]Jazz_AC!$II$43</f>
        <v>9117</v>
      </c>
      <c r="AF7" s="63">
        <f t="shared" ref="AF7" si="7">(AD7-AE7)/AE7</f>
        <v>5.2429527256773065E-2</v>
      </c>
      <c r="AG7" s="255">
        <f>SUM([3]Jazz_AC!$IT$43:$IW$43)</f>
        <v>33372</v>
      </c>
      <c r="AH7" s="2">
        <f>SUM([3]Jazz_AC!$IF$43:$II$43)</f>
        <v>30986</v>
      </c>
      <c r="AI7" s="3">
        <f t="shared" ref="AI7" si="8">(AG7-AH7)/AH7</f>
        <v>7.7002517265862006E-2</v>
      </c>
      <c r="AJ7" s="63">
        <f t="shared" si="0"/>
        <v>2.9327995026579485E-3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France'!$IW$19</f>
        <v>0</v>
      </c>
      <c r="D9" s="253">
        <f>'[3]Air France'!$II$19</f>
        <v>0</v>
      </c>
      <c r="E9" s="254" t="e">
        <f>(C9-D9)/D9</f>
        <v>#DIV/0!</v>
      </c>
      <c r="F9" s="253">
        <f>SUM('[3]Air France'!$IT$19:$IW$19)</f>
        <v>0</v>
      </c>
      <c r="G9" s="253">
        <f>SUM('[3]Air France'!$IF$19:$II$19)</f>
        <v>0</v>
      </c>
      <c r="H9" s="252" t="e">
        <f>(F9-G9)/G9</f>
        <v>#DIV/0!</v>
      </c>
      <c r="I9" s="254">
        <f>F9/$F$64</f>
        <v>0</v>
      </c>
      <c r="J9" s="250" t="s">
        <v>154</v>
      </c>
      <c r="K9" s="37"/>
      <c r="L9" s="251">
        <f>'[3]Air France'!$IW$41</f>
        <v>0</v>
      </c>
      <c r="M9" s="253">
        <f>'[3]Air France'!$II$41</f>
        <v>0</v>
      </c>
      <c r="N9" s="254" t="e">
        <f>(L9-M9)/M9</f>
        <v>#DIV/0!</v>
      </c>
      <c r="O9" s="251">
        <f>SUM('[3]Air France'!$IT$41:$IW$41)</f>
        <v>0</v>
      </c>
      <c r="P9" s="253">
        <f>SUM('[3]Air France'!$IF$41:$II$41)</f>
        <v>0</v>
      </c>
      <c r="Q9" s="252" t="e">
        <f>(O9-P9)/P9</f>
        <v>#DIV/0!</v>
      </c>
      <c r="R9" s="254">
        <f>O9/$O$64</f>
        <v>0</v>
      </c>
      <c r="S9" s="250" t="s">
        <v>154</v>
      </c>
      <c r="T9" s="37"/>
      <c r="U9" s="251">
        <f>'[3]Air France'!$IW$64</f>
        <v>0</v>
      </c>
      <c r="V9" s="253">
        <f>'[3]Air France'!$II$64</f>
        <v>0</v>
      </c>
      <c r="W9" s="254" t="e">
        <f>(U9-V9)/V9</f>
        <v>#DIV/0!</v>
      </c>
      <c r="X9" s="251">
        <f>SUM('[3]Air France'!$IT$64:$IW$64)</f>
        <v>0</v>
      </c>
      <c r="Y9" s="253">
        <f>SUM('[3]Air France'!$IF$64:$II$64)</f>
        <v>0</v>
      </c>
      <c r="Z9" s="252" t="e">
        <f>(X9-Y9)/Y9</f>
        <v>#DIV/0!</v>
      </c>
      <c r="AA9" s="254">
        <f>X9/$X$64</f>
        <v>0</v>
      </c>
      <c r="AB9" s="250" t="s">
        <v>154</v>
      </c>
      <c r="AC9" s="37"/>
      <c r="AD9" s="251">
        <f>'[3]Air France'!$IW$43</f>
        <v>0</v>
      </c>
      <c r="AE9" s="253">
        <f>'[3]Air France'!$II$43</f>
        <v>0</v>
      </c>
      <c r="AF9" s="254" t="e">
        <f>(AD9-AE9)/AE9</f>
        <v>#DIV/0!</v>
      </c>
      <c r="AG9" s="251">
        <f>SUM('[3]Air France'!$IT$43:$IW$43)</f>
        <v>0</v>
      </c>
      <c r="AH9" s="253">
        <f>SUM('[3]Air France'!$IF$43:$II$43)</f>
        <v>0</v>
      </c>
      <c r="AI9" s="252" t="e">
        <f>(AG9-AH9)/AH9</f>
        <v>#DIV/0!</v>
      </c>
      <c r="AJ9" s="254">
        <f>AG9/$AG$64</f>
        <v>0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194</v>
      </c>
      <c r="B11" s="37"/>
      <c r="C11" s="251">
        <f>'[3]Aer Lingus'!$IW$19</f>
        <v>2</v>
      </c>
      <c r="D11" s="253">
        <f>'[3]Aer Lingus'!$II$19</f>
        <v>0</v>
      </c>
      <c r="E11" s="254" t="e">
        <f>(C11-D11)/D11</f>
        <v>#DIV/0!</v>
      </c>
      <c r="F11" s="253">
        <f>SUM('[3]Aer Lingus'!$IT$19:$IW$19)</f>
        <v>2</v>
      </c>
      <c r="G11" s="253">
        <f>SUM('[3]Aer Lingus'!$IF$19:$II$19)</f>
        <v>0</v>
      </c>
      <c r="H11" s="252" t="e">
        <f>(F11-G11)/G11</f>
        <v>#DIV/0!</v>
      </c>
      <c r="I11" s="254">
        <f>F11/$F$64</f>
        <v>2.0761748554463257E-5</v>
      </c>
      <c r="J11" s="250" t="s">
        <v>194</v>
      </c>
      <c r="K11" s="37"/>
      <c r="L11" s="251">
        <f>'[3]Aer Lingus'!$IW$41</f>
        <v>260</v>
      </c>
      <c r="M11" s="253">
        <f>'[3]Aer Lingus'!$II$41</f>
        <v>0</v>
      </c>
      <c r="N11" s="254" t="e">
        <f>(L11-M11)/M11</f>
        <v>#DIV/0!</v>
      </c>
      <c r="O11" s="251">
        <f>SUM('[3]Aer Lingus'!$IT$41:$IW$41)</f>
        <v>260</v>
      </c>
      <c r="P11" s="253">
        <f>SUM('[3]Aer Lingus'!$IF$41:$II$41)</f>
        <v>0</v>
      </c>
      <c r="Q11" s="252" t="e">
        <f>(O11-P11)/P11</f>
        <v>#DIV/0!</v>
      </c>
      <c r="R11" s="254">
        <f>O11/$O$64</f>
        <v>2.3526113850646638E-5</v>
      </c>
      <c r="S11" s="250" t="s">
        <v>194</v>
      </c>
      <c r="T11" s="37"/>
      <c r="U11" s="251">
        <f>'[3]Aer Lingus'!$IW$64</f>
        <v>0</v>
      </c>
      <c r="V11" s="253">
        <f>'[3]Aer Lingus'!$II$64</f>
        <v>0</v>
      </c>
      <c r="W11" s="254" t="e">
        <f>(U11-V11)/V11</f>
        <v>#DIV/0!</v>
      </c>
      <c r="X11" s="251">
        <f>SUM('[3]Aer Lingus'!$IT$64:$IW$64)</f>
        <v>0</v>
      </c>
      <c r="Y11" s="253">
        <f>SUM('[3]Aer Lingus'!$IF$64:$II$64)</f>
        <v>0</v>
      </c>
      <c r="Z11" s="252" t="e">
        <f>(X11-Y11)/Y11</f>
        <v>#DIV/0!</v>
      </c>
      <c r="AA11" s="254">
        <f>X11/$X$64</f>
        <v>0</v>
      </c>
      <c r="AB11" s="250" t="s">
        <v>194</v>
      </c>
      <c r="AC11" s="37"/>
      <c r="AD11" s="251">
        <f>'[3]Aer Lingus'!$IW$43</f>
        <v>263</v>
      </c>
      <c r="AE11" s="253">
        <f>'[3]Aer Lingus'!$II$43</f>
        <v>0</v>
      </c>
      <c r="AF11" s="254" t="e">
        <f>(AD11-AE11)/AE11</f>
        <v>#DIV/0!</v>
      </c>
      <c r="AG11" s="251">
        <f>SUM('[3]Aer Lingus'!$IT$43:$IW$43)</f>
        <v>263</v>
      </c>
      <c r="AH11" s="253">
        <f>SUM('[3]Aer Lingus'!$IF$43:$II$43)</f>
        <v>0</v>
      </c>
      <c r="AI11" s="252" t="e">
        <f>(AG11-AH11)/AH11</f>
        <v>#DIV/0!</v>
      </c>
      <c r="AJ11" s="254">
        <f>AG11/$AG$64</f>
        <v>2.3112977022624969E-5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217</v>
      </c>
      <c r="B13" s="37"/>
      <c r="C13" s="255">
        <f>'[3]Allegiant '!$IW$19</f>
        <v>56</v>
      </c>
      <c r="D13" s="2">
        <f>'[3]Allegiant '!$II$19</f>
        <v>118</v>
      </c>
      <c r="E13" s="254">
        <f t="shared" ref="E13" si="9">(C13-D13)/D13</f>
        <v>-0.52542372881355937</v>
      </c>
      <c r="F13" s="2">
        <f>SUM('[3]Allegiant '!$IT$19:$IW$19)</f>
        <v>352</v>
      </c>
      <c r="G13" s="2">
        <f>SUM('[3]Allegiant '!$IF$19:$II$19)</f>
        <v>406</v>
      </c>
      <c r="H13" s="252">
        <f t="shared" ref="H13" si="10">(F13-G13)/G13</f>
        <v>-0.13300492610837439</v>
      </c>
      <c r="I13" s="254">
        <f>F13/$F$64</f>
        <v>3.6540677455855334E-3</v>
      </c>
      <c r="J13" s="250" t="s">
        <v>217</v>
      </c>
      <c r="K13" s="37"/>
      <c r="L13" s="255">
        <f>'[3]Allegiant '!$IW$41</f>
        <v>6494</v>
      </c>
      <c r="M13" s="2">
        <f>'[3]Allegiant '!$II$41</f>
        <v>16513</v>
      </c>
      <c r="N13" s="254">
        <f t="shared" ref="N13" si="11">(L13-M13)/M13</f>
        <v>-0.60673408829407138</v>
      </c>
      <c r="O13" s="255">
        <f>SUM('[3]Allegiant '!$IT$41:$IW$41)</f>
        <v>49050</v>
      </c>
      <c r="P13" s="2">
        <f>SUM('[3]Allegiant '!$IF$41:$II$41)</f>
        <v>60945</v>
      </c>
      <c r="Q13" s="252">
        <f t="shared" ref="Q13" si="12">(O13-P13)/P13</f>
        <v>-0.19517597834112724</v>
      </c>
      <c r="R13" s="254">
        <f>O13/$O$64</f>
        <v>4.43829186297776E-3</v>
      </c>
      <c r="S13" s="250" t="s">
        <v>217</v>
      </c>
      <c r="T13" s="37"/>
      <c r="U13" s="255">
        <f>'[3]Allegiant '!$IW$64</f>
        <v>0</v>
      </c>
      <c r="V13" s="2">
        <f>'[3]Allegiant '!$II$64</f>
        <v>0</v>
      </c>
      <c r="W13" s="254" t="e">
        <f t="shared" ref="W13" si="13">(U13-V13)/V13</f>
        <v>#DIV/0!</v>
      </c>
      <c r="X13" s="255">
        <f>SUM('[3]Allegiant '!$IT$64:$IW$64)</f>
        <v>0</v>
      </c>
      <c r="Y13" s="2">
        <f>SUM('[3]Allegiant '!$IF$64:$II$64)</f>
        <v>0</v>
      </c>
      <c r="Z13" s="252" t="e">
        <f t="shared" ref="Z13" si="14">(X13-Y13)/Y13</f>
        <v>#DIV/0!</v>
      </c>
      <c r="AA13" s="254">
        <f>X13/$X$64</f>
        <v>0</v>
      </c>
      <c r="AB13" s="250" t="s">
        <v>217</v>
      </c>
      <c r="AC13" s="37"/>
      <c r="AD13" s="255">
        <f>'[3]Allegiant '!$IW$43</f>
        <v>6494</v>
      </c>
      <c r="AE13" s="2">
        <f>'[3]Allegiant '!$II$43</f>
        <v>16513</v>
      </c>
      <c r="AF13" s="254">
        <f t="shared" ref="AF13" si="15">(AD13-AE13)/AE13</f>
        <v>-0.60673408829407138</v>
      </c>
      <c r="AG13" s="255">
        <f>SUM('[3]Allegiant '!$IT$43:$IW$43)</f>
        <v>49050</v>
      </c>
      <c r="AH13" s="2">
        <f>SUM('[3]Allegiant '!$IF$43:$II$43)</f>
        <v>60945</v>
      </c>
      <c r="AI13" s="252">
        <f t="shared" ref="AI13" si="16">(AG13-AH13)/AH13</f>
        <v>-0.19517597834112724</v>
      </c>
      <c r="AJ13" s="254">
        <f>AG13/$AG$64</f>
        <v>4.3106141557405124E-3</v>
      </c>
    </row>
    <row r="14" spans="1:36" ht="14.1" customHeight="1" x14ac:dyDescent="0.2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" customHeight="1" x14ac:dyDescent="0.2">
      <c r="A15" s="250" t="s">
        <v>127</v>
      </c>
      <c r="B15" s="37"/>
      <c r="C15" s="251">
        <f>SUM(C16:C18)</f>
        <v>157</v>
      </c>
      <c r="D15" s="253">
        <f>SUM(D16:D18)</f>
        <v>121</v>
      </c>
      <c r="E15" s="254">
        <f>(C15-D15)/D15</f>
        <v>0.2975206611570248</v>
      </c>
      <c r="F15" s="253">
        <f>SUM(F16:F18)</f>
        <v>509</v>
      </c>
      <c r="G15" s="253">
        <f>SUM(G16:G18)</f>
        <v>420</v>
      </c>
      <c r="H15" s="252">
        <f>(F15-G15)/G15</f>
        <v>0.2119047619047619</v>
      </c>
      <c r="I15" s="254">
        <f>F15/$F$64</f>
        <v>5.2838650071108991E-3</v>
      </c>
      <c r="J15" s="250" t="s">
        <v>127</v>
      </c>
      <c r="K15" s="37"/>
      <c r="L15" s="251">
        <f>SUM(L16:L18)</f>
        <v>19727</v>
      </c>
      <c r="M15" s="253">
        <f>SUM(M16:M18)</f>
        <v>18110</v>
      </c>
      <c r="N15" s="254">
        <f>(L15-M15)/M15</f>
        <v>8.9287686361126453E-2</v>
      </c>
      <c r="O15" s="251">
        <f>SUM(O16:O18)</f>
        <v>65013</v>
      </c>
      <c r="P15" s="253">
        <f>SUM(P16:P18)</f>
        <v>59609</v>
      </c>
      <c r="Q15" s="252">
        <f>(O15-P15)/P15</f>
        <v>9.0657451056048582E-2</v>
      </c>
      <c r="R15" s="254">
        <f>O15/$O$64</f>
        <v>5.8827047683541918E-3</v>
      </c>
      <c r="S15" s="250" t="s">
        <v>127</v>
      </c>
      <c r="T15" s="37"/>
      <c r="U15" s="251">
        <f>SUM(U16:U18)</f>
        <v>23205</v>
      </c>
      <c r="V15" s="253">
        <f>SUM(V16:V18)</f>
        <v>31977</v>
      </c>
      <c r="W15" s="254">
        <f>(U15-V15)/V15</f>
        <v>-0.27432216905901119</v>
      </c>
      <c r="X15" s="251">
        <f>SUM(X16:X18)</f>
        <v>71869</v>
      </c>
      <c r="Y15" s="253">
        <f>SUM(Y16:Y18)</f>
        <v>105508</v>
      </c>
      <c r="Z15" s="252">
        <f>(X15-Y15)/Y15</f>
        <v>-0.31882890396936725</v>
      </c>
      <c r="AA15" s="254">
        <f>X15/$X$64</f>
        <v>2.8394769097928817E-3</v>
      </c>
      <c r="AB15" s="250" t="s">
        <v>127</v>
      </c>
      <c r="AC15" s="37"/>
      <c r="AD15" s="251">
        <f>SUM(AD16:AD18)</f>
        <v>20621</v>
      </c>
      <c r="AE15" s="253">
        <f>SUM(AE16:AE18)</f>
        <v>18686</v>
      </c>
      <c r="AF15" s="254">
        <f>(AD15-AE15)/AE15</f>
        <v>0.1035534624852831</v>
      </c>
      <c r="AG15" s="251">
        <f>SUM(AG16:AG18)</f>
        <v>67977</v>
      </c>
      <c r="AH15" s="253">
        <f>SUM(AH16:AH18)</f>
        <v>61971</v>
      </c>
      <c r="AI15" s="252">
        <f>(AG15-AH15)/AH15</f>
        <v>9.6916299559471369E-2</v>
      </c>
      <c r="AJ15" s="254">
        <f>AG15/$AG$64</f>
        <v>5.9739575629923101E-3</v>
      </c>
    </row>
    <row r="16" spans="1:36" ht="14.1" customHeight="1" x14ac:dyDescent="0.2">
      <c r="A16" s="250"/>
      <c r="B16" s="310" t="s">
        <v>127</v>
      </c>
      <c r="C16" s="314">
        <f>[3]Alaska!$IW$19</f>
        <v>157</v>
      </c>
      <c r="D16" s="209">
        <f>[3]Alaska!$II$19</f>
        <v>121</v>
      </c>
      <c r="E16" s="316">
        <f>(C16-D16)/D16</f>
        <v>0.2975206611570248</v>
      </c>
      <c r="F16" s="209">
        <f>SUM([3]Alaska!$IT$19:$IW$19)</f>
        <v>509</v>
      </c>
      <c r="G16" s="209">
        <f>SUM([3]Alaska!$IF$19:$II$19)</f>
        <v>420</v>
      </c>
      <c r="H16" s="315">
        <f>(F16-G16)/G16</f>
        <v>0.2119047619047619</v>
      </c>
      <c r="I16" s="316">
        <f>F16/$F$64</f>
        <v>5.2838650071108991E-3</v>
      </c>
      <c r="J16" s="250"/>
      <c r="K16" s="310" t="s">
        <v>127</v>
      </c>
      <c r="L16" s="314">
        <f>[3]Alaska!$IW$41</f>
        <v>19727</v>
      </c>
      <c r="M16" s="209">
        <f>[3]Alaska!$II$41</f>
        <v>18110</v>
      </c>
      <c r="N16" s="316">
        <f>(L16-M16)/M16</f>
        <v>8.9287686361126453E-2</v>
      </c>
      <c r="O16" s="314">
        <f>SUM([3]Alaska!$IT$41:$IW$41)</f>
        <v>65013</v>
      </c>
      <c r="P16" s="209">
        <f>SUM([3]Alaska!$IF$41:$II$41)</f>
        <v>59609</v>
      </c>
      <c r="Q16" s="315">
        <f>(O16-P16)/P16</f>
        <v>9.0657451056048582E-2</v>
      </c>
      <c r="R16" s="316">
        <f>O16/$O$64</f>
        <v>5.8827047683541918E-3</v>
      </c>
      <c r="S16" s="250"/>
      <c r="T16" s="310" t="s">
        <v>127</v>
      </c>
      <c r="U16" s="314">
        <f>[3]Alaska!$IW$64</f>
        <v>23205</v>
      </c>
      <c r="V16" s="209">
        <f>[3]Alaska!$II$64</f>
        <v>31977</v>
      </c>
      <c r="W16" s="316">
        <f>(U16-V16)/V16</f>
        <v>-0.27432216905901119</v>
      </c>
      <c r="X16" s="314">
        <f>SUM([3]Alaska!$IT$64:$IW$64)</f>
        <v>71869</v>
      </c>
      <c r="Y16" s="209">
        <f>SUM([3]Alaska!$IF$64:$II$64)</f>
        <v>105508</v>
      </c>
      <c r="Z16" s="315">
        <f>(X16-Y16)/Y16</f>
        <v>-0.31882890396936725</v>
      </c>
      <c r="AA16" s="316">
        <f>X16/$X$64</f>
        <v>2.8394769097928817E-3</v>
      </c>
      <c r="AB16" s="250"/>
      <c r="AC16" s="310" t="s">
        <v>127</v>
      </c>
      <c r="AD16" s="314">
        <f>[3]Alaska!$IW$43</f>
        <v>20621</v>
      </c>
      <c r="AE16" s="209">
        <f>[3]Alaska!$II$43</f>
        <v>18686</v>
      </c>
      <c r="AF16" s="316">
        <f>(AD16-AE16)/AE16</f>
        <v>0.1035534624852831</v>
      </c>
      <c r="AG16" s="314">
        <f>SUM([3]Alaska!$IT$43:$IW$43)</f>
        <v>67977</v>
      </c>
      <c r="AH16" s="209">
        <f>SUM([3]Alaska!$IF$43:$II$43)</f>
        <v>61971</v>
      </c>
      <c r="AI16" s="315">
        <f>(AG16-AH16)/AH16</f>
        <v>9.6916299559471369E-2</v>
      </c>
      <c r="AJ16" s="63">
        <f t="shared" ref="AJ16:AJ18" si="17">AG16/$AG$64</f>
        <v>5.9739575629923101E-3</v>
      </c>
    </row>
    <row r="17" spans="1:36" ht="14.1" customHeight="1" x14ac:dyDescent="0.2">
      <c r="A17" s="250"/>
      <c r="B17" s="310" t="s">
        <v>97</v>
      </c>
      <c r="C17" s="255">
        <f>'[3]Sky West_AS'!$IW$19</f>
        <v>0</v>
      </c>
      <c r="D17" s="2">
        <f>'[3]Sky West_AS'!$II$19</f>
        <v>0</v>
      </c>
      <c r="E17" s="63" t="e">
        <f>(C17-D17)/D17</f>
        <v>#DIV/0!</v>
      </c>
      <c r="F17" s="2">
        <f>SUM('[3]Sky West_AS'!$IT$19:$IW$19)</f>
        <v>0</v>
      </c>
      <c r="G17" s="2">
        <f>SUM('[3]Sky West_AS'!$IF$19:$II$19)</f>
        <v>0</v>
      </c>
      <c r="H17" s="3" t="e">
        <f>(F17-G17)/G17</f>
        <v>#DIV/0!</v>
      </c>
      <c r="I17" s="63">
        <f>F17/$F$64</f>
        <v>0</v>
      </c>
      <c r="J17" s="250"/>
      <c r="K17" s="310" t="s">
        <v>97</v>
      </c>
      <c r="L17" s="255">
        <f>'[3]Sky West_AS'!$IW$41</f>
        <v>0</v>
      </c>
      <c r="M17" s="2">
        <f>'[3]Sky West_AS'!$II$41</f>
        <v>0</v>
      </c>
      <c r="N17" s="63" t="e">
        <f>(L17-M17)/M17</f>
        <v>#DIV/0!</v>
      </c>
      <c r="O17" s="255">
        <f>SUM('[3]Sky West_AS'!$IT$41:$IW$41)</f>
        <v>0</v>
      </c>
      <c r="P17" s="2">
        <f>SUM('[3]Sky West_AS'!$IF$41:$II$41)</f>
        <v>0</v>
      </c>
      <c r="Q17" s="3" t="e">
        <f>(O17-P17)/P17</f>
        <v>#DIV/0!</v>
      </c>
      <c r="R17" s="316">
        <f>O17/$O$64</f>
        <v>0</v>
      </c>
      <c r="S17" s="250"/>
      <c r="T17" s="310" t="s">
        <v>97</v>
      </c>
      <c r="U17" s="255">
        <f>'[3]Sky West_AS'!$IW$64</f>
        <v>0</v>
      </c>
      <c r="V17" s="2">
        <f>'[3]Sky West_AS'!$II$64</f>
        <v>0</v>
      </c>
      <c r="W17" s="63" t="e">
        <f>(U17-V17)/V17</f>
        <v>#DIV/0!</v>
      </c>
      <c r="X17" s="255">
        <f>SUM('[3]Sky West_AS'!$IT$64:$IW$64)</f>
        <v>0</v>
      </c>
      <c r="Y17" s="2">
        <f>SUM('[3]Sky West_AS'!$IF$64:$II$64)</f>
        <v>0</v>
      </c>
      <c r="Z17" s="3" t="e">
        <f>(X17-Y17)/Y17</f>
        <v>#DIV/0!</v>
      </c>
      <c r="AA17" s="316">
        <f>X17/$X$64</f>
        <v>0</v>
      </c>
      <c r="AB17" s="250"/>
      <c r="AC17" s="310" t="s">
        <v>97</v>
      </c>
      <c r="AD17" s="255">
        <f>'[3]Sky West_AS'!$IW$43</f>
        <v>0</v>
      </c>
      <c r="AE17" s="2">
        <f>'[3]Sky West_AS'!$II$43</f>
        <v>0</v>
      </c>
      <c r="AF17" s="63" t="e">
        <f>(AD17-AE17)/AE17</f>
        <v>#DIV/0!</v>
      </c>
      <c r="AG17" s="255">
        <f>SUM('[3]Sky West_AS'!$IT$43:$IW$43)</f>
        <v>0</v>
      </c>
      <c r="AH17" s="2">
        <f>SUM('[3]Sky West_AS'!$IF$43:$II$43)</f>
        <v>0</v>
      </c>
      <c r="AI17" s="3" t="e">
        <f>(AG17-AH17)/AH17</f>
        <v>#DIV/0!</v>
      </c>
      <c r="AJ17" s="63">
        <f t="shared" si="17"/>
        <v>0</v>
      </c>
    </row>
    <row r="18" spans="1:36" ht="14.1" customHeight="1" x14ac:dyDescent="0.2">
      <c r="A18" s="250"/>
      <c r="B18" s="310" t="s">
        <v>184</v>
      </c>
      <c r="C18" s="255">
        <f>[3]Horizon_AS!$IW$19</f>
        <v>0</v>
      </c>
      <c r="D18" s="2">
        <f>[3]Horizon_AS!$II$19</f>
        <v>0</v>
      </c>
      <c r="E18" s="63" t="e">
        <f>(C18-D18)/D18</f>
        <v>#DIV/0!</v>
      </c>
      <c r="F18" s="2">
        <f>SUM([3]Horizon_AS!$IT$19:$IW$19)</f>
        <v>0</v>
      </c>
      <c r="G18" s="2">
        <f>SUM([3]Horizon_AS!$IF$19:$II$19)</f>
        <v>0</v>
      </c>
      <c r="H18" s="3" t="e">
        <f>(F18-G18)/G18</f>
        <v>#DIV/0!</v>
      </c>
      <c r="I18" s="63">
        <f>F18/$F$64</f>
        <v>0</v>
      </c>
      <c r="J18" s="250"/>
      <c r="K18" s="310" t="s">
        <v>184</v>
      </c>
      <c r="L18" s="255">
        <f>[3]Horizon_AS!$IW$41</f>
        <v>0</v>
      </c>
      <c r="M18" s="2">
        <f>[3]Horizon_AS!$II$41</f>
        <v>0</v>
      </c>
      <c r="N18" s="63" t="e">
        <f>(L18-M18)/M18</f>
        <v>#DIV/0!</v>
      </c>
      <c r="O18" s="255">
        <f>SUM([3]Horizon_AS!$IT$41:$IW$41)</f>
        <v>0</v>
      </c>
      <c r="P18" s="2">
        <f>SUM([3]Horizon_AS!$IF$41:$II$41)</f>
        <v>0</v>
      </c>
      <c r="Q18" s="3" t="e">
        <f>(O18-P18)/P18</f>
        <v>#DIV/0!</v>
      </c>
      <c r="R18" s="316">
        <f>O18/$O$64</f>
        <v>0</v>
      </c>
      <c r="S18" s="250"/>
      <c r="T18" s="310" t="s">
        <v>184</v>
      </c>
      <c r="U18" s="255">
        <f>[3]Horizon_AS!$IW$64</f>
        <v>0</v>
      </c>
      <c r="V18" s="2">
        <f>[3]Horizon_AS!$II$64</f>
        <v>0</v>
      </c>
      <c r="W18" s="63" t="e">
        <f>(U18-V18)/V18</f>
        <v>#DIV/0!</v>
      </c>
      <c r="X18" s="255">
        <f>SUM([3]Horizon_AS!$IT$64:$IW$64)</f>
        <v>0</v>
      </c>
      <c r="Y18" s="2">
        <f>SUM([3]Horizon_AS!$IF$64:$II$64)</f>
        <v>0</v>
      </c>
      <c r="Z18" s="3" t="e">
        <f>(X18-Y18)/Y18</f>
        <v>#DIV/0!</v>
      </c>
      <c r="AA18" s="316">
        <f>X18/$X$64</f>
        <v>0</v>
      </c>
      <c r="AB18" s="250"/>
      <c r="AC18" s="310" t="s">
        <v>184</v>
      </c>
      <c r="AD18" s="255">
        <f>[3]Horizon_AS!$IW$43</f>
        <v>0</v>
      </c>
      <c r="AE18" s="2">
        <f>[3]Horizon_AS!$II$43</f>
        <v>0</v>
      </c>
      <c r="AF18" s="63" t="e">
        <f>(AD18-AE18)/AE18</f>
        <v>#DIV/0!</v>
      </c>
      <c r="AG18" s="255">
        <f>SUM([3]Horizon_AS!$IT$43:$IW$43)</f>
        <v>0</v>
      </c>
      <c r="AH18" s="2">
        <f>SUM([3]Horizon_AS!$IF$43:$II$43)</f>
        <v>0</v>
      </c>
      <c r="AI18" s="3" t="e">
        <f>(AG18-AH18)/AH18</f>
        <v>#DIV/0!</v>
      </c>
      <c r="AJ18" s="63">
        <f t="shared" si="17"/>
        <v>0</v>
      </c>
    </row>
    <row r="19" spans="1:36" ht="14.1" customHeight="1" x14ac:dyDescent="0.2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" customHeight="1" x14ac:dyDescent="0.2">
      <c r="A20" s="250" t="s">
        <v>17</v>
      </c>
      <c r="B20" s="257"/>
      <c r="C20" s="251">
        <f>SUM(C21:C26)</f>
        <v>1222</v>
      </c>
      <c r="D20" s="253">
        <f>SUM(D21:D26)</f>
        <v>1060</v>
      </c>
      <c r="E20" s="254">
        <f t="shared" ref="E20:E26" si="18">(C20-D20)/D20</f>
        <v>0.15283018867924528</v>
      </c>
      <c r="F20" s="251">
        <f>SUM(F21:F26)</f>
        <v>4203</v>
      </c>
      <c r="G20" s="253">
        <f>SUM(G21:G26)</f>
        <v>4102</v>
      </c>
      <c r="H20" s="252">
        <f t="shared" ref="H20:H26" si="19">(F20-G20)/G20</f>
        <v>2.462213554363725E-2</v>
      </c>
      <c r="I20" s="254">
        <f t="shared" ref="I20:I26" si="20">F20/$F$64</f>
        <v>4.3630814587204532E-2</v>
      </c>
      <c r="J20" s="250" t="s">
        <v>17</v>
      </c>
      <c r="K20" s="257"/>
      <c r="L20" s="251">
        <f>SUM(L21:L26)</f>
        <v>130815</v>
      </c>
      <c r="M20" s="253">
        <f>SUM(M21:M26)</f>
        <v>121292</v>
      </c>
      <c r="N20" s="254">
        <f t="shared" ref="N20:N26" si="21">(L20-M20)/M20</f>
        <v>7.851300992645846E-2</v>
      </c>
      <c r="O20" s="251">
        <f>SUM(O21:O26)</f>
        <v>470645</v>
      </c>
      <c r="P20" s="253">
        <f>SUM(P21:P26)</f>
        <v>463325</v>
      </c>
      <c r="Q20" s="252">
        <f t="shared" ref="Q20:Q26" si="22">(O20-P20)/P20</f>
        <v>1.5798845302973076E-2</v>
      </c>
      <c r="R20" s="254">
        <f t="shared" ref="R20:R26" si="23">O20/$O$64</f>
        <v>4.2586337897067644E-2</v>
      </c>
      <c r="S20" s="250" t="s">
        <v>17</v>
      </c>
      <c r="T20" s="257"/>
      <c r="U20" s="251">
        <f>SUM(U21:U26)</f>
        <v>29633</v>
      </c>
      <c r="V20" s="253">
        <f>SUM(V21:V26)</f>
        <v>52177</v>
      </c>
      <c r="W20" s="254">
        <f t="shared" ref="W20:W24" si="24">(U20-V20)/V20</f>
        <v>-0.43206776932364838</v>
      </c>
      <c r="X20" s="251">
        <f>SUM(X21:X26)</f>
        <v>174895</v>
      </c>
      <c r="Y20" s="253">
        <f>SUM(Y21:Y26)</f>
        <v>224105</v>
      </c>
      <c r="Z20" s="252">
        <f t="shared" ref="Z20:Z24" si="25">(X20-Y20)/Y20</f>
        <v>-0.21958456973293769</v>
      </c>
      <c r="AA20" s="254">
        <f t="shared" ref="AA20:AA26" si="26">X20/$X$64</f>
        <v>6.9099377219416719E-3</v>
      </c>
      <c r="AB20" s="250" t="s">
        <v>17</v>
      </c>
      <c r="AC20" s="257"/>
      <c r="AD20" s="251">
        <f>SUM(AD21:AD26)</f>
        <v>135384</v>
      </c>
      <c r="AE20" s="253">
        <f>SUM(AE21:AE26)</f>
        <v>125657</v>
      </c>
      <c r="AF20" s="254">
        <f t="shared" ref="AF20:AF24" si="27">(AD20-AE20)/AE20</f>
        <v>7.7409137572916745E-2</v>
      </c>
      <c r="AG20" s="251">
        <f>SUM(AG21:AG26)</f>
        <v>486480</v>
      </c>
      <c r="AH20" s="253">
        <f>SUM(AH21:AH26)</f>
        <v>479054</v>
      </c>
      <c r="AI20" s="252">
        <f t="shared" ref="AI20:AI24" si="28">(AG20-AH20)/AH20</f>
        <v>1.5501383977589165E-2</v>
      </c>
      <c r="AJ20" s="254">
        <f>AG20/$AG$64</f>
        <v>4.275285574892241E-2</v>
      </c>
    </row>
    <row r="21" spans="1:36" ht="14.1" customHeight="1" x14ac:dyDescent="0.2">
      <c r="A21" s="36"/>
      <c r="B21" s="37" t="s">
        <v>17</v>
      </c>
      <c r="C21" s="255">
        <f>[3]American!$IW$19</f>
        <v>723</v>
      </c>
      <c r="D21" s="2">
        <f>[3]American!$II$19</f>
        <v>670</v>
      </c>
      <c r="E21" s="63">
        <f t="shared" si="18"/>
        <v>7.9104477611940296E-2</v>
      </c>
      <c r="F21" s="2">
        <f>SUM([3]American!$IT$19:$IW$19)</f>
        <v>2590</v>
      </c>
      <c r="G21" s="2">
        <f>SUM([3]American!$IF$19:$II$19)</f>
        <v>2595</v>
      </c>
      <c r="H21" s="3">
        <f t="shared" si="19"/>
        <v>-1.9267822736030828E-3</v>
      </c>
      <c r="I21" s="63">
        <f t="shared" si="20"/>
        <v>2.6886464378029919E-2</v>
      </c>
      <c r="J21" s="36"/>
      <c r="K21" s="37" t="s">
        <v>17</v>
      </c>
      <c r="L21" s="255">
        <f>[3]American!$IW$41</f>
        <v>98784</v>
      </c>
      <c r="M21" s="2">
        <f>[3]American!$II$41</f>
        <v>96488</v>
      </c>
      <c r="N21" s="63">
        <f t="shared" si="21"/>
        <v>2.3795705165409169E-2</v>
      </c>
      <c r="O21" s="255">
        <f>SUM([3]American!$IT$41:$IW$41)</f>
        <v>378387</v>
      </c>
      <c r="P21" s="2">
        <f>SUM([3]American!$IF$41:$II$41)</f>
        <v>379101</v>
      </c>
      <c r="Q21" s="3">
        <f t="shared" si="22"/>
        <v>-1.8834031036583918E-3</v>
      </c>
      <c r="R21" s="63">
        <f t="shared" si="23"/>
        <v>3.4238367852325501E-2</v>
      </c>
      <c r="S21" s="36"/>
      <c r="T21" s="37" t="s">
        <v>17</v>
      </c>
      <c r="U21" s="255">
        <f>[3]American!$IW$64</f>
        <v>25348</v>
      </c>
      <c r="V21" s="2">
        <f>[3]American!$II$64</f>
        <v>48962</v>
      </c>
      <c r="W21" s="63">
        <f t="shared" si="24"/>
        <v>-0.48229239001674767</v>
      </c>
      <c r="X21" s="255">
        <f>SUM([3]American!$IT$64:$IW$64)</f>
        <v>158424</v>
      </c>
      <c r="Y21" s="2">
        <f>SUM([3]American!$IF$64:$II$64)</f>
        <v>210055</v>
      </c>
      <c r="Z21" s="3">
        <f t="shared" si="25"/>
        <v>-0.24579752921853801</v>
      </c>
      <c r="AA21" s="63">
        <f t="shared" si="26"/>
        <v>6.2591839312781238E-3</v>
      </c>
      <c r="AB21" s="36"/>
      <c r="AC21" s="37" t="s">
        <v>17</v>
      </c>
      <c r="AD21" s="255">
        <f>[3]American!$IW$43</f>
        <v>102223</v>
      </c>
      <c r="AE21" s="2">
        <f>[3]American!$II$43</f>
        <v>100013</v>
      </c>
      <c r="AF21" s="63">
        <f t="shared" si="27"/>
        <v>2.2097127373441453E-2</v>
      </c>
      <c r="AG21" s="255">
        <f>SUM([3]American!$IT$43:$IW$43)</f>
        <v>390703</v>
      </c>
      <c r="AH21" s="2">
        <f>SUM([3]American!$IF$43:$II$43)</f>
        <v>392077</v>
      </c>
      <c r="AI21" s="3">
        <f t="shared" si="28"/>
        <v>-3.5044136738446785E-3</v>
      </c>
      <c r="AJ21" s="63">
        <f t="shared" ref="AJ21:AJ26" si="29">AG21/$AG$64</f>
        <v>3.4335777420800927E-2</v>
      </c>
    </row>
    <row r="22" spans="1:36" ht="14.1" customHeight="1" x14ac:dyDescent="0.2">
      <c r="A22" s="36"/>
      <c r="B22" s="310" t="s">
        <v>163</v>
      </c>
      <c r="C22" s="255">
        <f>'[3]American Eagle'!$IW$19</f>
        <v>214</v>
      </c>
      <c r="D22" s="2">
        <f>'[3]American Eagle'!$II$19</f>
        <v>116</v>
      </c>
      <c r="E22" s="63">
        <f t="shared" si="18"/>
        <v>0.84482758620689657</v>
      </c>
      <c r="F22" s="2">
        <f>SUM('[3]American Eagle'!$IT$19:$IW$19)</f>
        <v>396</v>
      </c>
      <c r="G22" s="2">
        <f>SUM('[3]American Eagle'!$IF$19:$II$19)</f>
        <v>237</v>
      </c>
      <c r="H22" s="3">
        <f t="shared" si="19"/>
        <v>0.67088607594936711</v>
      </c>
      <c r="I22" s="63">
        <f t="shared" si="20"/>
        <v>4.1108262137837248E-3</v>
      </c>
      <c r="J22" s="36"/>
      <c r="K22" s="310" t="s">
        <v>163</v>
      </c>
      <c r="L22" s="255">
        <f>'[3]American Eagle'!$IW$41</f>
        <v>14549</v>
      </c>
      <c r="M22" s="2">
        <f>'[3]American Eagle'!$II$41</f>
        <v>7490</v>
      </c>
      <c r="N22" s="63">
        <f t="shared" si="21"/>
        <v>0.94245660881174897</v>
      </c>
      <c r="O22" s="255">
        <f>SUM('[3]American Eagle'!$IT$41:$IW$41)</f>
        <v>25317</v>
      </c>
      <c r="P22" s="2">
        <f>SUM('[3]American Eagle'!$IF$41:$II$41)</f>
        <v>12949</v>
      </c>
      <c r="Q22" s="3">
        <f t="shared" si="22"/>
        <v>0.95513167039925861</v>
      </c>
      <c r="R22" s="63">
        <f t="shared" si="23"/>
        <v>2.2908100936800805E-3</v>
      </c>
      <c r="S22" s="36"/>
      <c r="T22" s="310" t="s">
        <v>163</v>
      </c>
      <c r="U22" s="255">
        <f>'[3]American Eagle'!$IW$64</f>
        <v>1082</v>
      </c>
      <c r="V22" s="2">
        <f>'[3]American Eagle'!$II$64</f>
        <v>309</v>
      </c>
      <c r="W22" s="63">
        <f t="shared" si="24"/>
        <v>2.5016181229773462</v>
      </c>
      <c r="X22" s="255">
        <f>SUM('[3]American Eagle'!$IT$64:$IW$64)</f>
        <v>1999</v>
      </c>
      <c r="Y22" s="2">
        <f>SUM('[3]American Eagle'!$IF$64:$II$64)</f>
        <v>3237</v>
      </c>
      <c r="Z22" s="3">
        <f t="shared" si="25"/>
        <v>-0.38245288847698489</v>
      </c>
      <c r="AA22" s="63">
        <f t="shared" si="26"/>
        <v>7.8978618634960413E-5</v>
      </c>
      <c r="AB22" s="36"/>
      <c r="AC22" s="310" t="s">
        <v>163</v>
      </c>
      <c r="AD22" s="255">
        <f>'[3]American Eagle'!$IW$43</f>
        <v>15109</v>
      </c>
      <c r="AE22" s="2">
        <f>'[3]American Eagle'!$II$43</f>
        <v>7695</v>
      </c>
      <c r="AF22" s="63">
        <f t="shared" si="27"/>
        <v>0.96348278102664064</v>
      </c>
      <c r="AG22" s="255">
        <f>SUM('[3]American Eagle'!$IT$43:$IW$43)</f>
        <v>26339</v>
      </c>
      <c r="AH22" s="2">
        <f>SUM('[3]American Eagle'!$IF$43:$II$43)</f>
        <v>13355</v>
      </c>
      <c r="AI22" s="3">
        <f t="shared" si="28"/>
        <v>0.97222014226881315</v>
      </c>
      <c r="AJ22" s="63">
        <f t="shared" si="29"/>
        <v>2.3147251018970304E-3</v>
      </c>
    </row>
    <row r="23" spans="1:36" ht="14.1" customHeight="1" x14ac:dyDescent="0.2">
      <c r="A23" s="36"/>
      <c r="B23" s="310" t="s">
        <v>52</v>
      </c>
      <c r="C23" s="255">
        <f>[3]Republic!$IW$19</f>
        <v>108</v>
      </c>
      <c r="D23" s="2">
        <f>[3]Republic!$II$19</f>
        <v>262</v>
      </c>
      <c r="E23" s="63">
        <f t="shared" si="18"/>
        <v>-0.58778625954198471</v>
      </c>
      <c r="F23" s="2">
        <f>SUM([3]Republic!$IT$19:$IW$19)</f>
        <v>476</v>
      </c>
      <c r="G23" s="2">
        <f>SUM([3]Republic!$IF$19:$II$19)</f>
        <v>892</v>
      </c>
      <c r="H23" s="3">
        <f t="shared" si="19"/>
        <v>-0.46636771300448432</v>
      </c>
      <c r="I23" s="63">
        <f t="shared" si="20"/>
        <v>4.9412961559622548E-3</v>
      </c>
      <c r="J23" s="36"/>
      <c r="K23" s="258" t="s">
        <v>52</v>
      </c>
      <c r="L23" s="255">
        <f>[3]Republic!$IW$41</f>
        <v>6257</v>
      </c>
      <c r="M23" s="2">
        <f>[3]Republic!$II$41</f>
        <v>16739</v>
      </c>
      <c r="N23" s="63">
        <f t="shared" si="21"/>
        <v>-0.62620228209570461</v>
      </c>
      <c r="O23" s="255">
        <f>SUM([3]Republic!$IT$41:$IW$41)</f>
        <v>24263</v>
      </c>
      <c r="P23" s="2">
        <f>SUM([3]Republic!$IF$41:$II$41)</f>
        <v>52566</v>
      </c>
      <c r="Q23" s="3">
        <f t="shared" si="22"/>
        <v>-0.53842788113990037</v>
      </c>
      <c r="R23" s="63">
        <f t="shared" si="23"/>
        <v>2.1954388475316899E-3</v>
      </c>
      <c r="S23" s="36"/>
      <c r="T23" s="258" t="s">
        <v>52</v>
      </c>
      <c r="U23" s="255">
        <f>[3]Republic!$IW$64</f>
        <v>3061</v>
      </c>
      <c r="V23" s="2">
        <f>[3]Republic!$II$64</f>
        <v>2906</v>
      </c>
      <c r="W23" s="63">
        <f t="shared" si="24"/>
        <v>5.3337921541637988E-2</v>
      </c>
      <c r="X23" s="255">
        <f>SUM([3]Republic!$IT$64:$IW$64)</f>
        <v>11011</v>
      </c>
      <c r="Y23" s="2">
        <f>SUM([3]Republic!$IF$64:$II$64)</f>
        <v>10773</v>
      </c>
      <c r="Z23" s="3">
        <f t="shared" si="25"/>
        <v>2.2092267706302793E-2</v>
      </c>
      <c r="AA23" s="63">
        <f t="shared" si="26"/>
        <v>4.3503430204579749E-4</v>
      </c>
      <c r="AB23" s="36"/>
      <c r="AC23" s="258" t="s">
        <v>52</v>
      </c>
      <c r="AD23" s="255">
        <f>[3]Republic!$IW$43</f>
        <v>6549</v>
      </c>
      <c r="AE23" s="2">
        <f>[3]Republic!$II$43</f>
        <v>17352</v>
      </c>
      <c r="AF23" s="63">
        <f t="shared" si="27"/>
        <v>-0.62257952973720609</v>
      </c>
      <c r="AG23" s="255">
        <f>SUM([3]Republic!$IT$43:$IW$43)</f>
        <v>25600</v>
      </c>
      <c r="AH23" s="2">
        <f>SUM([3]Republic!$IF$43:$II$43)</f>
        <v>54346</v>
      </c>
      <c r="AI23" s="3">
        <f t="shared" si="28"/>
        <v>-0.52894417252419679</v>
      </c>
      <c r="AJ23" s="63">
        <f>AG23/$AG$64</f>
        <v>2.2497802729247117E-3</v>
      </c>
    </row>
    <row r="24" spans="1:36" ht="14.1" customHeight="1" x14ac:dyDescent="0.2">
      <c r="A24" s="36"/>
      <c r="B24" s="310" t="s">
        <v>177</v>
      </c>
      <c r="C24" s="255">
        <f>[3]PSA!$IW$19</f>
        <v>167</v>
      </c>
      <c r="D24" s="2">
        <f>[3]PSA!$II$19</f>
        <v>12</v>
      </c>
      <c r="E24" s="63">
        <f t="shared" si="18"/>
        <v>12.916666666666666</v>
      </c>
      <c r="F24" s="2">
        <f>SUM([3]PSA!$IT$19:$IW$19)</f>
        <v>473</v>
      </c>
      <c r="G24" s="2">
        <f>SUM([3]PSA!$IF$19:$II$19)</f>
        <v>376</v>
      </c>
      <c r="H24" s="3">
        <f t="shared" si="19"/>
        <v>0.25797872340425532</v>
      </c>
      <c r="I24" s="63">
        <f t="shared" si="20"/>
        <v>4.9101535331305601E-3</v>
      </c>
      <c r="J24" s="36"/>
      <c r="K24" s="310" t="s">
        <v>177</v>
      </c>
      <c r="L24" s="255">
        <f>[3]PSA!$IW$41</f>
        <v>10765</v>
      </c>
      <c r="M24" s="2">
        <f>[3]PSA!$II$41</f>
        <v>575</v>
      </c>
      <c r="N24" s="63">
        <f t="shared" si="21"/>
        <v>17.721739130434784</v>
      </c>
      <c r="O24" s="255">
        <f>SUM([3]PSA!$IT$41:$IW$41)</f>
        <v>30583</v>
      </c>
      <c r="P24" s="2">
        <f>SUM([3]PSA!$IF$41:$II$41)</f>
        <v>18674</v>
      </c>
      <c r="Q24" s="3">
        <f t="shared" si="22"/>
        <v>0.63773160544071972</v>
      </c>
      <c r="R24" s="63">
        <f t="shared" si="23"/>
        <v>2.7673043842089467E-3</v>
      </c>
      <c r="S24" s="36"/>
      <c r="T24" s="310" t="s">
        <v>177</v>
      </c>
      <c r="U24" s="255">
        <f>[3]PSA!$IW$64</f>
        <v>142</v>
      </c>
      <c r="V24" s="2">
        <f>[3]PSA!$II$64</f>
        <v>0</v>
      </c>
      <c r="W24" s="63" t="e">
        <f t="shared" si="24"/>
        <v>#DIV/0!</v>
      </c>
      <c r="X24" s="255">
        <f>SUM([3]PSA!$IT$64:$IW$64)</f>
        <v>783</v>
      </c>
      <c r="Y24" s="2">
        <f>SUM([3]PSA!$IF$64:$II$64)</f>
        <v>40</v>
      </c>
      <c r="Z24" s="3">
        <f t="shared" si="25"/>
        <v>18.574999999999999</v>
      </c>
      <c r="AA24" s="63">
        <f t="shared" si="26"/>
        <v>3.0935596994084045E-5</v>
      </c>
      <c r="AB24" s="36"/>
      <c r="AC24" s="310" t="s">
        <v>177</v>
      </c>
      <c r="AD24" s="255">
        <f>[3]PSA!$IW$43</f>
        <v>11027</v>
      </c>
      <c r="AE24" s="2">
        <f>[3]PSA!$II$43</f>
        <v>597</v>
      </c>
      <c r="AF24" s="63">
        <f t="shared" si="27"/>
        <v>17.47068676716918</v>
      </c>
      <c r="AG24" s="255">
        <f>SUM([3]PSA!$IT$43:$IW$43)</f>
        <v>31360</v>
      </c>
      <c r="AH24" s="2">
        <f>SUM([3]PSA!$IF$43:$II$43)</f>
        <v>19240</v>
      </c>
      <c r="AI24" s="3">
        <f t="shared" si="28"/>
        <v>0.62993762993762992</v>
      </c>
      <c r="AJ24" s="63">
        <f t="shared" si="29"/>
        <v>2.755980834332772E-3</v>
      </c>
    </row>
    <row r="25" spans="1:36" ht="14.1" customHeight="1" x14ac:dyDescent="0.2">
      <c r="A25" s="36"/>
      <c r="B25" s="310" t="s">
        <v>97</v>
      </c>
      <c r="C25" s="255">
        <f>'[3]Sky West_AA'!$IW$19</f>
        <v>0</v>
      </c>
      <c r="D25" s="2">
        <f>'[3]Sky West_AA'!$II$19</f>
        <v>0</v>
      </c>
      <c r="E25" s="63" t="e">
        <f>(C25-D25)/D25</f>
        <v>#DIV/0!</v>
      </c>
      <c r="F25" s="2">
        <f>SUM('[3]Sky West_AA'!$IT$19:$IW$19)</f>
        <v>0</v>
      </c>
      <c r="G25" s="2">
        <f>SUM('[3]Sky West_AA'!$IF$19:$II$19)</f>
        <v>0</v>
      </c>
      <c r="H25" s="3" t="e">
        <f>(F25-G25)/G25</f>
        <v>#DIV/0!</v>
      </c>
      <c r="I25" s="63">
        <f t="shared" si="20"/>
        <v>0</v>
      </c>
      <c r="J25" s="36"/>
      <c r="K25" s="310" t="s">
        <v>97</v>
      </c>
      <c r="L25" s="255">
        <f>'[3]Sky West_AA'!$IW$41</f>
        <v>0</v>
      </c>
      <c r="M25" s="2">
        <f>'[3]Sky West_AA'!$II$41</f>
        <v>0</v>
      </c>
      <c r="N25" s="63" t="e">
        <f>(L25-M25)/M25</f>
        <v>#DIV/0!</v>
      </c>
      <c r="O25" s="255">
        <f>SUM('[3]Sky West_AA'!$IT$41:$IW$41)</f>
        <v>0</v>
      </c>
      <c r="P25" s="2">
        <f>SUM('[3]Sky West_AA'!$IF$41:$II$41)</f>
        <v>0</v>
      </c>
      <c r="Q25" s="3" t="e">
        <f>(O25-P25)/P25</f>
        <v>#DIV/0!</v>
      </c>
      <c r="R25" s="316">
        <f t="shared" si="23"/>
        <v>0</v>
      </c>
      <c r="S25" s="36"/>
      <c r="T25" s="310" t="s">
        <v>97</v>
      </c>
      <c r="U25" s="255">
        <f>'[3]Sky West_AA'!$IW$64</f>
        <v>0</v>
      </c>
      <c r="V25" s="2">
        <f>'[3]Sky West_AA'!$II$64</f>
        <v>0</v>
      </c>
      <c r="W25" s="63" t="e">
        <f>(U25-V25)/V25</f>
        <v>#DIV/0!</v>
      </c>
      <c r="X25" s="255">
        <f>SUM('[3]Sky West_AA'!$IT$64:$IW$64)</f>
        <v>0</v>
      </c>
      <c r="Y25" s="2">
        <f>SUM('[3]Sky West_AA'!$IF$64:$II$64)</f>
        <v>0</v>
      </c>
      <c r="Z25" s="3" t="e">
        <f>(X25-Y25)/Y25</f>
        <v>#DIV/0!</v>
      </c>
      <c r="AA25" s="316">
        <f t="shared" si="26"/>
        <v>0</v>
      </c>
      <c r="AB25" s="36"/>
      <c r="AC25" s="310" t="s">
        <v>97</v>
      </c>
      <c r="AD25" s="255">
        <f>'[3]Sky West_AA'!$IW$43</f>
        <v>0</v>
      </c>
      <c r="AE25" s="2">
        <f>'[3]Sky West_AA'!$II$43</f>
        <v>0</v>
      </c>
      <c r="AF25" s="63" t="e">
        <f>(AD25-AE25)/AE25</f>
        <v>#DIV/0!</v>
      </c>
      <c r="AG25" s="255">
        <f>SUM('[3]Sky West_AA'!$IT$43:$IW$43)</f>
        <v>0</v>
      </c>
      <c r="AH25" s="2">
        <f>SUM('[3]Sky West_AA'!$IF$43:$II$43)</f>
        <v>0</v>
      </c>
      <c r="AI25" s="3" t="e">
        <f>(AG25-AH25)/AH25</f>
        <v>#DIV/0!</v>
      </c>
      <c r="AJ25" s="63">
        <f t="shared" si="29"/>
        <v>0</v>
      </c>
    </row>
    <row r="26" spans="1:36" ht="14.1" customHeight="1" x14ac:dyDescent="0.2">
      <c r="A26" s="36"/>
      <c r="B26" s="310" t="s">
        <v>50</v>
      </c>
      <c r="C26" s="255">
        <f>'[3]Air Wisconsin'!$IW$19</f>
        <v>10</v>
      </c>
      <c r="D26" s="2">
        <f>'[3]Air Wisconsin'!$II$19</f>
        <v>0</v>
      </c>
      <c r="E26" s="63" t="e">
        <f t="shared" si="18"/>
        <v>#DIV/0!</v>
      </c>
      <c r="F26" s="2">
        <f>SUM('[3]Air Wisconsin'!$IT$19:$IW$19)</f>
        <v>268</v>
      </c>
      <c r="G26" s="2">
        <f>SUM('[3]Air Wisconsin'!$IF$19:$II$19)</f>
        <v>2</v>
      </c>
      <c r="H26" s="341">
        <f t="shared" si="19"/>
        <v>133</v>
      </c>
      <c r="I26" s="63">
        <f t="shared" si="20"/>
        <v>2.7820743062980766E-3</v>
      </c>
      <c r="J26" s="36"/>
      <c r="K26" s="258" t="s">
        <v>50</v>
      </c>
      <c r="L26" s="255">
        <f>'[3]Air Wisconsin'!$IW$41</f>
        <v>460</v>
      </c>
      <c r="M26" s="2">
        <f>'[3]Air Wisconsin'!$II$41</f>
        <v>0</v>
      </c>
      <c r="N26" s="63" t="e">
        <f t="shared" si="21"/>
        <v>#DIV/0!</v>
      </c>
      <c r="O26" s="255">
        <f>SUM('[3]Air Wisconsin'!$IT$41:$IW$41)</f>
        <v>12095</v>
      </c>
      <c r="P26" s="2">
        <f>SUM('[3]Air Wisconsin'!$IF$41:$II$41)</f>
        <v>35</v>
      </c>
      <c r="Q26" s="3">
        <f t="shared" si="22"/>
        <v>344.57142857142856</v>
      </c>
      <c r="R26" s="63">
        <f t="shared" si="23"/>
        <v>1.0944167193214273E-3</v>
      </c>
      <c r="S26" s="36"/>
      <c r="T26" s="258" t="s">
        <v>50</v>
      </c>
      <c r="U26" s="255">
        <f>'[3]Air Wisconsin'!$IW$64</f>
        <v>0</v>
      </c>
      <c r="V26" s="2">
        <f>'[3]Air Wisconsin'!$II$64</f>
        <v>0</v>
      </c>
      <c r="W26" s="63" t="e">
        <f t="shared" ref="W26" si="30">(U26-V26)/V26</f>
        <v>#DIV/0!</v>
      </c>
      <c r="X26" s="255">
        <f>SUM('[3]Air Wisconsin'!$IT$64:$IW$64)</f>
        <v>2678</v>
      </c>
      <c r="Y26" s="2">
        <f>SUM('[3]Air Wisconsin'!$IF$64:$II$64)</f>
        <v>0</v>
      </c>
      <c r="Z26" s="3" t="e">
        <f t="shared" ref="Z26" si="31">(X26-Y26)/Y26</f>
        <v>#DIV/0!</v>
      </c>
      <c r="AA26" s="63">
        <f t="shared" si="26"/>
        <v>1.0580527298870635E-4</v>
      </c>
      <c r="AB26" s="36"/>
      <c r="AC26" s="258" t="s">
        <v>50</v>
      </c>
      <c r="AD26" s="255">
        <f>'[3]Air Wisconsin'!$IW$43</f>
        <v>476</v>
      </c>
      <c r="AE26" s="2">
        <f>'[3]Air Wisconsin'!$II$43</f>
        <v>0</v>
      </c>
      <c r="AF26" s="63" t="e">
        <f t="shared" ref="AF26" si="32">(AD26-AE26)/AE26</f>
        <v>#DIV/0!</v>
      </c>
      <c r="AG26" s="255">
        <f>SUM('[3]Air Wisconsin'!$IT$43:$IW$43)</f>
        <v>12478</v>
      </c>
      <c r="AH26" s="2">
        <f>SUM('[3]Air Wisconsin'!$IF$43:$II$43)</f>
        <v>36</v>
      </c>
      <c r="AI26" s="3">
        <f t="shared" ref="AI26" si="33">(AG26-AH26)/AH26</f>
        <v>345.61111111111109</v>
      </c>
      <c r="AJ26" s="63">
        <f t="shared" si="29"/>
        <v>1.0965921189669747E-3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159</v>
      </c>
      <c r="B28" s="37"/>
      <c r="C28" s="251">
        <f>[3]Condor!$IW$19</f>
        <v>0</v>
      </c>
      <c r="D28" s="253">
        <f>[3]Condor!$II$19</f>
        <v>0</v>
      </c>
      <c r="E28" s="254" t="e">
        <f>(C28-D28)/D28</f>
        <v>#DIV/0!</v>
      </c>
      <c r="F28" s="253">
        <f>SUM([3]Condor!$IT$19:$IW$19)</f>
        <v>0</v>
      </c>
      <c r="G28" s="253">
        <f>SUM([3]Condor!$IF$19:$II$19)</f>
        <v>0</v>
      </c>
      <c r="H28" s="252" t="e">
        <f>(F28-G28)/G28</f>
        <v>#DIV/0!</v>
      </c>
      <c r="I28" s="254">
        <f>F28/$F$64</f>
        <v>0</v>
      </c>
      <c r="J28" s="250" t="s">
        <v>159</v>
      </c>
      <c r="K28" s="37"/>
      <c r="L28" s="251">
        <f>[3]Condor!$IW$41</f>
        <v>0</v>
      </c>
      <c r="M28" s="253">
        <f>[3]Condor!$II$41</f>
        <v>0</v>
      </c>
      <c r="N28" s="254" t="e">
        <f>(L28-M28)/M28</f>
        <v>#DIV/0!</v>
      </c>
      <c r="O28" s="251">
        <f>SUM([3]Condor!$IT$41:$IW$41)</f>
        <v>0</v>
      </c>
      <c r="P28" s="253">
        <f>SUM([3]Condor!$IF$41:$II$41)</f>
        <v>0</v>
      </c>
      <c r="Q28" s="252" t="e">
        <f>(O28-P28)/P28</f>
        <v>#DIV/0!</v>
      </c>
      <c r="R28" s="254">
        <f>O28/$O$64</f>
        <v>0</v>
      </c>
      <c r="S28" s="250" t="s">
        <v>159</v>
      </c>
      <c r="T28" s="37"/>
      <c r="U28" s="251">
        <f>[3]Condor!$IW$64</f>
        <v>0</v>
      </c>
      <c r="V28" s="253">
        <f>[3]Condor!$II$64</f>
        <v>0</v>
      </c>
      <c r="W28" s="254" t="e">
        <f>(U28-V28)/V28</f>
        <v>#DIV/0!</v>
      </c>
      <c r="X28" s="251">
        <f>SUM([3]Condor!$IT$64:$IW$64)</f>
        <v>0</v>
      </c>
      <c r="Y28" s="253">
        <f>SUM([3]Condor!$IF$64:$II$64)</f>
        <v>0</v>
      </c>
      <c r="Z28" s="252" t="e">
        <f>(X28-Y28)/Y28</f>
        <v>#DIV/0!</v>
      </c>
      <c r="AA28" s="254">
        <f>X28/$X$64</f>
        <v>0</v>
      </c>
      <c r="AB28" s="250" t="s">
        <v>159</v>
      </c>
      <c r="AC28" s="37"/>
      <c r="AD28" s="251">
        <f>[3]Condor!$IW$43</f>
        <v>0</v>
      </c>
      <c r="AE28" s="253">
        <f>[3]Condor!$II$43</f>
        <v>0</v>
      </c>
      <c r="AF28" s="254" t="e">
        <f>(AD28-AE28)/AE28</f>
        <v>#DIV/0!</v>
      </c>
      <c r="AG28" s="251">
        <f>SUM([3]Condor!$IT$43:$IW$43)</f>
        <v>0</v>
      </c>
      <c r="AH28" s="253">
        <f>SUM([3]Condor!$IF$43:$II$43)</f>
        <v>0</v>
      </c>
      <c r="AI28" s="252" t="e">
        <f>(AG28-AH28)/AH28</f>
        <v>#DIV/0!</v>
      </c>
      <c r="AJ28" s="254">
        <f>AG28/$AG$64</f>
        <v>0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210</v>
      </c>
      <c r="B30" s="37"/>
      <c r="C30" s="251">
        <f>'[3]Denver Air'!$IW$19</f>
        <v>172</v>
      </c>
      <c r="D30" s="253">
        <f>'[3]Denver Air'!$II$19</f>
        <v>148</v>
      </c>
      <c r="E30" s="254">
        <f>(C30-D30)/D30</f>
        <v>0.16216216216216217</v>
      </c>
      <c r="F30" s="253">
        <f>SUM('[3]Denver Air'!$IT$19:$IW$19)</f>
        <v>783</v>
      </c>
      <c r="G30" s="253">
        <f>SUM('[3]Denver Air'!$IF$19:$II$19)</f>
        <v>604</v>
      </c>
      <c r="H30" s="252">
        <f>(F30-G30)/G30</f>
        <v>0.29635761589403975</v>
      </c>
      <c r="I30" s="254">
        <f>F30/$F$64</f>
        <v>8.1282245590723647E-3</v>
      </c>
      <c r="J30" s="250" t="s">
        <v>210</v>
      </c>
      <c r="K30" s="37"/>
      <c r="L30" s="251">
        <f>'[3]Denver Air'!$IW$41</f>
        <v>1637</v>
      </c>
      <c r="M30" s="253">
        <f>'[3]Denver Air'!$II$41</f>
        <v>1594</v>
      </c>
      <c r="N30" s="254">
        <f>(L30-M30)/M30</f>
        <v>2.6976160602258468E-2</v>
      </c>
      <c r="O30" s="251">
        <f>SUM('[3]Denver Air'!$IT$41:$IW$41)</f>
        <v>6528</v>
      </c>
      <c r="P30" s="253">
        <f>SUM('[3]Denver Air'!$IF$41:$II$41)</f>
        <v>5833</v>
      </c>
      <c r="Q30" s="252">
        <f>(O30-P30)/P30</f>
        <v>0.11914966569518258</v>
      </c>
      <c r="R30" s="254">
        <f>O30/$O$64</f>
        <v>5.9068642775777407E-4</v>
      </c>
      <c r="S30" s="250" t="s">
        <v>210</v>
      </c>
      <c r="T30" s="37"/>
      <c r="U30" s="251">
        <f>'[3]Denver Air'!$IW$64</f>
        <v>0</v>
      </c>
      <c r="V30" s="253">
        <f>'[3]Denver Air'!$II$64</f>
        <v>0</v>
      </c>
      <c r="W30" s="254" t="e">
        <f>(U30-V30)/V30</f>
        <v>#DIV/0!</v>
      </c>
      <c r="X30" s="251">
        <f>SUM('[3]Denver Air'!$IT$64:$IW$64)</f>
        <v>0</v>
      </c>
      <c r="Y30" s="253">
        <f>SUM('[3]Denver Air'!$IF$64:$II$64)</f>
        <v>0</v>
      </c>
      <c r="Z30" s="252" t="e">
        <f>(X30-Y30)/Y30</f>
        <v>#DIV/0!</v>
      </c>
      <c r="AA30" s="254">
        <f>X30/$X$62</f>
        <v>0</v>
      </c>
      <c r="AB30" s="250" t="s">
        <v>210</v>
      </c>
      <c r="AC30" s="37"/>
      <c r="AD30" s="251">
        <f>'[3]Denver Air'!$IW$43</f>
        <v>1681</v>
      </c>
      <c r="AE30" s="253">
        <f>'[3]Denver Air'!$II$43</f>
        <v>1644</v>
      </c>
      <c r="AF30" s="254">
        <f>(AD30-AE30)/AE30</f>
        <v>2.2506082725060828E-2</v>
      </c>
      <c r="AG30" s="251">
        <f>SUM('[3]Denver Air'!$IT$43:$IW$43)</f>
        <v>6820</v>
      </c>
      <c r="AH30" s="253">
        <f>SUM('[3]Denver Air'!$IF$43:$II$43)</f>
        <v>6020</v>
      </c>
      <c r="AI30" s="252">
        <f>(AG30-AH30)/AH30</f>
        <v>0.13289036544850499</v>
      </c>
      <c r="AJ30" s="254">
        <f>AG30/$AG$64</f>
        <v>5.9935552583384899E-4</v>
      </c>
    </row>
    <row r="31" spans="1:36" ht="14.1" customHeight="1" x14ac:dyDescent="0.2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" customHeight="1" x14ac:dyDescent="0.2">
      <c r="A32" s="250" t="s">
        <v>18</v>
      </c>
      <c r="B32" s="257"/>
      <c r="C32" s="251">
        <f>SUM(C33:C36)</f>
        <v>17939</v>
      </c>
      <c r="D32" s="253">
        <f>SUM(D33:D36)</f>
        <v>17044</v>
      </c>
      <c r="E32" s="254">
        <f t="shared" ref="E32:E36" si="34">(C32-D32)/D32</f>
        <v>5.2511147617930062E-2</v>
      </c>
      <c r="F32" s="256">
        <f>SUM(F33:F36)</f>
        <v>68346</v>
      </c>
      <c r="G32" s="256">
        <f>SUM(G33:G36)</f>
        <v>65670</v>
      </c>
      <c r="H32" s="252">
        <f>(F32-G32)/G32</f>
        <v>4.0749200548195523E-2</v>
      </c>
      <c r="I32" s="254">
        <f>F32/$F$64</f>
        <v>0.70949123335167286</v>
      </c>
      <c r="J32" s="250" t="s">
        <v>18</v>
      </c>
      <c r="K32" s="257"/>
      <c r="L32" s="251">
        <f>SUM(L33:L36)</f>
        <v>2035305</v>
      </c>
      <c r="M32" s="253">
        <f>SUM(M33:M36)</f>
        <v>1900778</v>
      </c>
      <c r="N32" s="254">
        <f t="shared" ref="N32:N36" si="35">(L32-M32)/M32</f>
        <v>7.0774703831799401E-2</v>
      </c>
      <c r="O32" s="251">
        <f>SUM(O33:O36)</f>
        <v>7578843</v>
      </c>
      <c r="P32" s="253">
        <f>SUM(P33:P36)</f>
        <v>7086683</v>
      </c>
      <c r="Q32" s="252">
        <f t="shared" ref="Q32:Q36" si="36">(O32-P32)/P32</f>
        <v>6.9448569944500133E-2</v>
      </c>
      <c r="R32" s="254">
        <f>O32/$O$64</f>
        <v>0.68577201259298581</v>
      </c>
      <c r="S32" s="250" t="s">
        <v>18</v>
      </c>
      <c r="T32" s="257"/>
      <c r="U32" s="251">
        <f>SUM(U33:U36)</f>
        <v>5657494</v>
      </c>
      <c r="V32" s="253">
        <f>SUM(V33:V36)</f>
        <v>6426400</v>
      </c>
      <c r="W32" s="254">
        <f t="shared" ref="W32:W36" si="37">(U32-V32)/V32</f>
        <v>-0.11964801444043321</v>
      </c>
      <c r="X32" s="251">
        <f>SUM(X33:X36)</f>
        <v>22734963</v>
      </c>
      <c r="Y32" s="253">
        <f>SUM(Y33:Y36)</f>
        <v>24641194</v>
      </c>
      <c r="Z32" s="252">
        <f t="shared" ref="Z32:Z34" si="38">(X32-Y32)/Y32</f>
        <v>-7.7359522432232791E-2</v>
      </c>
      <c r="AA32" s="254">
        <f>X32/$X$64</f>
        <v>0.89823710478085828</v>
      </c>
      <c r="AB32" s="250" t="s">
        <v>18</v>
      </c>
      <c r="AC32" s="257"/>
      <c r="AD32" s="251">
        <f>SUM(AD33:AD36)</f>
        <v>2099944</v>
      </c>
      <c r="AE32" s="253">
        <f>SUM(AE33:AE36)</f>
        <v>1960394</v>
      </c>
      <c r="AF32" s="254">
        <f t="shared" ref="AF32:AF36" si="39">(AD32-AE32)/AE32</f>
        <v>7.1184670020414259E-2</v>
      </c>
      <c r="AG32" s="251">
        <f>SUM(AG33:AG36)</f>
        <v>7833217</v>
      </c>
      <c r="AH32" s="253">
        <f>SUM(AH33:AH36)</f>
        <v>7324022</v>
      </c>
      <c r="AI32" s="252">
        <f t="shared" ref="AI32:AI36" si="40">(AG32-AH32)/AH32</f>
        <v>6.9523958284123125E-2</v>
      </c>
      <c r="AJ32" s="254">
        <f>AG32/$AG$64</f>
        <v>0.68839910469290988</v>
      </c>
    </row>
    <row r="33" spans="1:36" ht="14.1" customHeight="1" x14ac:dyDescent="0.2">
      <c r="A33" s="36"/>
      <c r="B33" s="37" t="s">
        <v>18</v>
      </c>
      <c r="C33" s="255">
        <f>[3]Delta!$IW$19</f>
        <v>12161</v>
      </c>
      <c r="D33" s="2">
        <f>[3]Delta!$II$19</f>
        <v>11602</v>
      </c>
      <c r="E33" s="63">
        <f t="shared" si="34"/>
        <v>4.8181348043440785E-2</v>
      </c>
      <c r="F33" s="2">
        <f>SUM([3]Delta!$IT$19:$IW$19)</f>
        <v>45776</v>
      </c>
      <c r="G33" s="2">
        <f>SUM([3]Delta!$IF$19:$II$19)</f>
        <v>43901</v>
      </c>
      <c r="H33" s="3">
        <f t="shared" ref="H33:H36" si="41">(F33-G33)/G33</f>
        <v>4.270973326347919E-2</v>
      </c>
      <c r="I33" s="63">
        <f>F33/$F$64</f>
        <v>0.47519490091455502</v>
      </c>
      <c r="J33" s="36"/>
      <c r="K33" s="37" t="s">
        <v>18</v>
      </c>
      <c r="L33" s="255">
        <f>[3]Delta!$IW$41</f>
        <v>1702862</v>
      </c>
      <c r="M33" s="2">
        <f>[3]Delta!$II$41</f>
        <v>1615810</v>
      </c>
      <c r="N33" s="63">
        <f t="shared" si="35"/>
        <v>5.3875146211497638E-2</v>
      </c>
      <c r="O33" s="255">
        <f>SUM([3]Delta!$IT$41:$IW$41)</f>
        <v>6313328</v>
      </c>
      <c r="P33" s="2">
        <f>SUM([3]Delta!$IF$41:$II$41)</f>
        <v>5974976</v>
      </c>
      <c r="Q33" s="3">
        <f t="shared" si="36"/>
        <v>5.6628177251255907E-2</v>
      </c>
      <c r="R33" s="63">
        <f>O33/$O$64</f>
        <v>0.57126182040182782</v>
      </c>
      <c r="S33" s="36"/>
      <c r="T33" s="37" t="s">
        <v>18</v>
      </c>
      <c r="U33" s="255">
        <f>[3]Delta!$IW$64</f>
        <v>5657494</v>
      </c>
      <c r="V33" s="2">
        <f>[3]Delta!$II$64</f>
        <v>6426400</v>
      </c>
      <c r="W33" s="63">
        <f t="shared" si="37"/>
        <v>-0.11964801444043321</v>
      </c>
      <c r="X33" s="255">
        <f>SUM([3]Delta!$IT$64:$IW$64)</f>
        <v>22734963</v>
      </c>
      <c r="Y33" s="2">
        <f>SUM([3]Delta!$IF$64:$II$64)</f>
        <v>24641194</v>
      </c>
      <c r="Z33" s="3">
        <f t="shared" si="38"/>
        <v>-7.7359522432232791E-2</v>
      </c>
      <c r="AA33" s="63">
        <f>X33/$X$64</f>
        <v>0.89823710478085828</v>
      </c>
      <c r="AB33" s="36"/>
      <c r="AC33" s="37" t="s">
        <v>18</v>
      </c>
      <c r="AD33" s="255">
        <f>[3]Delta!$IW$43</f>
        <v>1756698</v>
      </c>
      <c r="AE33" s="2">
        <f>[3]Delta!$II$43</f>
        <v>1666660</v>
      </c>
      <c r="AF33" s="63">
        <f t="shared" si="39"/>
        <v>5.402301609206437E-2</v>
      </c>
      <c r="AG33" s="255">
        <f>SUM([3]Delta!$IT$43:$IW$43)</f>
        <v>6525273</v>
      </c>
      <c r="AH33" s="2">
        <f>SUM([3]Delta!$IF$43:$II$43)</f>
        <v>6174494</v>
      </c>
      <c r="AI33" s="3">
        <f>(AG33-AH33)/AH33</f>
        <v>5.6810971069046305E-2</v>
      </c>
      <c r="AJ33" s="63">
        <f>AG33/$AG$64</f>
        <v>0.5734543152675099</v>
      </c>
    </row>
    <row r="34" spans="1:36" ht="14.1" customHeight="1" x14ac:dyDescent="0.2">
      <c r="A34" s="36"/>
      <c r="B34" s="37" t="s">
        <v>156</v>
      </c>
      <c r="C34" s="255">
        <f>[3]Pinnacle!$IW$19</f>
        <v>1360</v>
      </c>
      <c r="D34" s="2">
        <f>[3]Pinnacle!$II$19</f>
        <v>1121</v>
      </c>
      <c r="E34" s="63">
        <f t="shared" si="34"/>
        <v>0.21320249776984834</v>
      </c>
      <c r="F34" s="2">
        <f>SUM([3]Pinnacle!$IT$19:$IW$19)</f>
        <v>5112</v>
      </c>
      <c r="G34" s="2">
        <f>SUM([3]Pinnacle!$IF$19:$II$19)</f>
        <v>5546</v>
      </c>
      <c r="H34" s="3">
        <f t="shared" si="41"/>
        <v>-7.8254597908402446E-2</v>
      </c>
      <c r="I34" s="63">
        <f>F34/$F$64</f>
        <v>5.3067029305208083E-2</v>
      </c>
      <c r="J34" s="36"/>
      <c r="K34" s="37" t="s">
        <v>156</v>
      </c>
      <c r="L34" s="255">
        <f>[3]Pinnacle!$IW$41</f>
        <v>88956</v>
      </c>
      <c r="M34" s="2">
        <f>[3]Pinnacle!$II$41</f>
        <v>68637</v>
      </c>
      <c r="N34" s="63">
        <f t="shared" si="35"/>
        <v>0.29603566589448838</v>
      </c>
      <c r="O34" s="255">
        <f>SUM([3]Pinnacle!$IT$41:$IW$41)</f>
        <v>313712</v>
      </c>
      <c r="P34" s="2">
        <f>SUM([3]Pinnacle!$IF$41:$II$41)</f>
        <v>319885</v>
      </c>
      <c r="Q34" s="3">
        <f t="shared" si="36"/>
        <v>-1.9297560060646795E-2</v>
      </c>
      <c r="R34" s="63">
        <f>O34/$O$64</f>
        <v>2.8386247031977146E-2</v>
      </c>
      <c r="S34" s="36"/>
      <c r="T34" s="37" t="s">
        <v>156</v>
      </c>
      <c r="U34" s="255">
        <f>[3]Pinnacle!$IW$64</f>
        <v>0</v>
      </c>
      <c r="V34" s="2">
        <f>[3]Pinnacle!$II$64</f>
        <v>0</v>
      </c>
      <c r="W34" s="63" t="e">
        <f t="shared" si="37"/>
        <v>#DIV/0!</v>
      </c>
      <c r="X34" s="255">
        <f>SUM([3]Pinnacle!$IT$64:$IW$64)</f>
        <v>0</v>
      </c>
      <c r="Y34" s="2">
        <f>SUM([3]Pinnacle!$IF$64:$II$64)</f>
        <v>0</v>
      </c>
      <c r="Z34" s="3" t="e">
        <f t="shared" si="38"/>
        <v>#DIV/0!</v>
      </c>
      <c r="AA34" s="63">
        <f>X34/$X$64</f>
        <v>0</v>
      </c>
      <c r="AB34" s="36"/>
      <c r="AC34" s="37" t="s">
        <v>156</v>
      </c>
      <c r="AD34" s="255">
        <f>[3]Pinnacle!$IW$43</f>
        <v>91584</v>
      </c>
      <c r="AE34" s="2">
        <f>[3]Pinnacle!$II$43</f>
        <v>71038</v>
      </c>
      <c r="AF34" s="63">
        <f t="shared" si="39"/>
        <v>0.28922548495171596</v>
      </c>
      <c r="AG34" s="255">
        <f>SUM([3]Pinnacle!$IT$43:$IW$43)</f>
        <v>324873</v>
      </c>
      <c r="AH34" s="2">
        <f>SUM([3]Pinnacle!$IF$43:$II$43)</f>
        <v>332025</v>
      </c>
      <c r="AI34" s="3">
        <f t="shared" si="40"/>
        <v>-2.1540546645583917E-2</v>
      </c>
      <c r="AJ34" s="63">
        <f t="shared" ref="AJ34:AJ36" si="42">AG34/$AG$64</f>
        <v>2.8550502601791792E-2</v>
      </c>
    </row>
    <row r="35" spans="1:36" ht="14.1" customHeight="1" x14ac:dyDescent="0.2">
      <c r="A35" s="36"/>
      <c r="B35" s="37" t="s">
        <v>97</v>
      </c>
      <c r="C35" s="255">
        <f>'[3]Sky West'!$IW$19</f>
        <v>4418</v>
      </c>
      <c r="D35" s="2">
        <f>'[3]Sky West'!$II$19</f>
        <v>4321</v>
      </c>
      <c r="E35" s="63">
        <f t="shared" si="34"/>
        <v>2.2448507289979172E-2</v>
      </c>
      <c r="F35" s="2">
        <f>SUM('[3]Sky West'!$IT$19:$IW$19)</f>
        <v>17458</v>
      </c>
      <c r="G35" s="2">
        <f>SUM('[3]Sky West'!$IF$19:$II$19)</f>
        <v>16223</v>
      </c>
      <c r="H35" s="3">
        <f t="shared" si="41"/>
        <v>7.6126487086235595E-2</v>
      </c>
      <c r="I35" s="63">
        <f>F35/$F$64</f>
        <v>0.18122930313190977</v>
      </c>
      <c r="J35" s="36"/>
      <c r="K35" s="37" t="s">
        <v>97</v>
      </c>
      <c r="L35" s="255">
        <f>'[3]Sky West'!$IW$41</f>
        <v>243487</v>
      </c>
      <c r="M35" s="2">
        <f>'[3]Sky West'!$II$41</f>
        <v>216331</v>
      </c>
      <c r="N35" s="63">
        <f t="shared" si="35"/>
        <v>0.12552985933592503</v>
      </c>
      <c r="O35" s="255">
        <f>SUM('[3]Sky West'!$IT$41:$IW$41)</f>
        <v>951803</v>
      </c>
      <c r="P35" s="2">
        <f>SUM('[3]Sky West'!$IF$41:$II$41)</f>
        <v>791822</v>
      </c>
      <c r="Q35" s="3">
        <f t="shared" si="36"/>
        <v>0.20204162046520557</v>
      </c>
      <c r="R35" s="63">
        <f>O35/$O$64</f>
        <v>8.6123945159180856E-2</v>
      </c>
      <c r="S35" s="36"/>
      <c r="T35" s="37" t="s">
        <v>97</v>
      </c>
      <c r="U35" s="255">
        <f>'[3]Sky West'!$IW$64</f>
        <v>0</v>
      </c>
      <c r="V35" s="2">
        <f>'[3]Sky West'!$II$64</f>
        <v>0</v>
      </c>
      <c r="W35" s="63" t="e">
        <f t="shared" si="37"/>
        <v>#DIV/0!</v>
      </c>
      <c r="X35" s="255">
        <f>SUM('[3]Sky West'!$IT$64:$IW$64)</f>
        <v>0</v>
      </c>
      <c r="Y35" s="2">
        <f>SUM('[3]Sky West'!$IF$64:$II$64)</f>
        <v>0</v>
      </c>
      <c r="Z35" s="3" t="e">
        <f t="shared" ref="Z35:Z36" si="43">(X35-Y35)/Y35</f>
        <v>#DIV/0!</v>
      </c>
      <c r="AA35" s="63">
        <f>X35/$X$64</f>
        <v>0</v>
      </c>
      <c r="AB35" s="36"/>
      <c r="AC35" s="37" t="s">
        <v>97</v>
      </c>
      <c r="AD35" s="255">
        <f>'[3]Sky West'!$IW$43</f>
        <v>251662</v>
      </c>
      <c r="AE35" s="2">
        <f>'[3]Sky West'!$II$43</f>
        <v>222696</v>
      </c>
      <c r="AF35" s="63">
        <f t="shared" si="39"/>
        <v>0.13006969141789704</v>
      </c>
      <c r="AG35" s="255">
        <f>SUM('[3]Sky West'!$IT$43:$IW$43)</f>
        <v>983071</v>
      </c>
      <c r="AH35" s="2">
        <f>SUM('[3]Sky West'!$IF$43:$II$43)</f>
        <v>817503</v>
      </c>
      <c r="AI35" s="3">
        <f t="shared" si="40"/>
        <v>0.20252892038316678</v>
      </c>
      <c r="AJ35" s="63">
        <f t="shared" si="42"/>
        <v>8.6394286823608168E-2</v>
      </c>
    </row>
    <row r="36" spans="1:36" ht="14.1" customHeight="1" x14ac:dyDescent="0.2">
      <c r="A36" s="36"/>
      <c r="B36" s="310" t="s">
        <v>164</v>
      </c>
      <c r="C36" s="255">
        <f>'[3]Atlantic Southeast'!$IW$19</f>
        <v>0</v>
      </c>
      <c r="D36" s="2">
        <f>'[3]Atlantic Southeast'!$II$19</f>
        <v>0</v>
      </c>
      <c r="E36" s="63" t="e">
        <f t="shared" si="34"/>
        <v>#DIV/0!</v>
      </c>
      <c r="F36" s="2">
        <f>SUM('[3]Atlantic Southeast'!$IT$19:$IW$19)</f>
        <v>0</v>
      </c>
      <c r="G36" s="2">
        <f>SUM('[3]Atlantic Southeast'!$IF$19:$II$19)</f>
        <v>0</v>
      </c>
      <c r="H36" s="3" t="e">
        <f t="shared" si="41"/>
        <v>#DIV/0!</v>
      </c>
      <c r="I36" s="63">
        <f>F36/$F$64</f>
        <v>0</v>
      </c>
      <c r="J36" s="36"/>
      <c r="K36" s="310" t="s">
        <v>164</v>
      </c>
      <c r="L36" s="255">
        <f>'[3]Atlantic Southeast'!$IW$41</f>
        <v>0</v>
      </c>
      <c r="M36" s="2">
        <f>'[3]Atlantic Southeast'!$II$41</f>
        <v>0</v>
      </c>
      <c r="N36" s="63" t="e">
        <f t="shared" si="35"/>
        <v>#DIV/0!</v>
      </c>
      <c r="O36" s="255">
        <f>SUM('[3]Atlantic Southeast'!$IT$41:$IW$41)</f>
        <v>0</v>
      </c>
      <c r="P36" s="2">
        <f>SUM('[3]Atlantic Southeast'!$IF$41:$II$41)</f>
        <v>0</v>
      </c>
      <c r="Q36" s="3" t="e">
        <f t="shared" si="36"/>
        <v>#DIV/0!</v>
      </c>
      <c r="R36" s="63">
        <f>O36/$O$64</f>
        <v>0</v>
      </c>
      <c r="S36" s="36"/>
      <c r="T36" s="310" t="s">
        <v>164</v>
      </c>
      <c r="U36" s="255">
        <f>'[3]Atlantic Southeast'!$IW$64</f>
        <v>0</v>
      </c>
      <c r="V36" s="2">
        <f>'[3]Atlantic Southeast'!$II$64</f>
        <v>0</v>
      </c>
      <c r="W36" s="63" t="e">
        <f t="shared" si="37"/>
        <v>#DIV/0!</v>
      </c>
      <c r="X36" s="255">
        <f>SUM('[3]Atlantic Southeast'!$IT$64:$IW$64)</f>
        <v>0</v>
      </c>
      <c r="Y36" s="2">
        <f>SUM('[3]Atlantic Southeast'!$IF$64:$II$64)</f>
        <v>0</v>
      </c>
      <c r="Z36" s="3" t="e">
        <f t="shared" si="43"/>
        <v>#DIV/0!</v>
      </c>
      <c r="AA36" s="63">
        <f>X36/$X$64</f>
        <v>0</v>
      </c>
      <c r="AB36" s="36"/>
      <c r="AC36" s="310" t="s">
        <v>164</v>
      </c>
      <c r="AD36" s="255">
        <f>'[3]Atlantic Southeast'!$IW$43</f>
        <v>0</v>
      </c>
      <c r="AE36" s="2">
        <f>'[3]Atlantic Southeast'!$II$43</f>
        <v>0</v>
      </c>
      <c r="AF36" s="63" t="e">
        <f t="shared" si="39"/>
        <v>#DIV/0!</v>
      </c>
      <c r="AG36" s="255">
        <f>SUM('[3]Atlantic Southeast'!$IT$43:$IW$43)</f>
        <v>0</v>
      </c>
      <c r="AH36" s="2">
        <f>SUM('[3]Atlantic Southeast'!$IF$43:$II$43)</f>
        <v>0</v>
      </c>
      <c r="AI36" s="3" t="e">
        <f t="shared" si="40"/>
        <v>#DIV/0!</v>
      </c>
      <c r="AJ36" s="63">
        <f t="shared" si="42"/>
        <v>0</v>
      </c>
    </row>
    <row r="37" spans="1:36" ht="14.1" customHeight="1" x14ac:dyDescent="0.2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47</v>
      </c>
      <c r="B38" s="37"/>
      <c r="C38" s="251">
        <f>[3]Frontier!$IW$19</f>
        <v>312</v>
      </c>
      <c r="D38" s="253">
        <f>[3]Frontier!$II$19</f>
        <v>131</v>
      </c>
      <c r="E38" s="254">
        <f>(C38-D38)/D38</f>
        <v>1.3816793893129771</v>
      </c>
      <c r="F38" s="253">
        <f>SUM([3]Frontier!$IT$19:$IW$19)</f>
        <v>1286</v>
      </c>
      <c r="G38" s="253">
        <f>SUM([3]Frontier!$IF$19:$II$19)</f>
        <v>453</v>
      </c>
      <c r="H38" s="252">
        <f>(F38-G38)/G38</f>
        <v>1.8388520971302429</v>
      </c>
      <c r="I38" s="254">
        <f>F38/$F$64</f>
        <v>1.3349804320519874E-2</v>
      </c>
      <c r="J38" s="250" t="s">
        <v>47</v>
      </c>
      <c r="K38" s="37"/>
      <c r="L38" s="251">
        <f>[3]Frontier!$IW$41</f>
        <v>44434</v>
      </c>
      <c r="M38" s="253">
        <f>[3]Frontier!$II$41</f>
        <v>21690</v>
      </c>
      <c r="N38" s="254">
        <f>(L38-M38)/M38</f>
        <v>1.0485938220378055</v>
      </c>
      <c r="O38" s="251">
        <f>SUM([3]Frontier!$IT$41:$IW$41)</f>
        <v>207076</v>
      </c>
      <c r="P38" s="253">
        <f>SUM([3]Frontier!$IF$41:$II$41)</f>
        <v>74529</v>
      </c>
      <c r="Q38" s="252">
        <f>(O38-P38)/P38</f>
        <v>1.7784620751653719</v>
      </c>
      <c r="R38" s="254">
        <f>O38/$O$64</f>
        <v>1.8737282891294244E-2</v>
      </c>
      <c r="S38" s="250" t="s">
        <v>47</v>
      </c>
      <c r="T38" s="37"/>
      <c r="U38" s="251">
        <f>[3]Frontier!$IW$64</f>
        <v>0</v>
      </c>
      <c r="V38" s="253">
        <f>[3]Frontier!$II$64</f>
        <v>0</v>
      </c>
      <c r="W38" s="254" t="e">
        <f>(U38-V38)/V38</f>
        <v>#DIV/0!</v>
      </c>
      <c r="X38" s="251">
        <f>SUM([3]Frontier!$IT$64:$IW$64)</f>
        <v>0</v>
      </c>
      <c r="Y38" s="253">
        <f>SUM([3]Frontier!$IF$64:$II$64)</f>
        <v>0</v>
      </c>
      <c r="Z38" s="252" t="e">
        <f>(X38-Y38)/Y38</f>
        <v>#DIV/0!</v>
      </c>
      <c r="AA38" s="254">
        <f>X38/$X$64</f>
        <v>0</v>
      </c>
      <c r="AB38" s="250" t="s">
        <v>47</v>
      </c>
      <c r="AC38" s="37"/>
      <c r="AD38" s="251">
        <f>[3]Frontier!$IW$43</f>
        <v>44686</v>
      </c>
      <c r="AE38" s="253">
        <f>[3]Frontier!$II$43</f>
        <v>21817</v>
      </c>
      <c r="AF38" s="254">
        <f>(AD38-AE38)/AE38</f>
        <v>1.0482192785442546</v>
      </c>
      <c r="AG38" s="251">
        <f>SUM([3]Frontier!$IT$43:$IW$43)</f>
        <v>208185</v>
      </c>
      <c r="AH38" s="253">
        <f>SUM([3]Frontier!$IF$43:$II$43)</f>
        <v>74993</v>
      </c>
      <c r="AI38" s="252">
        <f>(AG38-AH38)/AH38</f>
        <v>1.776059098849226</v>
      </c>
      <c r="AJ38" s="254">
        <f>AG38/$AG$64</f>
        <v>1.829572289526684E-2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48</v>
      </c>
      <c r="B40" s="37"/>
      <c r="C40" s="251">
        <f>[3]Icelandair!$IW$19</f>
        <v>32</v>
      </c>
      <c r="D40" s="253">
        <f>[3]Icelandair!$II$19</f>
        <v>38</v>
      </c>
      <c r="E40" s="254">
        <f>(C40-D40)/D40</f>
        <v>-0.15789473684210525</v>
      </c>
      <c r="F40" s="253">
        <f>SUM([3]Icelandair!$IT$19:$IW$19)</f>
        <v>50</v>
      </c>
      <c r="G40" s="253">
        <f>SUM([3]Icelandair!$IF$19:$II$19)</f>
        <v>56</v>
      </c>
      <c r="H40" s="252">
        <f>(F40-G40)/G40</f>
        <v>-0.10714285714285714</v>
      </c>
      <c r="I40" s="254">
        <f>F40/$F$64</f>
        <v>5.1904371386158146E-4</v>
      </c>
      <c r="J40" s="250" t="s">
        <v>48</v>
      </c>
      <c r="K40" s="37"/>
      <c r="L40" s="251">
        <f>[3]Icelandair!$IW$41</f>
        <v>4541</v>
      </c>
      <c r="M40" s="253">
        <f>[3]Icelandair!$II$41</f>
        <v>4891</v>
      </c>
      <c r="N40" s="254">
        <f>(L40-M40)/M40</f>
        <v>-7.1560008178286644E-2</v>
      </c>
      <c r="O40" s="251">
        <f>SUM([3]Icelandair!$IT$41:$IW$41)</f>
        <v>6658</v>
      </c>
      <c r="P40" s="253">
        <f>SUM([3]Icelandair!$IF$41:$II$41)</f>
        <v>7045</v>
      </c>
      <c r="Q40" s="252">
        <f>(O40-P40)/P40</f>
        <v>-5.4932576295244853E-2</v>
      </c>
      <c r="R40" s="254">
        <f>O40/$O$64</f>
        <v>6.0244948468309739E-4</v>
      </c>
      <c r="S40" s="250" t="s">
        <v>48</v>
      </c>
      <c r="T40" s="37"/>
      <c r="U40" s="251">
        <f>[3]Icelandair!$IW$64</f>
        <v>1556</v>
      </c>
      <c r="V40" s="253">
        <f>[3]Icelandair!$II$64</f>
        <v>500</v>
      </c>
      <c r="W40" s="254">
        <f>(U40-V40)/V40</f>
        <v>2.1120000000000001</v>
      </c>
      <c r="X40" s="251">
        <f>SUM([3]Icelandair!$IT$64:$IW$64)</f>
        <v>2699</v>
      </c>
      <c r="Y40" s="253">
        <f>SUM([3]Icelandair!$IF$64:$II$64)</f>
        <v>908</v>
      </c>
      <c r="Z40" s="252">
        <f>(X40-Y40)/Y40</f>
        <v>1.972466960352423</v>
      </c>
      <c r="AA40" s="254">
        <f>X40/$X$64</f>
        <v>1.0663496332954386E-4</v>
      </c>
      <c r="AB40" s="250" t="s">
        <v>48</v>
      </c>
      <c r="AC40" s="37"/>
      <c r="AD40" s="251">
        <f>[3]Icelandair!$IW$43</f>
        <v>4586</v>
      </c>
      <c r="AE40" s="253">
        <f>[3]Icelandair!$II$43</f>
        <v>4954</v>
      </c>
      <c r="AF40" s="254">
        <f>(AD40-AE40)/AE40</f>
        <v>-7.4283407347597905E-2</v>
      </c>
      <c r="AG40" s="251">
        <f>SUM([3]Icelandair!$IT$43:$IW$43)</f>
        <v>6765</v>
      </c>
      <c r="AH40" s="253">
        <f>SUM([3]Icelandair!$IF$43:$II$43)</f>
        <v>7136</v>
      </c>
      <c r="AI40" s="252">
        <f>(AG40-AH40)/AH40</f>
        <v>-5.1989910313901343E-2</v>
      </c>
      <c r="AJ40" s="254">
        <f>AG40/$AG$64</f>
        <v>5.9452201352873726E-4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190</v>
      </c>
      <c r="B42" s="37"/>
      <c r="C42" s="251">
        <f>'[3]Jet Blue'!$IW$19</f>
        <v>58</v>
      </c>
      <c r="D42" s="253">
        <f>'[3]Jet Blue'!$II$19</f>
        <v>62</v>
      </c>
      <c r="E42" s="254">
        <f>(C42-D42)/D42</f>
        <v>-6.4516129032258063E-2</v>
      </c>
      <c r="F42" s="253">
        <f>SUM('[3]Jet Blue'!$IT$19:$IW$19)</f>
        <v>238</v>
      </c>
      <c r="G42" s="253">
        <f>SUM('[3]Jet Blue'!$IF$19:$II$19)</f>
        <v>420</v>
      </c>
      <c r="H42" s="252">
        <f>(F42-G42)/G42</f>
        <v>-0.43333333333333335</v>
      </c>
      <c r="I42" s="254">
        <f>F42/$F$64</f>
        <v>2.4706480779811274E-3</v>
      </c>
      <c r="J42" s="250" t="s">
        <v>190</v>
      </c>
      <c r="K42" s="37"/>
      <c r="L42" s="251">
        <f>'[3]Jet Blue'!$IW$41</f>
        <v>4585</v>
      </c>
      <c r="M42" s="253">
        <f>'[3]Jet Blue'!$II$41</f>
        <v>6623</v>
      </c>
      <c r="N42" s="254">
        <f>(L42-M42)/M42</f>
        <v>-0.30771553676581609</v>
      </c>
      <c r="O42" s="251">
        <f>SUM('[3]Jet Blue'!$IT$41:$IW$41)</f>
        <v>19499</v>
      </c>
      <c r="P42" s="253">
        <f>SUM('[3]Jet Blue'!$IF$41:$II$41)</f>
        <v>32233</v>
      </c>
      <c r="Q42" s="252">
        <f>(O42-P42)/P42</f>
        <v>-0.39506096236775973</v>
      </c>
      <c r="R42" s="254">
        <f>O42/$O$64</f>
        <v>1.764368053745226E-3</v>
      </c>
      <c r="S42" s="250" t="s">
        <v>190</v>
      </c>
      <c r="T42" s="37"/>
      <c r="U42" s="251">
        <f>'[3]Jet Blue'!$IW$64</f>
        <v>0</v>
      </c>
      <c r="V42" s="253">
        <f>'[3]Jet Blue'!$II$64</f>
        <v>0</v>
      </c>
      <c r="W42" s="254" t="e">
        <f>(U42-V42)/V42</f>
        <v>#DIV/0!</v>
      </c>
      <c r="X42" s="251">
        <f>SUM('[3]Jet Blue'!$IT$64:$IW$64)</f>
        <v>0</v>
      </c>
      <c r="Y42" s="253">
        <f>SUM('[3]Jet Blue'!$IF$64:$II$64)</f>
        <v>0</v>
      </c>
      <c r="Z42" s="252" t="e">
        <f>(X42-Y42)/Y42</f>
        <v>#DIV/0!</v>
      </c>
      <c r="AA42" s="254">
        <f>X42/$X$64</f>
        <v>0</v>
      </c>
      <c r="AB42" s="250" t="s">
        <v>190</v>
      </c>
      <c r="AC42" s="37"/>
      <c r="AD42" s="251">
        <f>'[3]Jet Blue'!$IW$43</f>
        <v>4701</v>
      </c>
      <c r="AE42" s="253">
        <f>'[3]Jet Blue'!$II$43</f>
        <v>6808</v>
      </c>
      <c r="AF42" s="254">
        <f>(AD42-AE42)/AE42</f>
        <v>-0.30948883666274973</v>
      </c>
      <c r="AG42" s="251">
        <f>SUM('[3]Jet Blue'!$IT$43:$IW$43)</f>
        <v>19933</v>
      </c>
      <c r="AH42" s="253">
        <f>SUM('[3]Jet Blue'!$IF$43:$II$43)</f>
        <v>33329</v>
      </c>
      <c r="AI42" s="252">
        <f>(AG42-AH42)/AH42</f>
        <v>-0.40193225119265502</v>
      </c>
      <c r="AJ42" s="254">
        <f>AG42/$AG$64</f>
        <v>1.7517527414143859E-3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185</v>
      </c>
      <c r="B44" s="37"/>
      <c r="C44" s="251">
        <f>[3]KLM!$IW$19</f>
        <v>24</v>
      </c>
      <c r="D44" s="253">
        <f>[3]KLM!$II$19</f>
        <v>34</v>
      </c>
      <c r="E44" s="254">
        <f>(C44-D44)/D44</f>
        <v>-0.29411764705882354</v>
      </c>
      <c r="F44" s="253">
        <f>SUM([3]KLM!$IT$19:$IW$19)</f>
        <v>112</v>
      </c>
      <c r="G44" s="253">
        <f>SUM([3]KLM!$IF$19:$II$19)</f>
        <v>134</v>
      </c>
      <c r="H44" s="252">
        <f>(F44-G44)/G44</f>
        <v>-0.16417910447761194</v>
      </c>
      <c r="I44" s="254">
        <f>F44/$F$64</f>
        <v>1.1626579190499424E-3</v>
      </c>
      <c r="J44" s="250" t="s">
        <v>185</v>
      </c>
      <c r="K44" s="37"/>
      <c r="L44" s="251">
        <f>[3]KLM!$IW$41</f>
        <v>6370</v>
      </c>
      <c r="M44" s="253">
        <f>[3]KLM!$II$41</f>
        <v>7928</v>
      </c>
      <c r="N44" s="254">
        <f>(L44-M44)/M44</f>
        <v>-0.19651866801210899</v>
      </c>
      <c r="O44" s="251">
        <f>SUM([3]KLM!$IT$41:$IW$41)</f>
        <v>23370</v>
      </c>
      <c r="P44" s="253">
        <f>SUM([3]KLM!$IF$41:$II$41)</f>
        <v>27479</v>
      </c>
      <c r="Q44" s="252">
        <f>(O44-P44)/P44</f>
        <v>-0.14953237017358711</v>
      </c>
      <c r="R44" s="254">
        <f>O44/$O$64</f>
        <v>2.1146356949600458E-3</v>
      </c>
      <c r="S44" s="250" t="s">
        <v>185</v>
      </c>
      <c r="T44" s="37"/>
      <c r="U44" s="251">
        <f>[3]KLM!$IW$64</f>
        <v>200838</v>
      </c>
      <c r="V44" s="253">
        <f>[3]KLM!$II$64</f>
        <v>306825</v>
      </c>
      <c r="W44" s="254">
        <f>(U44-V44)/V44</f>
        <v>-0.34543143485700317</v>
      </c>
      <c r="X44" s="251">
        <f>SUM([3]KLM!$IT$64:$IW$64)</f>
        <v>1118874</v>
      </c>
      <c r="Y44" s="253">
        <f>SUM([3]KLM!$IF$64:$II$64)</f>
        <v>1909869</v>
      </c>
      <c r="Z44" s="252">
        <f>(X44-Y44)/Y44</f>
        <v>-0.41416191372287836</v>
      </c>
      <c r="AA44" s="254">
        <f>X44/$X$64</f>
        <v>4.4205664305439069E-2</v>
      </c>
      <c r="AB44" s="250" t="s">
        <v>185</v>
      </c>
      <c r="AC44" s="37"/>
      <c r="AD44" s="251">
        <f>[3]KLM!$IW$43</f>
        <v>6382</v>
      </c>
      <c r="AE44" s="253">
        <f>[3]KLM!$II$43</f>
        <v>7939</v>
      </c>
      <c r="AF44" s="254">
        <f>(AD44-AE44)/AE44</f>
        <v>-0.19612041818868875</v>
      </c>
      <c r="AG44" s="251">
        <f>SUM([3]KLM!$IT$43:$IW$43)</f>
        <v>23410</v>
      </c>
      <c r="AH44" s="253">
        <f>SUM([3]KLM!$IF$43:$II$43)</f>
        <v>27514</v>
      </c>
      <c r="AI44" s="252">
        <f>(AG44-AH44)/AH44</f>
        <v>-0.14916042741876862</v>
      </c>
      <c r="AJ44" s="254">
        <f>AG44/$AG$64</f>
        <v>2.0573186011393556E-3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128</v>
      </c>
      <c r="B46" s="37"/>
      <c r="C46" s="251">
        <f>[3]Southwest!$IW$19</f>
        <v>1236</v>
      </c>
      <c r="D46" s="253">
        <f>[3]Southwest!$II$19</f>
        <v>1134</v>
      </c>
      <c r="E46" s="254">
        <f>(C46-D46)/D46</f>
        <v>8.9947089947089942E-2</v>
      </c>
      <c r="F46" s="253">
        <f>SUM([3]Southwest!$IT$19:$IW$19)</f>
        <v>4766</v>
      </c>
      <c r="G46" s="253">
        <f>SUM([3]Southwest!$IF$19:$II$19)</f>
        <v>4012</v>
      </c>
      <c r="H46" s="252">
        <f>(F46-G46)/G46</f>
        <v>0.18793619142572282</v>
      </c>
      <c r="I46" s="254">
        <f>F46/$F$64</f>
        <v>4.9475246805285943E-2</v>
      </c>
      <c r="J46" s="250" t="s">
        <v>128</v>
      </c>
      <c r="K46" s="37"/>
      <c r="L46" s="251">
        <f>[3]Southwest!$IW$41</f>
        <v>142568</v>
      </c>
      <c r="M46" s="253">
        <f>[3]Southwest!$II$41</f>
        <v>128413</v>
      </c>
      <c r="N46" s="254">
        <f>(L46-M46)/M46</f>
        <v>0.11023027263594808</v>
      </c>
      <c r="O46" s="251">
        <f>SUM([3]Southwest!$IT$41:$IW$41)</f>
        <v>551062</v>
      </c>
      <c r="P46" s="253">
        <f>SUM([3]Southwest!$IF$41:$II$41)</f>
        <v>437926</v>
      </c>
      <c r="Q46" s="252">
        <f>(O46-P46)/P46</f>
        <v>0.25834501719468583</v>
      </c>
      <c r="R46" s="254">
        <f>O46/$O$64</f>
        <v>4.9862874426019374E-2</v>
      </c>
      <c r="S46" s="250" t="s">
        <v>128</v>
      </c>
      <c r="T46" s="37"/>
      <c r="U46" s="251">
        <f>[3]Southwest!$IW$64</f>
        <v>242944</v>
      </c>
      <c r="V46" s="253">
        <f>[3]Southwest!$II$64</f>
        <v>218863</v>
      </c>
      <c r="W46" s="254">
        <f>(U46-V46)/V46</f>
        <v>0.11002773424471016</v>
      </c>
      <c r="X46" s="251">
        <f>SUM([3]Southwest!$IT$64:$IW$64)</f>
        <v>909271</v>
      </c>
      <c r="Y46" s="253">
        <f>SUM([3]Southwest!$IF$64:$II$64)</f>
        <v>811623</v>
      </c>
      <c r="Z46" s="252">
        <f>(X46-Y46)/Y46</f>
        <v>0.12031201678611868</v>
      </c>
      <c r="AA46" s="254">
        <f>X46/$X$64</f>
        <v>3.5924445995412252E-2</v>
      </c>
      <c r="AB46" s="250" t="s">
        <v>128</v>
      </c>
      <c r="AC46" s="37"/>
      <c r="AD46" s="251">
        <f>[3]Southwest!$IW$43</f>
        <v>145972</v>
      </c>
      <c r="AE46" s="253">
        <f>[3]Southwest!$II$43</f>
        <v>131232</v>
      </c>
      <c r="AF46" s="254">
        <f>(AD46-AE46)/AE46</f>
        <v>0.11232016581321629</v>
      </c>
      <c r="AG46" s="251">
        <f>SUM([3]Southwest!$IT$43:$IW$43)</f>
        <v>563957</v>
      </c>
      <c r="AH46" s="253">
        <f>SUM([3]Southwest!$IF$43:$II$43)</f>
        <v>448511</v>
      </c>
      <c r="AI46" s="252">
        <f>(AG46-AH46)/AH46</f>
        <v>0.25739836927076482</v>
      </c>
      <c r="AJ46" s="254">
        <f>AG46/$AG$64</f>
        <v>4.9561692710070375E-2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153</v>
      </c>
      <c r="B48" s="37"/>
      <c r="C48" s="251">
        <f>[3]Spirit!$IW$19</f>
        <v>168</v>
      </c>
      <c r="D48" s="253">
        <f>[3]Spirit!$II$19</f>
        <v>276</v>
      </c>
      <c r="E48" s="254">
        <f>(C48-D48)/D48</f>
        <v>-0.39130434782608697</v>
      </c>
      <c r="F48" s="253">
        <f>SUM([3]Spirit!$IT$19:$IW$19)</f>
        <v>830</v>
      </c>
      <c r="G48" s="253">
        <f>SUM([3]Spirit!$IF$19:$II$19)</f>
        <v>1319</v>
      </c>
      <c r="H48" s="252">
        <f>(F48-G48)/G48</f>
        <v>-0.37073540561031082</v>
      </c>
      <c r="I48" s="254">
        <f>F48/$F$64</f>
        <v>8.6161256501022521E-3</v>
      </c>
      <c r="J48" s="250" t="s">
        <v>153</v>
      </c>
      <c r="K48" s="37"/>
      <c r="L48" s="251">
        <f>[3]Spirit!$IW$41</f>
        <v>21921</v>
      </c>
      <c r="M48" s="253">
        <f>[3]Spirit!$II$41</f>
        <v>40420</v>
      </c>
      <c r="N48" s="254">
        <f>(L48-M48)/M48</f>
        <v>-0.45766947055912915</v>
      </c>
      <c r="O48" s="251">
        <f>SUM([3]Spirit!$IT$41:$IW$41)</f>
        <v>114047</v>
      </c>
      <c r="P48" s="253">
        <f>SUM([3]Spirit!$IF$41:$II$41)</f>
        <v>183393</v>
      </c>
      <c r="Q48" s="252">
        <f>(O48-P48)/P48</f>
        <v>-0.37812784566477453</v>
      </c>
      <c r="R48" s="254">
        <f>O48/$O$64</f>
        <v>1.0319548870479605E-2</v>
      </c>
      <c r="S48" s="250" t="s">
        <v>153</v>
      </c>
      <c r="T48" s="37"/>
      <c r="U48" s="251">
        <f>[3]Spirit!$IW$64</f>
        <v>0</v>
      </c>
      <c r="V48" s="253">
        <f>[3]Spirit!$II$64</f>
        <v>0</v>
      </c>
      <c r="W48" s="254" t="e">
        <f>(U48-V48)/V48</f>
        <v>#DIV/0!</v>
      </c>
      <c r="X48" s="251">
        <f>SUM([3]Spirit!$IT$64:$IW$64)</f>
        <v>0</v>
      </c>
      <c r="Y48" s="253">
        <f>SUM([3]Spirit!$IF$64:$II$64)</f>
        <v>0</v>
      </c>
      <c r="Z48" s="252" t="e">
        <f>(X48-Y48)/Y48</f>
        <v>#DIV/0!</v>
      </c>
      <c r="AA48" s="254">
        <f>X48/$X$64</f>
        <v>0</v>
      </c>
      <c r="AB48" s="250" t="s">
        <v>153</v>
      </c>
      <c r="AC48" s="37"/>
      <c r="AD48" s="251">
        <f>[3]Spirit!$IW$43</f>
        <v>22088</v>
      </c>
      <c r="AE48" s="253">
        <f>[3]Spirit!$II$43</f>
        <v>40758</v>
      </c>
      <c r="AF48" s="254">
        <f>(AD48-AE48)/AE48</f>
        <v>-0.45806958143186616</v>
      </c>
      <c r="AG48" s="251">
        <f>SUM([3]Spirit!$IT$43:$IW$43)</f>
        <v>114909</v>
      </c>
      <c r="AH48" s="253">
        <f>SUM([3]Spirit!$IF$43:$II$43)</f>
        <v>185991</v>
      </c>
      <c r="AI48" s="252">
        <f>(AG48-AH48)/AH48</f>
        <v>-0.38217978289272064</v>
      </c>
      <c r="AJ48" s="254">
        <f>AG48/$AG$64</f>
        <v>1.0098437553965067E-2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>
        <f>O49/$O$64</f>
        <v>0</v>
      </c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49</v>
      </c>
      <c r="B50" s="37"/>
      <c r="C50" s="251">
        <f>'[3]Sun Country'!$IW$19</f>
        <v>2521</v>
      </c>
      <c r="D50" s="253">
        <f>'[3]Sun Country'!$II$19</f>
        <v>2094</v>
      </c>
      <c r="E50" s="254">
        <f>(C50-D50)/D50</f>
        <v>0.20391595033428844</v>
      </c>
      <c r="F50" s="253">
        <f>SUM('[3]Sun Country'!$IT$19:$IW$19)</f>
        <v>9497</v>
      </c>
      <c r="G50" s="253">
        <f>SUM('[3]Sun Country'!$IF$19:$II$19)</f>
        <v>8310</v>
      </c>
      <c r="H50" s="252">
        <f>(F50-G50)/G50</f>
        <v>0.14283995186522264</v>
      </c>
      <c r="I50" s="254">
        <f>F50/$F$64</f>
        <v>9.858716301086877E-2</v>
      </c>
      <c r="J50" s="250" t="s">
        <v>49</v>
      </c>
      <c r="K50" s="37"/>
      <c r="L50" s="251">
        <f>'[3]Sun Country'!$IW$41</f>
        <v>360106</v>
      </c>
      <c r="M50" s="253">
        <f>'[3]Sun Country'!$II$41</f>
        <v>300669</v>
      </c>
      <c r="N50" s="254">
        <f>(L50-M50)/M50</f>
        <v>0.19768250135531099</v>
      </c>
      <c r="O50" s="251">
        <f>SUM('[3]Sun Country'!$IT$41:$IW$41)</f>
        <v>1416759</v>
      </c>
      <c r="P50" s="253">
        <f>SUM('[3]Sun Country'!$IF$41:$II$41)</f>
        <v>1229871</v>
      </c>
      <c r="Q50" s="252">
        <f>(O50-P50)/P50</f>
        <v>0.15195740041028694</v>
      </c>
      <c r="R50" s="254">
        <f>O50/$O$64</f>
        <v>0.12819551358818571</v>
      </c>
      <c r="S50" s="250" t="s">
        <v>49</v>
      </c>
      <c r="T50" s="37"/>
      <c r="U50" s="251">
        <f>'[3]Sun Country'!$IW$64</f>
        <v>0</v>
      </c>
      <c r="V50" s="253">
        <f>'[3]Sun Country'!$II$64</f>
        <v>0</v>
      </c>
      <c r="W50" s="254" t="e">
        <f>(U50-V50)/V50</f>
        <v>#DIV/0!</v>
      </c>
      <c r="X50" s="251">
        <f>SUM('[3]Sun Country'!$IT$64:$IW$64)</f>
        <v>0</v>
      </c>
      <c r="Y50" s="253">
        <f>SUM('[3]Sun Country'!$IF$64:$II$64)</f>
        <v>61776</v>
      </c>
      <c r="Z50" s="252">
        <f>(X50-Y50)/Y50</f>
        <v>-1</v>
      </c>
      <c r="AA50" s="254">
        <f>X50/$X$64</f>
        <v>0</v>
      </c>
      <c r="AB50" s="250" t="s">
        <v>49</v>
      </c>
      <c r="AC50" s="37"/>
      <c r="AD50" s="251">
        <f>'[3]Sun Country'!$IW$43</f>
        <v>364446</v>
      </c>
      <c r="AE50" s="253">
        <f>'[3]Sun Country'!$II$43</f>
        <v>306792</v>
      </c>
      <c r="AF50" s="254">
        <f>(AD50-AE50)/AE50</f>
        <v>0.18792536963154188</v>
      </c>
      <c r="AG50" s="251">
        <f>SUM('[3]Sun Country'!$IT$43:$IW$43)</f>
        <v>1436813</v>
      </c>
      <c r="AH50" s="253">
        <f>SUM('[3]Sun Country'!$IF$43:$II$43)</f>
        <v>1251872</v>
      </c>
      <c r="AI50" s="252">
        <f>(AG50-AH50)/AH50</f>
        <v>0.14773155721990747</v>
      </c>
      <c r="AJ50" s="254">
        <f>AG50/$AG$64</f>
        <v>0.12627006028444429</v>
      </c>
    </row>
    <row r="51" spans="1:36" ht="14.1" customHeight="1" x14ac:dyDescent="0.2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/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" customHeight="1" x14ac:dyDescent="0.2">
      <c r="A52" s="250" t="s">
        <v>19</v>
      </c>
      <c r="B52" s="257"/>
      <c r="C52" s="251">
        <f>SUM(C53:C57)</f>
        <v>1178</v>
      </c>
      <c r="D52" s="253">
        <f>SUM(D53:D57)</f>
        <v>984</v>
      </c>
      <c r="E52" s="254">
        <f t="shared" ref="E52:E57" si="44">(C52-D52)/D52</f>
        <v>0.19715447154471544</v>
      </c>
      <c r="F52" s="253">
        <f>SUM(F53:F57)</f>
        <v>4339</v>
      </c>
      <c r="G52" s="253">
        <f>SUM(G53:G57)</f>
        <v>3714</v>
      </c>
      <c r="H52" s="252">
        <f t="shared" ref="H52:H57" si="45">(F52-G52)/G52</f>
        <v>0.16828217555196553</v>
      </c>
      <c r="I52" s="254">
        <f t="shared" ref="I52:I57" si="46">F52/$F$64</f>
        <v>4.5042613488908034E-2</v>
      </c>
      <c r="J52" s="250" t="s">
        <v>19</v>
      </c>
      <c r="K52" s="257"/>
      <c r="L52" s="251">
        <f>SUM(L53:L57)</f>
        <v>122586</v>
      </c>
      <c r="M52" s="253">
        <f>SUM(M53:M57)</f>
        <v>126395</v>
      </c>
      <c r="N52" s="254">
        <f t="shared" ref="N52:N57" si="47">(L52-M52)/M52</f>
        <v>-3.0135685747062779E-2</v>
      </c>
      <c r="O52" s="251">
        <f>SUM(O53:O57)</f>
        <v>478236</v>
      </c>
      <c r="P52" s="253">
        <f>SUM(P53:P57)</f>
        <v>463989</v>
      </c>
      <c r="Q52" s="252">
        <f t="shared" ref="Q52:Q57" si="48">(O52-P52)/P52</f>
        <v>3.0705469310694865E-2</v>
      </c>
      <c r="R52" s="254">
        <f t="shared" ref="R52:R57" si="49">O52/$O$64</f>
        <v>4.3273209936453255E-2</v>
      </c>
      <c r="S52" s="250" t="s">
        <v>19</v>
      </c>
      <c r="T52" s="257"/>
      <c r="U52" s="251">
        <f>SUM(U53:U57)</f>
        <v>115778</v>
      </c>
      <c r="V52" s="253">
        <f>SUM(V53:V57)</f>
        <v>151458</v>
      </c>
      <c r="W52" s="254">
        <f t="shared" ref="W52:W57" si="50">(U52-V52)/V52</f>
        <v>-0.2355768595914379</v>
      </c>
      <c r="X52" s="251">
        <f>SUM(X53:X57)</f>
        <v>220617</v>
      </c>
      <c r="Y52" s="253">
        <f>SUM(Y53:Y57)</f>
        <v>440588</v>
      </c>
      <c r="Z52" s="252">
        <f t="shared" ref="Z52:Z57" si="51">(X52-Y52)/Y52</f>
        <v>-0.49926688879406611</v>
      </c>
      <c r="AA52" s="254">
        <f t="shared" ref="AA52:AA57" si="52">X52/$X$64</f>
        <v>8.7163711392641632E-3</v>
      </c>
      <c r="AB52" s="250" t="s">
        <v>19</v>
      </c>
      <c r="AC52" s="257"/>
      <c r="AD52" s="251">
        <f>SUM(AD53:AD57)</f>
        <v>127714</v>
      </c>
      <c r="AE52" s="253">
        <f>SUM(AE53:AE57)</f>
        <v>129794</v>
      </c>
      <c r="AF52" s="254">
        <f t="shared" ref="AF52:AF57" si="53">(AD52-AE52)/AE52</f>
        <v>-1.6025394086013223E-2</v>
      </c>
      <c r="AG52" s="251">
        <f>SUM(AG53:AG57)</f>
        <v>496074</v>
      </c>
      <c r="AH52" s="253">
        <f>SUM(AH53:AH57)</f>
        <v>478156</v>
      </c>
      <c r="AI52" s="252">
        <f t="shared" ref="AI52:AI57" si="54">(AG52-AH52)/AH52</f>
        <v>3.7473125925430194E-2</v>
      </c>
      <c r="AJ52" s="254">
        <f>AG52/$AG$64</f>
        <v>4.3595996059017712E-2</v>
      </c>
    </row>
    <row r="53" spans="1:36" ht="14.1" customHeight="1" x14ac:dyDescent="0.2">
      <c r="A53" s="36"/>
      <c r="B53" s="310" t="s">
        <v>19</v>
      </c>
      <c r="C53" s="255">
        <f>[3]United!$IW$19</f>
        <v>838</v>
      </c>
      <c r="D53" s="2">
        <f>[3]United!$II$19+[3]Continental!$II$19</f>
        <v>884</v>
      </c>
      <c r="E53" s="63">
        <f t="shared" si="44"/>
        <v>-5.2036199095022627E-2</v>
      </c>
      <c r="F53" s="2">
        <f>SUM([3]United!$IT$19:$IW$19)</f>
        <v>3107</v>
      </c>
      <c r="G53" s="2">
        <f>SUM([3]United!$IF$19:$II$19)+SUM([3]Continental!$IF$19:$II$19)</f>
        <v>3216</v>
      </c>
      <c r="H53" s="3">
        <f t="shared" si="45"/>
        <v>-3.3893034825870645E-2</v>
      </c>
      <c r="I53" s="63">
        <f t="shared" si="46"/>
        <v>3.225337637935867E-2</v>
      </c>
      <c r="J53" s="36"/>
      <c r="K53" s="310" t="s">
        <v>19</v>
      </c>
      <c r="L53" s="255">
        <f>[3]United!$IW$41</f>
        <v>101593</v>
      </c>
      <c r="M53" s="2">
        <f>[3]United!$II$41+[3]Continental!$II$41</f>
        <v>119563</v>
      </c>
      <c r="N53" s="63">
        <f t="shared" si="47"/>
        <v>-0.15029733278689897</v>
      </c>
      <c r="O53" s="255">
        <f>SUM([3]United!$IT$41:$IW$41)</f>
        <v>400715</v>
      </c>
      <c r="P53" s="2">
        <f>SUM([3]United!$IF$41:$II$41)+SUM([3]Continental!$IF$41:$II$41)</f>
        <v>432321</v>
      </c>
      <c r="Q53" s="3">
        <f t="shared" si="48"/>
        <v>-7.3107713944036951E-2</v>
      </c>
      <c r="R53" s="63">
        <f t="shared" si="49"/>
        <v>3.6258718121776411E-2</v>
      </c>
      <c r="S53" s="36"/>
      <c r="T53" s="310" t="s">
        <v>19</v>
      </c>
      <c r="U53" s="255">
        <f>[3]United!$IW$64</f>
        <v>115778</v>
      </c>
      <c r="V53" s="2">
        <f>[3]United!$II$64+[3]Continental!$II$64</f>
        <v>151458</v>
      </c>
      <c r="W53" s="63">
        <f t="shared" si="50"/>
        <v>-0.2355768595914379</v>
      </c>
      <c r="X53" s="255">
        <f>SUM([3]United!$IT$64:$IW$64)</f>
        <v>220617</v>
      </c>
      <c r="Y53" s="2">
        <f>SUM([3]United!$IF$64:$II$64)+SUM([3]Continental!$IF$64:$II$64)</f>
        <v>440588</v>
      </c>
      <c r="Z53" s="3">
        <f t="shared" si="51"/>
        <v>-0.49926688879406611</v>
      </c>
      <c r="AA53" s="63">
        <f t="shared" si="52"/>
        <v>8.7163711392641632E-3</v>
      </c>
      <c r="AB53" s="36"/>
      <c r="AC53" s="310" t="s">
        <v>19</v>
      </c>
      <c r="AD53" s="255">
        <f>[3]United!$IW$43</f>
        <v>105894</v>
      </c>
      <c r="AE53" s="2">
        <f>[3]United!$II$43+[3]Continental!$II$43</f>
        <v>122765</v>
      </c>
      <c r="AF53" s="63">
        <f t="shared" si="53"/>
        <v>-0.13742516189467682</v>
      </c>
      <c r="AG53" s="255">
        <f>SUM([3]United!$IT$43:$IW$43)</f>
        <v>415577</v>
      </c>
      <c r="AH53" s="2">
        <f>SUM([3]United!$IF$43:$II$43)+SUM([3]Continental!$IF$43:$II$43)</f>
        <v>445464</v>
      </c>
      <c r="AI53" s="3">
        <f t="shared" si="54"/>
        <v>-6.7091841316021042E-2</v>
      </c>
      <c r="AJ53" s="63">
        <f t="shared" ref="AJ53:AJ57" si="55">AG53/$AG$64</f>
        <v>3.6521755331298159E-2</v>
      </c>
    </row>
    <row r="54" spans="1:36" ht="14.1" customHeight="1" x14ac:dyDescent="0.2">
      <c r="A54" s="36"/>
      <c r="B54" s="37" t="s">
        <v>152</v>
      </c>
      <c r="C54" s="255">
        <f>'[3]Go Jet_UA'!$IW$19</f>
        <v>0</v>
      </c>
      <c r="D54" s="2">
        <f>'[3]Go Jet_UA'!$II$19</f>
        <v>2</v>
      </c>
      <c r="E54" s="63">
        <f t="shared" si="44"/>
        <v>-1</v>
      </c>
      <c r="F54" s="2">
        <f>SUM('[3]Go Jet_UA'!$IT$19:$IW$19)</f>
        <v>0</v>
      </c>
      <c r="G54" s="2">
        <f>SUM('[3]Go Jet_UA'!$IF$19:$II$19)</f>
        <v>2</v>
      </c>
      <c r="H54" s="3">
        <f t="shared" si="45"/>
        <v>-1</v>
      </c>
      <c r="I54" s="63">
        <f t="shared" si="46"/>
        <v>0</v>
      </c>
      <c r="J54" s="36"/>
      <c r="K54" s="37" t="s">
        <v>152</v>
      </c>
      <c r="L54" s="255">
        <f>'[3]Go Jet_UA'!$IW$41</f>
        <v>0</v>
      </c>
      <c r="M54" s="2">
        <f>'[3]Go Jet_UA'!$II$41</f>
        <v>96</v>
      </c>
      <c r="N54" s="63">
        <f t="shared" si="47"/>
        <v>-1</v>
      </c>
      <c r="O54" s="255">
        <f>SUM('[3]Go Jet_UA'!$IT$41:$IW$41)</f>
        <v>0</v>
      </c>
      <c r="P54" s="2">
        <f>SUM('[3]Go Jet_UA'!$IF$41:$II$41)</f>
        <v>96</v>
      </c>
      <c r="Q54" s="3">
        <f t="shared" si="48"/>
        <v>-1</v>
      </c>
      <c r="R54" s="63">
        <f t="shared" si="49"/>
        <v>0</v>
      </c>
      <c r="S54" s="36"/>
      <c r="T54" s="37" t="s">
        <v>152</v>
      </c>
      <c r="U54" s="255">
        <f>'[3]Go Jet_UA'!$IW$64</f>
        <v>0</v>
      </c>
      <c r="V54" s="2">
        <f>'[3]Go Jet_UA'!$II$64</f>
        <v>0</v>
      </c>
      <c r="W54" s="63" t="e">
        <f t="shared" si="50"/>
        <v>#DIV/0!</v>
      </c>
      <c r="X54" s="255">
        <f>SUM('[3]Go Jet_UA'!$IT$64:$IW$64)</f>
        <v>0</v>
      </c>
      <c r="Y54" s="2">
        <f>SUM('[3]Go Jet_UA'!$IF$64:$II$64)</f>
        <v>0</v>
      </c>
      <c r="Z54" s="3" t="e">
        <f t="shared" si="51"/>
        <v>#DIV/0!</v>
      </c>
      <c r="AA54" s="63">
        <f t="shared" si="52"/>
        <v>0</v>
      </c>
      <c r="AB54" s="36"/>
      <c r="AC54" s="37" t="s">
        <v>152</v>
      </c>
      <c r="AD54" s="255">
        <f>'[3]Go Jet_UA'!$IW$43</f>
        <v>0</v>
      </c>
      <c r="AE54" s="2">
        <f>'[3]Go Jet_UA'!$II$43</f>
        <v>96</v>
      </c>
      <c r="AF54" s="63">
        <f t="shared" si="53"/>
        <v>-1</v>
      </c>
      <c r="AG54" s="255">
        <f>SUM('[3]Go Jet_UA'!$IT$43:$IW$43)</f>
        <v>0</v>
      </c>
      <c r="AH54" s="2">
        <f>SUM('[3]Go Jet_UA'!$IF$43:$II$43)</f>
        <v>96</v>
      </c>
      <c r="AI54" s="3">
        <f t="shared" si="54"/>
        <v>-1</v>
      </c>
      <c r="AJ54" s="63">
        <f t="shared" si="55"/>
        <v>0</v>
      </c>
    </row>
    <row r="55" spans="1:36" ht="14.1" customHeight="1" x14ac:dyDescent="0.2">
      <c r="A55" s="36"/>
      <c r="B55" s="37" t="s">
        <v>51</v>
      </c>
      <c r="C55" s="255">
        <f>[3]MESA_UA!$IW$19</f>
        <v>128</v>
      </c>
      <c r="D55" s="2">
        <f>[3]MESA_UA!$II$19</f>
        <v>68</v>
      </c>
      <c r="E55" s="63">
        <f t="shared" si="44"/>
        <v>0.88235294117647056</v>
      </c>
      <c r="F55" s="2">
        <f>SUM([3]MESA_UA!$IT$19:$IW$19)</f>
        <v>546</v>
      </c>
      <c r="G55" s="2">
        <f>SUM([3]MESA_UA!$IF$19:$II$19)</f>
        <v>172</v>
      </c>
      <c r="H55" s="3">
        <f>(F55-G55)/G55</f>
        <v>2.1744186046511627</v>
      </c>
      <c r="I55" s="63">
        <f t="shared" si="46"/>
        <v>5.6679573553684694E-3</v>
      </c>
      <c r="J55" s="36"/>
      <c r="K55" s="37" t="s">
        <v>51</v>
      </c>
      <c r="L55" s="255">
        <f>[3]MESA_UA!$IW$41</f>
        <v>7446</v>
      </c>
      <c r="M55" s="2">
        <f>[3]MESA_UA!$II$41</f>
        <v>4731</v>
      </c>
      <c r="N55" s="63">
        <f t="shared" si="47"/>
        <v>0.57387444514901709</v>
      </c>
      <c r="O55" s="255">
        <f>SUM([3]MESA_UA!$IT$41:$IW$41)</f>
        <v>34151</v>
      </c>
      <c r="P55" s="2">
        <f>SUM([3]MESA_UA!$IF$41:$II$41)</f>
        <v>11506</v>
      </c>
      <c r="Q55" s="3">
        <f t="shared" si="48"/>
        <v>1.9681035981227186</v>
      </c>
      <c r="R55" s="63">
        <f t="shared" si="49"/>
        <v>3.090155054282436E-3</v>
      </c>
      <c r="S55" s="36"/>
      <c r="T55" s="37" t="s">
        <v>51</v>
      </c>
      <c r="U55" s="255">
        <f>[3]MESA_UA!$IW$64</f>
        <v>0</v>
      </c>
      <c r="V55" s="2">
        <f>[3]MESA_UA!$II$64</f>
        <v>0</v>
      </c>
      <c r="W55" s="63" t="e">
        <f t="shared" si="50"/>
        <v>#DIV/0!</v>
      </c>
      <c r="X55" s="255">
        <f>SUM([3]MESA_UA!$IT$64:$IW$64)</f>
        <v>0</v>
      </c>
      <c r="Y55" s="2">
        <f>SUM([3]MESA_UA!$IF$64:$II$64)</f>
        <v>0</v>
      </c>
      <c r="Z55" s="3" t="e">
        <f t="shared" si="51"/>
        <v>#DIV/0!</v>
      </c>
      <c r="AA55" s="63">
        <f t="shared" si="52"/>
        <v>0</v>
      </c>
      <c r="AB55" s="36"/>
      <c r="AC55" s="37" t="s">
        <v>51</v>
      </c>
      <c r="AD55" s="255">
        <f>[3]MESA_UA!$IW$43</f>
        <v>7753</v>
      </c>
      <c r="AE55" s="2">
        <f>[3]MESA_UA!$II$43</f>
        <v>4850</v>
      </c>
      <c r="AF55" s="63">
        <f t="shared" si="53"/>
        <v>0.59855670103092784</v>
      </c>
      <c r="AG55" s="255">
        <f>SUM([3]MESA_UA!$IT$43:$IW$43)</f>
        <v>35390</v>
      </c>
      <c r="AH55" s="2">
        <f>SUM([3]MESA_UA!$IF$43:$II$43)</f>
        <v>11833</v>
      </c>
      <c r="AI55" s="3">
        <f t="shared" si="54"/>
        <v>1.99078847291473</v>
      </c>
      <c r="AJ55" s="63">
        <f t="shared" si="55"/>
        <v>3.1101454632345917E-3</v>
      </c>
    </row>
    <row r="56" spans="1:36" ht="14.1" customHeight="1" x14ac:dyDescent="0.2">
      <c r="A56" s="36"/>
      <c r="B56" s="310" t="s">
        <v>52</v>
      </c>
      <c r="C56" s="255">
        <f>[3]Republic_UA!$IW$19</f>
        <v>82</v>
      </c>
      <c r="D56" s="2">
        <f>[3]Republic_UA!$II$19</f>
        <v>10</v>
      </c>
      <c r="E56" s="63">
        <f t="shared" si="44"/>
        <v>7.2</v>
      </c>
      <c r="F56" s="2">
        <f>SUM([3]Republic_UA!$IT$19:$IW$19)</f>
        <v>314</v>
      </c>
      <c r="G56" s="2">
        <f>SUM([3]Republic_UA!$IF$19:$II$19)</f>
        <v>272</v>
      </c>
      <c r="H56" s="3">
        <f t="shared" ref="H56" si="56">(F56-G56)/G56</f>
        <v>0.15441176470588236</v>
      </c>
      <c r="I56" s="63">
        <f t="shared" si="46"/>
        <v>3.2595945230507314E-3</v>
      </c>
      <c r="J56" s="36"/>
      <c r="K56" s="310" t="s">
        <v>52</v>
      </c>
      <c r="L56" s="255">
        <f>[3]Republic_UA!$IW$41</f>
        <v>5531</v>
      </c>
      <c r="M56" s="2">
        <f>[3]Republic_UA!$II$41</f>
        <v>623</v>
      </c>
      <c r="N56" s="63">
        <f t="shared" si="47"/>
        <v>7.8780096308186192</v>
      </c>
      <c r="O56" s="255">
        <f>SUM([3]Republic_UA!$IT$41:$IW$41)</f>
        <v>20253</v>
      </c>
      <c r="P56" s="2">
        <f>SUM([3]Republic_UA!$IF$41:$II$41)</f>
        <v>16978</v>
      </c>
      <c r="Q56" s="3">
        <f t="shared" si="48"/>
        <v>0.19289668983390271</v>
      </c>
      <c r="R56" s="63">
        <f t="shared" si="49"/>
        <v>1.8325937839121014E-3</v>
      </c>
      <c r="S56" s="36"/>
      <c r="T56" s="310" t="s">
        <v>52</v>
      </c>
      <c r="U56" s="255">
        <f>[3]Republic_UA!$IW$64</f>
        <v>0</v>
      </c>
      <c r="V56" s="2">
        <f>[3]Republic_UA!$II$64</f>
        <v>0</v>
      </c>
      <c r="W56" s="63" t="e">
        <f t="shared" si="50"/>
        <v>#DIV/0!</v>
      </c>
      <c r="X56" s="255">
        <f>SUM([3]Republic_UA!$IT$64:$IW$64)</f>
        <v>0</v>
      </c>
      <c r="Y56" s="2">
        <f>SUM([3]Republic_UA!$IF$64:$II$64)</f>
        <v>0</v>
      </c>
      <c r="Z56" s="3" t="e">
        <f t="shared" si="51"/>
        <v>#DIV/0!</v>
      </c>
      <c r="AA56" s="63">
        <f t="shared" si="52"/>
        <v>0</v>
      </c>
      <c r="AB56" s="36"/>
      <c r="AC56" s="310" t="s">
        <v>52</v>
      </c>
      <c r="AD56" s="255">
        <f>[3]Republic_UA!$IW$43</f>
        <v>5711</v>
      </c>
      <c r="AE56" s="2">
        <f>[3]Republic_UA!$II$43</f>
        <v>645</v>
      </c>
      <c r="AF56" s="63">
        <f t="shared" si="53"/>
        <v>7.8542635658914728</v>
      </c>
      <c r="AG56" s="255">
        <f>SUM([3]Republic_UA!$IT$43:$IW$43)</f>
        <v>20954</v>
      </c>
      <c r="AH56" s="2">
        <f>SUM([3]Republic_UA!$IF$43:$II$43)</f>
        <v>17573</v>
      </c>
      <c r="AI56" s="3">
        <f t="shared" si="54"/>
        <v>0.1923974278723041</v>
      </c>
      <c r="AJ56" s="63">
        <f t="shared" si="55"/>
        <v>1.8414803062056411E-3</v>
      </c>
    </row>
    <row r="57" spans="1:36" ht="14.1" customHeight="1" x14ac:dyDescent="0.2">
      <c r="A57" s="36"/>
      <c r="B57" s="37" t="s">
        <v>97</v>
      </c>
      <c r="C57" s="255">
        <f>'[3]Sky West_UA'!$IW$19</f>
        <v>130</v>
      </c>
      <c r="D57" s="2">
        <f>'[3]Sky West_UA'!$II$19+'[3]Sky West_CO'!$II$19</f>
        <v>20</v>
      </c>
      <c r="E57" s="63">
        <f t="shared" si="44"/>
        <v>5.5</v>
      </c>
      <c r="F57" s="2">
        <f>SUM('[3]Sky West_UA'!$IT$19:$IW$19)</f>
        <v>372</v>
      </c>
      <c r="G57" s="2">
        <f>SUM('[3]Sky West_UA'!$IF$19:$II$19)+SUM('[3]Sky West_CO'!$IF$19:$II$19)</f>
        <v>52</v>
      </c>
      <c r="H57" s="3">
        <f t="shared" si="45"/>
        <v>6.1538461538461542</v>
      </c>
      <c r="I57" s="63">
        <f t="shared" si="46"/>
        <v>3.8616852311301659E-3</v>
      </c>
      <c r="J57" s="36"/>
      <c r="K57" s="37" t="s">
        <v>97</v>
      </c>
      <c r="L57" s="255">
        <f>'[3]Sky West_UA'!$IW$41</f>
        <v>8016</v>
      </c>
      <c r="M57" s="2">
        <f>'[3]Sky West_UA'!$II$41+'[3]Sky West_CO'!$II$41</f>
        <v>1382</v>
      </c>
      <c r="N57" s="63">
        <f t="shared" si="47"/>
        <v>4.800289435600579</v>
      </c>
      <c r="O57" s="255">
        <f>SUM('[3]Sky West_UA'!$IT$41:$IW$41)</f>
        <v>23117</v>
      </c>
      <c r="P57" s="2">
        <f>SUM('[3]Sky West_UA'!$IF$41:$II$41)+SUM('[3]Sky West_CO'!$IF$41:$II$41)</f>
        <v>3088</v>
      </c>
      <c r="Q57" s="3">
        <f t="shared" si="48"/>
        <v>6.4860751295336785</v>
      </c>
      <c r="R57" s="63">
        <f t="shared" si="49"/>
        <v>2.0917429764823014E-3</v>
      </c>
      <c r="S57" s="36"/>
      <c r="T57" s="37" t="s">
        <v>97</v>
      </c>
      <c r="U57" s="255">
        <f>'[3]Sky West_UA'!$IW$64</f>
        <v>0</v>
      </c>
      <c r="V57" s="2">
        <f>'[3]Sky West_UA'!$II$64+'[3]Sky West_CO'!$II$64</f>
        <v>0</v>
      </c>
      <c r="W57" s="63" t="e">
        <f t="shared" si="50"/>
        <v>#DIV/0!</v>
      </c>
      <c r="X57" s="255">
        <f>SUM('[3]Sky West_UA'!$IT$64:$IW$64)</f>
        <v>0</v>
      </c>
      <c r="Y57" s="2">
        <f>SUM('[3]Sky West_UA'!$IF$64:$II$64)+SUM('[3]Sky West_CO'!$IF$64:$II$64)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97</v>
      </c>
      <c r="AD57" s="255">
        <f>'[3]Sky West_UA'!$IW$43</f>
        <v>8356</v>
      </c>
      <c r="AE57" s="2">
        <f>'[3]Sky West_UA'!$II$43+'[3]Sky West_CO'!$II$43</f>
        <v>1438</v>
      </c>
      <c r="AF57" s="63">
        <f t="shared" si="53"/>
        <v>4.8108484005563286</v>
      </c>
      <c r="AG57" s="255">
        <f>SUM('[3]Sky West_UA'!$IT$43:$IW$43)</f>
        <v>24153</v>
      </c>
      <c r="AH57" s="2">
        <f>SUM('[3]Sky West_UA'!$IF$43:$II$43)+SUM('[3]Sky West_CO'!$IF$43:$II$43)</f>
        <v>3190</v>
      </c>
      <c r="AI57" s="3">
        <f t="shared" si="54"/>
        <v>6.5714733542319745</v>
      </c>
      <c r="AJ57" s="63">
        <f t="shared" si="55"/>
        <v>2.1226149582793188E-3</v>
      </c>
    </row>
    <row r="58" spans="1:36" ht="14.1" customHeight="1" x14ac:dyDescent="0.2">
      <c r="A58" s="36"/>
      <c r="B58" s="258"/>
      <c r="C58" s="255"/>
      <c r="E58" s="63"/>
      <c r="F58" s="2"/>
      <c r="I58" s="63"/>
      <c r="J58" s="36"/>
      <c r="K58" s="258"/>
      <c r="L58" s="255"/>
      <c r="N58" s="63"/>
      <c r="O58" s="255"/>
      <c r="P58" s="2"/>
      <c r="Q58" s="3"/>
      <c r="R58" s="63"/>
      <c r="S58" s="36"/>
      <c r="T58" s="258"/>
      <c r="U58" s="255"/>
      <c r="V58" s="2"/>
      <c r="W58" s="63"/>
      <c r="X58" s="255"/>
      <c r="Y58" s="2"/>
      <c r="Z58" s="3"/>
      <c r="AA58" s="63"/>
      <c r="AB58" s="36"/>
      <c r="AC58" s="258"/>
      <c r="AD58" s="255"/>
      <c r="AE58" s="2"/>
      <c r="AF58" s="63"/>
      <c r="AG58" s="255"/>
      <c r="AH58" s="2"/>
      <c r="AI58" s="3"/>
      <c r="AJ58" s="63"/>
    </row>
    <row r="59" spans="1:36" ht="14.1" customHeight="1" x14ac:dyDescent="0.2">
      <c r="A59" s="250" t="s">
        <v>232</v>
      </c>
      <c r="B59" s="258"/>
      <c r="C59" s="251">
        <f>[3]WestJet!$IW$19</f>
        <v>84</v>
      </c>
      <c r="D59" s="253">
        <f>[3]WestJet!$II$19</f>
        <v>0</v>
      </c>
      <c r="E59" s="254" t="e">
        <f>(C59-D59)/D59</f>
        <v>#DIV/0!</v>
      </c>
      <c r="F59" s="253">
        <f>SUM([3]WestJet!$IT$19:$IW$19)</f>
        <v>290</v>
      </c>
      <c r="G59" s="253">
        <f>SUM([3]WestJet!$IF$19:$II$19)</f>
        <v>0</v>
      </c>
      <c r="H59" s="252" t="e">
        <f>(F59-G59)/G59</f>
        <v>#DIV/0!</v>
      </c>
      <c r="I59" s="254">
        <f>F59/$F$64</f>
        <v>3.0104535403971721E-3</v>
      </c>
      <c r="J59" s="250" t="s">
        <v>232</v>
      </c>
      <c r="K59" s="37"/>
      <c r="L59" s="251">
        <f>[3]WestJet!$IW$41</f>
        <v>9229</v>
      </c>
      <c r="M59" s="253">
        <f>[3]WestJet!$II$41</f>
        <v>0</v>
      </c>
      <c r="N59" s="254" t="e">
        <f>(L59-M59)/M59</f>
        <v>#DIV/0!</v>
      </c>
      <c r="O59" s="251">
        <f>SUM([3]WestJet!$IT$41:$IW$41)</f>
        <v>31656</v>
      </c>
      <c r="P59" s="253">
        <f>SUM([3]WestJet!$IF$41:$II$41)</f>
        <v>0</v>
      </c>
      <c r="Q59" s="252" t="e">
        <f>(O59-P59)/P59</f>
        <v>#DIV/0!</v>
      </c>
      <c r="R59" s="254">
        <f>O59/$O$64</f>
        <v>2.8643948463694998E-3</v>
      </c>
      <c r="S59" s="250" t="s">
        <v>232</v>
      </c>
      <c r="T59" s="37"/>
      <c r="U59" s="251">
        <f>[3]WestJet!$IW$64</f>
        <v>0</v>
      </c>
      <c r="V59" s="253">
        <f>[3]WestJet!$II$64</f>
        <v>0</v>
      </c>
      <c r="W59" s="254" t="e">
        <f>(U59-V59)/V59</f>
        <v>#DIV/0!</v>
      </c>
      <c r="X59" s="251">
        <f>SUM([3]WestJet!$IT$64:$IW$64)</f>
        <v>0</v>
      </c>
      <c r="Y59" s="253">
        <f>SUM([3]WestJet!$IF$64:$II$64)</f>
        <v>0</v>
      </c>
      <c r="Z59" s="252" t="e">
        <f>(X59-Y59)/Y59</f>
        <v>#DIV/0!</v>
      </c>
      <c r="AA59" s="254">
        <f>X59/$X$64</f>
        <v>0</v>
      </c>
      <c r="AB59" s="250" t="s">
        <v>232</v>
      </c>
      <c r="AC59" s="37"/>
      <c r="AD59" s="251">
        <f>[3]WestJet!$IW$43</f>
        <v>9232</v>
      </c>
      <c r="AE59" s="253">
        <f>[3]WestJet!$II$43</f>
        <v>0</v>
      </c>
      <c r="AF59" s="254" t="e">
        <f>(AD59-AE59)/AE59</f>
        <v>#DIV/0!</v>
      </c>
      <c r="AG59" s="251">
        <f>SUM([3]WestJet!$IT$43:$IW$43)</f>
        <v>31664</v>
      </c>
      <c r="AH59" s="253">
        <f>SUM([3]WestJet!$IF$43:$II$43)</f>
        <v>0</v>
      </c>
      <c r="AI59" s="252" t="e">
        <f>(AG59-AH59)/AH59</f>
        <v>#DIV/0!</v>
      </c>
      <c r="AJ59" s="254">
        <f>AG59/$AG$64</f>
        <v>2.7826969750737529E-3</v>
      </c>
    </row>
    <row r="60" spans="1:36" ht="14.1" customHeight="1" thickBot="1" x14ac:dyDescent="0.25">
      <c r="A60" s="312"/>
      <c r="B60" s="313"/>
      <c r="C60" s="259"/>
      <c r="D60" s="261"/>
      <c r="E60" s="262"/>
      <c r="F60" s="261"/>
      <c r="G60" s="261"/>
      <c r="H60" s="260"/>
      <c r="I60" s="262"/>
      <c r="J60" s="312"/>
      <c r="K60" s="313"/>
      <c r="L60" s="259"/>
      <c r="M60" s="261"/>
      <c r="N60" s="262"/>
      <c r="O60" s="259"/>
      <c r="P60" s="261"/>
      <c r="Q60" s="260"/>
      <c r="R60" s="334"/>
      <c r="S60" s="312"/>
      <c r="T60" s="313"/>
      <c r="U60" s="259"/>
      <c r="V60" s="261"/>
      <c r="W60" s="262"/>
      <c r="X60" s="259"/>
      <c r="Y60" s="261"/>
      <c r="Z60" s="260"/>
      <c r="AA60" s="334"/>
      <c r="AB60" s="312"/>
      <c r="AC60" s="313"/>
      <c r="AD60" s="259"/>
      <c r="AE60" s="261"/>
      <c r="AF60" s="262"/>
      <c r="AG60" s="259"/>
      <c r="AH60" s="261"/>
      <c r="AI60" s="260"/>
      <c r="AJ60" s="334"/>
    </row>
    <row r="61" spans="1:36" s="164" customFormat="1" ht="14.1" customHeight="1" thickBot="1" x14ac:dyDescent="0.25">
      <c r="B61" s="163"/>
      <c r="C61" s="253"/>
      <c r="D61" s="253"/>
      <c r="E61" s="252"/>
      <c r="F61" s="311"/>
      <c r="G61" s="253"/>
      <c r="H61" s="252"/>
      <c r="I61" s="252"/>
      <c r="J61" s="263"/>
      <c r="K61" s="163"/>
      <c r="L61" s="264"/>
      <c r="M61" s="265"/>
      <c r="N61" s="263"/>
      <c r="S61" s="263"/>
      <c r="T61" s="163"/>
      <c r="U61" s="264"/>
      <c r="V61" s="265"/>
      <c r="W61" s="263"/>
      <c r="AB61" s="263"/>
      <c r="AC61" s="163"/>
      <c r="AD61" s="264"/>
      <c r="AE61" s="265"/>
      <c r="AF61" s="263"/>
    </row>
    <row r="62" spans="1:36" ht="14.1" customHeight="1" x14ac:dyDescent="0.2">
      <c r="B62" s="266" t="s">
        <v>131</v>
      </c>
      <c r="C62" s="319">
        <f>+C64-C63</f>
        <v>18544</v>
      </c>
      <c r="D62" s="319">
        <f>+D64-D63</f>
        <v>17312</v>
      </c>
      <c r="E62" s="320">
        <f>(C62-D62)/D62</f>
        <v>7.1164510166358594E-2</v>
      </c>
      <c r="F62" s="319">
        <f>+F64-F63</f>
        <v>70188</v>
      </c>
      <c r="G62" s="319">
        <f>+G64-G63</f>
        <v>65846</v>
      </c>
      <c r="H62" s="320">
        <f>(F62-G62)/G62</f>
        <v>6.5941742854539381E-2</v>
      </c>
      <c r="I62" s="345">
        <f>F62/$F$64</f>
        <v>0.72861280377033355</v>
      </c>
      <c r="K62" s="266" t="s">
        <v>131</v>
      </c>
      <c r="L62" s="319">
        <f>+L64-L63</f>
        <v>2525111</v>
      </c>
      <c r="M62" s="319">
        <f>+M64-M63</f>
        <v>2378712</v>
      </c>
      <c r="N62" s="320">
        <f>(L62-M62)/M62</f>
        <v>6.1545491846007418E-2</v>
      </c>
      <c r="O62" s="319">
        <f>+O64-O63</f>
        <v>9583408</v>
      </c>
      <c r="P62" s="319">
        <f>+P64-P63</f>
        <v>8905261</v>
      </c>
      <c r="Q62" s="343">
        <f>(O62-P62)/P62</f>
        <v>7.6151277317980909E-2</v>
      </c>
      <c r="R62" s="390">
        <f>+O62/O64</f>
        <v>0.86715518340460696</v>
      </c>
      <c r="S62" s="3"/>
      <c r="T62" s="266" t="s">
        <v>131</v>
      </c>
      <c r="U62" s="319">
        <f>+U64-U63</f>
        <v>6267163</v>
      </c>
      <c r="V62" s="319">
        <f>+V64-V63</f>
        <v>7184985</v>
      </c>
      <c r="W62" s="320">
        <f>(U62-V62)/V62</f>
        <v>-0.12774167239040862</v>
      </c>
      <c r="X62" s="319">
        <f>+X64-X63</f>
        <v>25216717</v>
      </c>
      <c r="Y62" s="319">
        <f>+Y64-Y63</f>
        <v>28181521</v>
      </c>
      <c r="Z62" s="343">
        <f>(X62-Y62)/Y62</f>
        <v>-0.10520383197202167</v>
      </c>
      <c r="AA62" s="390">
        <f>+X62/X64</f>
        <v>0.99628888202537425</v>
      </c>
      <c r="AB62" s="3"/>
      <c r="AC62" s="266" t="s">
        <v>131</v>
      </c>
      <c r="AD62" s="319">
        <f>+AD64-AD63</f>
        <v>2595967</v>
      </c>
      <c r="AE62" s="319">
        <f>+AE64-AE63</f>
        <v>2446581</v>
      </c>
      <c r="AF62" s="320">
        <f>(AD62-AE62)/AE62</f>
        <v>6.1059086128764997E-2</v>
      </c>
      <c r="AG62" s="319">
        <f>+AG64-AG63</f>
        <v>9861299</v>
      </c>
      <c r="AH62" s="319">
        <f>+AH64-AH63</f>
        <v>9170317</v>
      </c>
      <c r="AI62" s="343">
        <f>(AG62-AH62)/AH62</f>
        <v>7.5349848865639002E-2</v>
      </c>
      <c r="AJ62" s="390">
        <f>+AG62/AG64</f>
        <v>0.866631092016101</v>
      </c>
    </row>
    <row r="63" spans="1:36" ht="14.1" customHeight="1" x14ac:dyDescent="0.2">
      <c r="B63" s="163" t="s">
        <v>132</v>
      </c>
      <c r="C63" s="321">
        <f>+C36+C35+C34+C22+C57+C54+C55+C26+C23+C17+C6+C56+C24+C25+C18+C7</f>
        <v>6797</v>
      </c>
      <c r="D63" s="321">
        <f>+D36+D35+D34+D22+D57+D54+D55+D26+D23+D17+D6+D56+D24+D25+D18+D7</f>
        <v>6106</v>
      </c>
      <c r="E63" s="267">
        <f>(C63-D63)/D63</f>
        <v>0.11316737635113004</v>
      </c>
      <c r="F63" s="321">
        <f>+F36+F35+F34+F22+F57+F54+F55+F26+F23+F17+F6+F56+F24+F25+F18+F7</f>
        <v>26143</v>
      </c>
      <c r="G63" s="321">
        <f>+G36+G35+G34+G22+G57+G54+G55+G26+G23+G17+G6+G56+G24+G25+G18+G7</f>
        <v>24343</v>
      </c>
      <c r="H63" s="267">
        <f>(F63-G63)/G63</f>
        <v>7.3943228032699343E-2</v>
      </c>
      <c r="I63" s="346">
        <f>F63/$F$64</f>
        <v>0.27138719622966645</v>
      </c>
      <c r="K63" s="163" t="s">
        <v>132</v>
      </c>
      <c r="L63" s="321">
        <f>+L36+L35+L34+L22+L57+L54+L55+L26+L23+L17+L6+L56+L24+L25+L18+L7</f>
        <v>394922</v>
      </c>
      <c r="M63" s="321">
        <f>+M36+M35+M34+M22+M57+M54+M55+M26+M23+M17+M6+M56+M24+M25+M18+M7</f>
        <v>325630</v>
      </c>
      <c r="N63" s="267">
        <f>(L63-M63)/M63</f>
        <v>0.21279366151767343</v>
      </c>
      <c r="O63" s="321">
        <f>+O36+O35+O34+O22+O57+O54+O55+O26+O23+O17+O6+O56+O24+O25+O18+O7</f>
        <v>1468141</v>
      </c>
      <c r="P63" s="321">
        <f>+P36+P35+P34+P22+P57+P54+P55+P26+P23+P17+P6+P56+P24+P25+P18+P7</f>
        <v>1258141</v>
      </c>
      <c r="Q63" s="342">
        <f>(O63-P63)/P63</f>
        <v>0.16691292947292871</v>
      </c>
      <c r="R63" s="391">
        <f>+O63/O64</f>
        <v>0.1328448165953931</v>
      </c>
      <c r="S63" s="3"/>
      <c r="T63" s="163" t="s">
        <v>132</v>
      </c>
      <c r="U63" s="321">
        <f>+U36+U35+U34+U22+U57+U54+U55+U26+U23+U17+U6+U56+U24+U25+U18+U7</f>
        <v>34909.300000000003</v>
      </c>
      <c r="V63" s="321">
        <f>+V36+V35+V34+V22+V57+V54+V55+V26+V23+V17+V6+V56+V24+V25+V18+V7</f>
        <v>3808.1</v>
      </c>
      <c r="W63" s="267">
        <f>(U63-V63)/V63</f>
        <v>8.1671174601507328</v>
      </c>
      <c r="X63" s="321">
        <f>+X36+X35+X34+X22+X57+X54+X55+X26+X23+X17+X6+X56+X24+X25+X18+X7</f>
        <v>93930.8</v>
      </c>
      <c r="Y63" s="321">
        <f>+Y36+Y35+Y34+Y22+Y57+Y54+Y55+Y26+Y23+Y17+Y6+Y56+Y24+Y25+Y18+Y7</f>
        <v>22173.1</v>
      </c>
      <c r="Z63" s="342">
        <f>(X63-Y63)/Y63</f>
        <v>3.2362502311359269</v>
      </c>
      <c r="AA63" s="391">
        <f>+X63/X64</f>
        <v>3.711117974625683E-3</v>
      </c>
      <c r="AB63" s="3"/>
      <c r="AC63" s="163" t="s">
        <v>132</v>
      </c>
      <c r="AD63" s="321">
        <f>+AD36+AD35+AD34+AD22+AD57+AD54+AD55+AD26+AD23+AD17+AD6+AD56+AD24+AD25+AD18+AD7</f>
        <v>407822</v>
      </c>
      <c r="AE63" s="321">
        <f>+AE36+AE35+AE34+AE22+AE57+AE54+AE55+AE26+AE23+AE17+AE6+AE56+AE24+AE25+AE18+AE7</f>
        <v>335524</v>
      </c>
      <c r="AF63" s="267">
        <f>(AD63-AE63)/AE63</f>
        <v>0.2154778793767361</v>
      </c>
      <c r="AG63" s="321">
        <f>+AG36+AG35+AG34+AG22+AG57+AG54+AG55+AG26+AG23+AG17+AG6+AG56+AG24+AG25+AG18+AG7</f>
        <v>1517590</v>
      </c>
      <c r="AH63" s="321">
        <f>+AH36+AH35+AH34+AH22+AH57+AH54+AH55+AH26+AH23+AH17+AH6+AH56+AH24+AH25+AH18+AH7</f>
        <v>1300183</v>
      </c>
      <c r="AI63" s="342">
        <f>(AG63-AH63)/AH63</f>
        <v>0.16721261545490135</v>
      </c>
      <c r="AJ63" s="391">
        <f>+AG63/AG64</f>
        <v>0.13336890798389894</v>
      </c>
    </row>
    <row r="64" spans="1:36" ht="14.1" customHeight="1" thickBot="1" x14ac:dyDescent="0.25">
      <c r="B64" s="163" t="s">
        <v>133</v>
      </c>
      <c r="C64" s="322">
        <f>C52+C50+C46+C40+C38+C32+C20+C15+C4+C48+C28+C44+C9+C42+C30+C13+C59+C11</f>
        <v>25341</v>
      </c>
      <c r="D64" s="322">
        <f>D52+D50+D46+D40+D38+D32+D20+D15+D4+D48+D28+D44+D9+D42+D30+D13+D59+D11</f>
        <v>23418</v>
      </c>
      <c r="E64" s="323">
        <f>(C64-D64)/D64</f>
        <v>8.211632077888803E-2</v>
      </c>
      <c r="F64" s="322">
        <f>F52+F50+F46+F40+F38+F32+F20+F15+F4+F48+F28+F44+F9+F42+F30+F13+F59+F11</f>
        <v>96331</v>
      </c>
      <c r="G64" s="322">
        <f>G52+G50+G46+G40+G38+G32+G20+G15+G4+G48+G28+G44+G9+G42+G30+G13+G59+G11</f>
        <v>90189</v>
      </c>
      <c r="H64" s="323">
        <f>(F64-G64)/G64</f>
        <v>6.810143143842376E-2</v>
      </c>
      <c r="I64" s="347">
        <f>+H64/H64</f>
        <v>1</v>
      </c>
      <c r="K64" s="163" t="s">
        <v>133</v>
      </c>
      <c r="L64" s="322">
        <f>L52+L50+L46+L40+L38+L32+L20+L15+L4+L48+L28+L44+L9+L42+L30+L13+L59+L11</f>
        <v>2920033</v>
      </c>
      <c r="M64" s="322">
        <f>M52+M50+M46+M40+M38+M32+M20+M15+M4+M48+M28+M44+M9+M42+M30+M13+M59+M11</f>
        <v>2704342</v>
      </c>
      <c r="N64" s="323">
        <f>(L64-M64)/M64</f>
        <v>7.9757294010890628E-2</v>
      </c>
      <c r="O64" s="322">
        <f>O52+O50+O46+O40+O38+O32+O20+O15+O4+O48+O28+O44+O9+O42+O30+O13+O59+O11</f>
        <v>11051549</v>
      </c>
      <c r="P64" s="322">
        <f>P52+P50+P46+P40+P38+P32+P20+P15+P4+P48+P28+P44+P9+P42+P30+P13+P59+P11</f>
        <v>10163402</v>
      </c>
      <c r="Q64" s="389">
        <f>(O64-P64)/P64</f>
        <v>8.7386782496648274E-2</v>
      </c>
      <c r="R64" s="347">
        <f>+Q64/Q64</f>
        <v>1</v>
      </c>
      <c r="S64" s="3"/>
      <c r="T64" s="163" t="s">
        <v>133</v>
      </c>
      <c r="U64" s="322">
        <f>U52+U50+U46+U40+U38+U32+U20+U15+U4+U48+U28+U44+U9+U42+U30+U13+U59+U11</f>
        <v>6302072.2999999998</v>
      </c>
      <c r="V64" s="322">
        <f>V52+V50+V46+V40+V38+V32+V20+V15+V4+V48+V28+V44+V9+V42+V30+V13+V59+V11</f>
        <v>7188793.0999999996</v>
      </c>
      <c r="W64" s="323">
        <f>(U64-V64)/V64</f>
        <v>-0.12334765901107932</v>
      </c>
      <c r="X64" s="322">
        <f>X52+X50+X46+X40+X38+X32+X20+X15+X4+X48+X28+X44+X9+X42+X30+X13+X59+X11</f>
        <v>25310647.800000001</v>
      </c>
      <c r="Y64" s="322">
        <f>Y52+Y50+Y46+Y40+Y38+Y32+Y20+Y15+Y4+Y48+Y28+Y44+Y9+Y42+Y30+Y13+Y59+Y11</f>
        <v>28203694.100000001</v>
      </c>
      <c r="Z64" s="389">
        <f>(X64-Y64)/Y64</f>
        <v>-0.10257685712170593</v>
      </c>
      <c r="AA64" s="347">
        <f>+Z64/Z64</f>
        <v>1</v>
      </c>
      <c r="AB64" s="3"/>
      <c r="AC64" s="163" t="s">
        <v>133</v>
      </c>
      <c r="AD64" s="322">
        <f>AD52+AD50+AD46+AD40+AD38+AD32+AD20+AD15+AD4+AD48+AD28+AD44+AD9+AD42+AD30+AD13+AD59+AD11</f>
        <v>3003789</v>
      </c>
      <c r="AE64" s="322">
        <f>AE52+AE50+AE46+AE40+AE38+AE32+AE20+AE15+AE4+AE48+AE28+AE44+AE9+AE42+AE30+AE13+AE59+AE11</f>
        <v>2782105</v>
      </c>
      <c r="AF64" s="323">
        <f>(AD64-AE64)/AE64</f>
        <v>7.9682111207161482E-2</v>
      </c>
      <c r="AG64" s="322">
        <f>AG52+AG50+AG46+AG40+AG38+AG32+AG20+AG15+AG4+AG48+AG28+AG44+AG9+AG42+AG30+AG13+AG59+AG11</f>
        <v>11378889</v>
      </c>
      <c r="AH64" s="322">
        <f>AH52+AH50+AH46+AH40+AH38+AH32+AH20+AH15+AH4+AH48+AH28+AH44+AH9+AH42+AH30+AH13+AH59+AH11</f>
        <v>10470500</v>
      </c>
      <c r="AI64" s="389">
        <f>(AG64-AH64)/AH64</f>
        <v>8.6756983907167753E-2</v>
      </c>
      <c r="AJ64" s="347">
        <f>+AI64/AI64</f>
        <v>1</v>
      </c>
    </row>
    <row r="65" spans="2:34" x14ac:dyDescent="0.2">
      <c r="D65" s="3"/>
      <c r="F65" s="2"/>
      <c r="G65"/>
      <c r="H65"/>
      <c r="I65"/>
      <c r="J65"/>
      <c r="K65"/>
      <c r="M65"/>
      <c r="N65"/>
    </row>
    <row r="66" spans="2:34" x14ac:dyDescent="0.2">
      <c r="B66" s="163"/>
      <c r="E66"/>
      <c r="F66" s="2"/>
      <c r="H66"/>
      <c r="I66"/>
      <c r="J66"/>
      <c r="K66"/>
      <c r="N66"/>
      <c r="O66" s="2"/>
      <c r="P66" s="2"/>
      <c r="U66" s="89"/>
      <c r="V66" s="89"/>
      <c r="W66" s="89"/>
    </row>
    <row r="67" spans="2:34" x14ac:dyDescent="0.2">
      <c r="E67"/>
      <c r="F67" s="2"/>
      <c r="H67"/>
      <c r="I67"/>
      <c r="J67"/>
      <c r="K67"/>
      <c r="N67"/>
      <c r="O67" s="2"/>
      <c r="P67" s="2"/>
      <c r="U67" s="89"/>
      <c r="V67" s="89"/>
      <c r="W67" s="89"/>
      <c r="AD67" s="2"/>
      <c r="AE67" s="2"/>
      <c r="AG67" s="2"/>
      <c r="AH67" s="2"/>
    </row>
    <row r="68" spans="2:34" x14ac:dyDescent="0.2">
      <c r="E68"/>
      <c r="F68" s="2"/>
      <c r="H68"/>
      <c r="I68"/>
      <c r="J68"/>
      <c r="K68"/>
      <c r="N68"/>
      <c r="O68" s="2"/>
      <c r="P68" s="2"/>
      <c r="U68" s="89"/>
      <c r="AD68" s="2"/>
      <c r="AE68" s="2"/>
      <c r="AG68" s="2"/>
      <c r="AH68" s="2"/>
    </row>
    <row r="69" spans="2:34" x14ac:dyDescent="0.2">
      <c r="E69"/>
      <c r="F69" s="2"/>
      <c r="H69"/>
      <c r="I69"/>
      <c r="J69"/>
      <c r="K69"/>
      <c r="N69"/>
      <c r="O69" s="2"/>
      <c r="P69" s="2"/>
    </row>
    <row r="70" spans="2:34" x14ac:dyDescent="0.2">
      <c r="C70"/>
      <c r="D70"/>
      <c r="E70"/>
      <c r="F70"/>
      <c r="G70"/>
      <c r="H70"/>
      <c r="I70"/>
      <c r="J70"/>
      <c r="K70"/>
      <c r="L70"/>
      <c r="M70"/>
      <c r="N70"/>
    </row>
    <row r="71" spans="2:34" x14ac:dyDescent="0.2">
      <c r="C71"/>
      <c r="D71"/>
      <c r="E71"/>
      <c r="F71"/>
      <c r="G71"/>
      <c r="H71"/>
      <c r="I71"/>
      <c r="J71"/>
      <c r="K71"/>
      <c r="L71"/>
      <c r="M71"/>
      <c r="N71"/>
      <c r="AD71" s="2"/>
      <c r="AE71" s="2"/>
      <c r="AG71" s="2"/>
      <c r="AH71" s="2"/>
    </row>
    <row r="72" spans="2:34" x14ac:dyDescent="0.2">
      <c r="D72" s="3"/>
      <c r="F72"/>
      <c r="G72"/>
      <c r="H72"/>
      <c r="I72"/>
      <c r="J72"/>
      <c r="K72"/>
      <c r="L72"/>
      <c r="M72"/>
      <c r="N72"/>
    </row>
    <row r="73" spans="2:34" x14ac:dyDescent="0.2">
      <c r="D73" s="3"/>
      <c r="F73"/>
      <c r="G73"/>
      <c r="H73"/>
      <c r="I73"/>
      <c r="J73"/>
      <c r="K73"/>
      <c r="L73"/>
      <c r="M73"/>
      <c r="N73"/>
      <c r="AD73" s="2"/>
      <c r="AE73" s="2"/>
      <c r="AG73" s="2"/>
      <c r="AH73" s="2"/>
    </row>
    <row r="74" spans="2:34" x14ac:dyDescent="0.2">
      <c r="D74" s="3"/>
      <c r="F74"/>
      <c r="G74"/>
      <c r="H74"/>
      <c r="I74"/>
      <c r="J74"/>
      <c r="K74"/>
      <c r="L74"/>
      <c r="M74"/>
      <c r="N74"/>
    </row>
    <row r="75" spans="2:34" x14ac:dyDescent="0.2">
      <c r="D75" s="3"/>
      <c r="F75"/>
      <c r="G75"/>
      <c r="H75"/>
      <c r="I75"/>
      <c r="J75"/>
      <c r="K75"/>
      <c r="L75"/>
      <c r="M75"/>
      <c r="N75"/>
    </row>
    <row r="76" spans="2:34" x14ac:dyDescent="0.2">
      <c r="D76" s="3"/>
      <c r="F76"/>
      <c r="G76"/>
      <c r="H76"/>
      <c r="I76"/>
      <c r="J76"/>
      <c r="K76"/>
      <c r="L76"/>
      <c r="M76"/>
      <c r="N76"/>
    </row>
    <row r="77" spans="2:34" x14ac:dyDescent="0.2">
      <c r="D77" s="3"/>
      <c r="F77"/>
      <c r="G77"/>
      <c r="H77"/>
      <c r="I77"/>
      <c r="J77"/>
      <c r="K77"/>
      <c r="L77"/>
      <c r="M77"/>
      <c r="N77"/>
    </row>
    <row r="78" spans="2:34" x14ac:dyDescent="0.2">
      <c r="D78" s="3"/>
      <c r="F78"/>
      <c r="G78"/>
      <c r="H78"/>
      <c r="I78"/>
      <c r="J78"/>
      <c r="K78"/>
      <c r="L78"/>
      <c r="M78"/>
      <c r="N78"/>
    </row>
    <row r="79" spans="2:34" x14ac:dyDescent="0.2">
      <c r="D79" s="3"/>
      <c r="F79"/>
      <c r="G79"/>
      <c r="H79"/>
      <c r="I79"/>
      <c r="J79"/>
      <c r="K79"/>
      <c r="L79"/>
      <c r="M79"/>
      <c r="N79"/>
    </row>
    <row r="80" spans="2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F136" s="165"/>
      <c r="K136"/>
    </row>
    <row r="137" spans="4:14" x14ac:dyDescent="0.2">
      <c r="F137" s="165"/>
      <c r="K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  <row r="4702" spans="6:11" x14ac:dyDescent="0.2">
      <c r="F4702" s="165"/>
      <c r="K4702"/>
    </row>
    <row r="4703" spans="6:11" x14ac:dyDescent="0.2">
      <c r="F4703" s="165"/>
      <c r="K4703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April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="115" zoomScaleNormal="115" zoomScaleSheetLayoutView="100" workbookViewId="0">
      <selection activeCell="E19" sqref="E19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6" width="8.7109375" bestFit="1" customWidth="1"/>
    <col min="7" max="7" width="10.42578125" bestFit="1" customWidth="1"/>
    <col min="8" max="8" width="8.7109375" bestFit="1" customWidth="1"/>
    <col min="9" max="9" width="9.85546875" bestFit="1" customWidth="1"/>
    <col min="10" max="10" width="11.7109375" bestFit="1" customWidth="1"/>
    <col min="11" max="11" width="12.7109375" bestFit="1" customWidth="1"/>
  </cols>
  <sheetData>
    <row r="1" spans="1:20" ht="26.25" thickBot="1" x14ac:dyDescent="0.25">
      <c r="A1" s="388">
        <v>45383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18" t="s">
        <v>20</v>
      </c>
      <c r="K1" s="317" t="s">
        <v>21</v>
      </c>
    </row>
    <row r="2" spans="1:20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9"/>
      <c r="K2" s="196"/>
    </row>
    <row r="3" spans="1:20" x14ac:dyDescent="0.2">
      <c r="A3" s="43" t="s">
        <v>29</v>
      </c>
      <c r="K3" s="37"/>
    </row>
    <row r="4" spans="1:20" x14ac:dyDescent="0.2">
      <c r="A4" s="43" t="s">
        <v>30</v>
      </c>
      <c r="B4" s="11">
        <f>[3]American!$IW$22</f>
        <v>52939</v>
      </c>
      <c r="C4" s="11">
        <f>[3]Delta!$IW$22+[3]Delta!$IW$32</f>
        <v>877244</v>
      </c>
      <c r="D4" s="11">
        <f>[3]United!$IW$22</f>
        <v>53380</v>
      </c>
      <c r="E4" s="11">
        <f>[3]Spirit!$IW$22</f>
        <v>12100</v>
      </c>
      <c r="F4" s="11">
        <f>[3]Condor!$IW$22+[3]Condor!$IW$32</f>
        <v>0</v>
      </c>
      <c r="G4" s="11">
        <f>'[3]Air France'!$IW$32</f>
        <v>0</v>
      </c>
      <c r="H4" s="11">
        <f>'[3]Jet Blue'!$IW$22</f>
        <v>2527</v>
      </c>
      <c r="I4" s="11">
        <f>[3]KLM!$IW$22+[3]KLM!$IW$32</f>
        <v>3394</v>
      </c>
      <c r="J4" s="11">
        <f>'Other Major Airline Stats'!K5</f>
        <v>313535</v>
      </c>
      <c r="K4" s="197">
        <f>SUM(B4:J4)</f>
        <v>1315119</v>
      </c>
    </row>
    <row r="5" spans="1:20" x14ac:dyDescent="0.2">
      <c r="A5" s="43" t="s">
        <v>31</v>
      </c>
      <c r="B5" s="7">
        <f>[3]American!$IW$23</f>
        <v>45845</v>
      </c>
      <c r="C5" s="7">
        <f>[3]Delta!$IW$23+[3]Delta!$IW$33</f>
        <v>825618</v>
      </c>
      <c r="D5" s="7">
        <f>[3]United!$IW$23</f>
        <v>48213</v>
      </c>
      <c r="E5" s="7">
        <f>[3]Spirit!$IW$23</f>
        <v>9821</v>
      </c>
      <c r="F5" s="7">
        <f>[3]Condor!$IW$23+[3]Condor!$IW$33</f>
        <v>0</v>
      </c>
      <c r="G5" s="7">
        <f>'[3]Air France'!$IW$33</f>
        <v>0</v>
      </c>
      <c r="H5" s="7">
        <f>'[3]Jet Blue'!$IW$23</f>
        <v>2058</v>
      </c>
      <c r="I5" s="7">
        <f>[3]KLM!$IW$23+[3]KLM!$IW$33</f>
        <v>2976</v>
      </c>
      <c r="J5" s="7">
        <f>'Other Major Airline Stats'!K6</f>
        <v>275461</v>
      </c>
      <c r="K5" s="198">
        <f>SUM(B5:J5)</f>
        <v>1209992</v>
      </c>
      <c r="M5" s="222"/>
      <c r="N5" s="222"/>
      <c r="O5" s="222"/>
      <c r="P5" s="222"/>
      <c r="Q5" s="222"/>
      <c r="R5" s="222"/>
      <c r="S5" s="222"/>
      <c r="T5" s="222"/>
    </row>
    <row r="6" spans="1:20" ht="15" x14ac:dyDescent="0.25">
      <c r="A6" s="41" t="s">
        <v>7</v>
      </c>
      <c r="B6" s="23">
        <f t="shared" ref="B6:E6" si="0">SUM(B4:B5)</f>
        <v>98784</v>
      </c>
      <c r="C6" s="23">
        <f t="shared" si="0"/>
        <v>1702862</v>
      </c>
      <c r="D6" s="23">
        <f t="shared" si="0"/>
        <v>101593</v>
      </c>
      <c r="E6" s="23">
        <f t="shared" si="0"/>
        <v>21921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4585</v>
      </c>
      <c r="I6" s="23">
        <f t="shared" si="1"/>
        <v>6370</v>
      </c>
      <c r="J6" s="23">
        <f>SUM(J4:J5)</f>
        <v>588996</v>
      </c>
      <c r="K6" s="199">
        <f>SUM(B6:J6)</f>
        <v>2525111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97">
        <f>SUM(B8:J8)</f>
        <v>0</v>
      </c>
    </row>
    <row r="9" spans="1:20" x14ac:dyDescent="0.2">
      <c r="A9" s="43" t="s">
        <v>30</v>
      </c>
      <c r="B9" s="11">
        <f>[3]American!$IW$27</f>
        <v>1656</v>
      </c>
      <c r="C9" s="11">
        <f>[3]Delta!$IW$27+[3]Delta!$IW$37</f>
        <v>26997</v>
      </c>
      <c r="D9" s="11">
        <f>[3]United!$IW$27</f>
        <v>1984</v>
      </c>
      <c r="E9" s="11">
        <f>[3]Spirit!$IW$27</f>
        <v>82</v>
      </c>
      <c r="F9" s="11">
        <f>[3]Condor!$IW$27+[3]Condor!$IW$37</f>
        <v>0</v>
      </c>
      <c r="G9" s="11">
        <f>'[3]Air France'!$IW$37</f>
        <v>0</v>
      </c>
      <c r="H9" s="11">
        <f>'[3]Jet Blue'!$IW$27</f>
        <v>65</v>
      </c>
      <c r="I9" s="11">
        <f>[3]KLM!$IW$27+[3]KLM!$IW$37</f>
        <v>12</v>
      </c>
      <c r="J9" s="11">
        <f>'Other Major Airline Stats'!K10</f>
        <v>3560</v>
      </c>
      <c r="K9" s="197">
        <f>SUM(B9:J9)</f>
        <v>34356</v>
      </c>
      <c r="N9" s="222"/>
    </row>
    <row r="10" spans="1:20" x14ac:dyDescent="0.2">
      <c r="A10" s="43" t="s">
        <v>33</v>
      </c>
      <c r="B10" s="7">
        <f>[3]American!$IW$28</f>
        <v>1783</v>
      </c>
      <c r="C10" s="7">
        <f>[3]Delta!$IW$28+[3]Delta!$IW$38</f>
        <v>26839</v>
      </c>
      <c r="D10" s="7">
        <f>[3]United!$IW$28</f>
        <v>2317</v>
      </c>
      <c r="E10" s="7">
        <f>[3]Spirit!$IW$28</f>
        <v>85</v>
      </c>
      <c r="F10" s="7">
        <f>[3]Condor!$IW$28+[3]Condor!$IW$38</f>
        <v>0</v>
      </c>
      <c r="G10" s="7">
        <f>'[3]Air France'!$IW$38</f>
        <v>0</v>
      </c>
      <c r="H10" s="7">
        <f>'[3]Jet Blue'!$IW$28</f>
        <v>51</v>
      </c>
      <c r="I10" s="7">
        <f>[3]KLM!$IW$28+[3]KLM!$IW$38</f>
        <v>0</v>
      </c>
      <c r="J10" s="7">
        <f>'Other Major Airline Stats'!K11</f>
        <v>5425</v>
      </c>
      <c r="K10" s="198">
        <f>SUM(B10:J10)</f>
        <v>36500</v>
      </c>
      <c r="N10" s="222"/>
    </row>
    <row r="11" spans="1:20" ht="15.75" thickBot="1" x14ac:dyDescent="0.3">
      <c r="A11" s="44" t="s">
        <v>34</v>
      </c>
      <c r="B11" s="200">
        <f t="shared" ref="B11:J11" si="3">SUM(B9:B10)</f>
        <v>3439</v>
      </c>
      <c r="C11" s="200">
        <f t="shared" si="3"/>
        <v>53836</v>
      </c>
      <c r="D11" s="200">
        <f t="shared" si="3"/>
        <v>4301</v>
      </c>
      <c r="E11" s="200">
        <f t="shared" si="3"/>
        <v>167</v>
      </c>
      <c r="F11" s="200">
        <f t="shared" ref="F11:I11" si="4">SUM(F9:F10)</f>
        <v>0</v>
      </c>
      <c r="G11" s="200">
        <f t="shared" si="4"/>
        <v>0</v>
      </c>
      <c r="H11" s="200">
        <f t="shared" ref="H11" si="5">SUM(H9:H10)</f>
        <v>116</v>
      </c>
      <c r="I11" s="200">
        <f t="shared" si="4"/>
        <v>12</v>
      </c>
      <c r="J11" s="200">
        <f t="shared" si="3"/>
        <v>8985</v>
      </c>
      <c r="K11" s="201">
        <f>SUM(B11:J11)</f>
        <v>70856</v>
      </c>
    </row>
    <row r="13" spans="1:20" ht="13.5" thickBot="1" x14ac:dyDescent="0.25"/>
    <row r="14" spans="1:20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20" x14ac:dyDescent="0.2">
      <c r="A15" s="43" t="s">
        <v>22</v>
      </c>
      <c r="B15" s="11">
        <f>[3]American!$IW$4</f>
        <v>363</v>
      </c>
      <c r="C15" s="11">
        <f>[3]Delta!$IW$4+[3]Delta!$IW$15</f>
        <v>6023</v>
      </c>
      <c r="D15" s="11">
        <f>[3]United!$IW$4</f>
        <v>419</v>
      </c>
      <c r="E15" s="11">
        <f>[3]Spirit!$IW$4</f>
        <v>84</v>
      </c>
      <c r="F15" s="11">
        <f>[3]Condor!$IW$15</f>
        <v>0</v>
      </c>
      <c r="G15" s="11">
        <f>'[3]Air France'!$IW$15</f>
        <v>0</v>
      </c>
      <c r="H15" s="11">
        <f>'[3]Jet Blue'!$IW$4</f>
        <v>29</v>
      </c>
      <c r="I15" s="11">
        <f>[3]KLM!$IW$4+[3]KLM!$IW$15</f>
        <v>12</v>
      </c>
      <c r="J15" s="11">
        <f>'Other Major Airline Stats'!K16</f>
        <v>2250</v>
      </c>
      <c r="K15" s="16">
        <f>SUM(B15:J15)</f>
        <v>9180</v>
      </c>
    </row>
    <row r="16" spans="1:20" x14ac:dyDescent="0.2">
      <c r="A16" s="43" t="s">
        <v>23</v>
      </c>
      <c r="B16" s="7">
        <f>[3]American!$IW$5</f>
        <v>360</v>
      </c>
      <c r="C16" s="7">
        <f>[3]Delta!$IW$5+[3]Delta!$IW$16</f>
        <v>6122</v>
      </c>
      <c r="D16" s="7">
        <f>[3]United!$IW$5</f>
        <v>419</v>
      </c>
      <c r="E16" s="7">
        <f>[3]Spirit!$IW$5</f>
        <v>84</v>
      </c>
      <c r="F16" s="7">
        <f>[3]Condor!$IW$5+[3]Condor!$IW$16</f>
        <v>0</v>
      </c>
      <c r="G16" s="7">
        <f>'[3]Air France'!$IW$16</f>
        <v>0</v>
      </c>
      <c r="H16" s="7">
        <f>'[3]Jet Blue'!$IW$5</f>
        <v>29</v>
      </c>
      <c r="I16" s="7">
        <f>[3]KLM!$IW$5+[3]KLM!$IW$16</f>
        <v>12</v>
      </c>
      <c r="J16" s="7">
        <f>'Other Major Airline Stats'!K17</f>
        <v>2246</v>
      </c>
      <c r="K16" s="22">
        <f>SUM(B16:J16)</f>
        <v>9272</v>
      </c>
    </row>
    <row r="17" spans="1:11" x14ac:dyDescent="0.2">
      <c r="A17" s="43" t="s">
        <v>24</v>
      </c>
      <c r="B17" s="204">
        <f t="shared" ref="B17:J17" si="6">SUM(B15:B16)</f>
        <v>723</v>
      </c>
      <c r="C17" s="202">
        <f t="shared" si="6"/>
        <v>12145</v>
      </c>
      <c r="D17" s="202">
        <f t="shared" si="6"/>
        <v>838</v>
      </c>
      <c r="E17" s="202">
        <f t="shared" si="6"/>
        <v>168</v>
      </c>
      <c r="F17" s="202">
        <f t="shared" ref="F17:I17" si="7">SUM(F15:F16)</f>
        <v>0</v>
      </c>
      <c r="G17" s="202">
        <f t="shared" si="7"/>
        <v>0</v>
      </c>
      <c r="H17" s="202">
        <f t="shared" ref="H17" si="8">SUM(H15:H16)</f>
        <v>58</v>
      </c>
      <c r="I17" s="202">
        <f t="shared" si="7"/>
        <v>24</v>
      </c>
      <c r="J17" s="202">
        <f t="shared" si="6"/>
        <v>4496</v>
      </c>
      <c r="K17" s="203">
        <f>SUM(B17:J17)</f>
        <v>18452</v>
      </c>
    </row>
    <row r="18" spans="1:11" x14ac:dyDescent="0.2">
      <c r="A18" s="43"/>
      <c r="B18" s="427"/>
      <c r="C18" s="11"/>
      <c r="D18" s="11"/>
      <c r="E18" s="11"/>
      <c r="F18" s="11"/>
      <c r="G18" s="11"/>
      <c r="H18" s="11"/>
      <c r="I18" s="11"/>
      <c r="J18" s="11"/>
      <c r="K18" s="16"/>
    </row>
    <row r="19" spans="1:11" x14ac:dyDescent="0.2">
      <c r="A19" s="43" t="s">
        <v>25</v>
      </c>
      <c r="B19" s="11">
        <f>[3]American!$IW$8</f>
        <v>0</v>
      </c>
      <c r="C19" s="11">
        <f>[3]Delta!$IW$8</f>
        <v>4</v>
      </c>
      <c r="D19" s="11">
        <f>[3]United!$IW$8</f>
        <v>0</v>
      </c>
      <c r="E19" s="11">
        <f>[3]Spirit!$IW$8</f>
        <v>0</v>
      </c>
      <c r="F19" s="11">
        <f>[3]Condor!$IW$8</f>
        <v>0</v>
      </c>
      <c r="G19" s="11">
        <f>'[3]Air France'!$IW$8</f>
        <v>0</v>
      </c>
      <c r="H19" s="11">
        <f>'[3]Jet Blue'!$IW$8</f>
        <v>0</v>
      </c>
      <c r="I19" s="11">
        <f>[3]KLM!$IW$8</f>
        <v>0</v>
      </c>
      <c r="J19" s="11">
        <f>'Other Major Airline Stats'!K20</f>
        <v>37</v>
      </c>
      <c r="K19" s="16">
        <f>SUM(B19:J19)</f>
        <v>41</v>
      </c>
    </row>
    <row r="20" spans="1:11" x14ac:dyDescent="0.2">
      <c r="A20" s="43" t="s">
        <v>26</v>
      </c>
      <c r="B20" s="7">
        <f>[3]American!$IW$9</f>
        <v>0</v>
      </c>
      <c r="C20" s="7">
        <f>[3]Delta!$IW$9</f>
        <v>12</v>
      </c>
      <c r="D20" s="7">
        <f>[3]United!$IW$9</f>
        <v>0</v>
      </c>
      <c r="E20" s="7">
        <f>[3]Spirit!$IW$9</f>
        <v>0</v>
      </c>
      <c r="F20" s="7">
        <f>[3]Condor!$IW$9</f>
        <v>0</v>
      </c>
      <c r="G20" s="7">
        <f>'[3]Air France'!$IW$9</f>
        <v>0</v>
      </c>
      <c r="H20" s="7">
        <f>'[3]Jet Blue'!$IW$9</f>
        <v>0</v>
      </c>
      <c r="I20" s="7">
        <f>[3]KLM!$IW$9</f>
        <v>0</v>
      </c>
      <c r="J20" s="7">
        <f>'Other Major Airline Stats'!K21</f>
        <v>39</v>
      </c>
      <c r="K20" s="22">
        <f>SUM(B20:J20)</f>
        <v>51</v>
      </c>
    </row>
    <row r="21" spans="1:11" x14ac:dyDescent="0.2">
      <c r="A21" s="43" t="s">
        <v>27</v>
      </c>
      <c r="B21" s="204">
        <f t="shared" ref="B21:J21" si="9">SUM(B19:B20)</f>
        <v>0</v>
      </c>
      <c r="C21" s="202">
        <f t="shared" si="9"/>
        <v>16</v>
      </c>
      <c r="D21" s="202">
        <f t="shared" si="9"/>
        <v>0</v>
      </c>
      <c r="E21" s="202">
        <f t="shared" si="9"/>
        <v>0</v>
      </c>
      <c r="F21" s="202">
        <f t="shared" ref="F21:I21" si="10">SUM(F19:F20)</f>
        <v>0</v>
      </c>
      <c r="G21" s="202">
        <f t="shared" si="10"/>
        <v>0</v>
      </c>
      <c r="H21" s="202">
        <f t="shared" ref="H21" si="11">SUM(H19:H20)</f>
        <v>0</v>
      </c>
      <c r="I21" s="202">
        <f t="shared" si="10"/>
        <v>0</v>
      </c>
      <c r="J21" s="202">
        <f t="shared" si="9"/>
        <v>76</v>
      </c>
      <c r="K21" s="139">
        <f>SUM(B21:J21)</f>
        <v>92</v>
      </c>
    </row>
    <row r="22" spans="1:11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6"/>
    </row>
    <row r="23" spans="1:11" ht="15.75" thickBot="1" x14ac:dyDescent="0.3">
      <c r="A23" s="44" t="s">
        <v>28</v>
      </c>
      <c r="B23" s="17">
        <f t="shared" ref="B23:J23" si="12">B17+B21</f>
        <v>723</v>
      </c>
      <c r="C23" s="17">
        <f t="shared" si="12"/>
        <v>12161</v>
      </c>
      <c r="D23" s="17">
        <f t="shared" si="12"/>
        <v>838</v>
      </c>
      <c r="E23" s="17">
        <f>E17+E21</f>
        <v>168</v>
      </c>
      <c r="F23" s="17">
        <f t="shared" ref="F23:I23" si="13">F17+F21</f>
        <v>0</v>
      </c>
      <c r="G23" s="17">
        <f t="shared" si="13"/>
        <v>0</v>
      </c>
      <c r="H23" s="17">
        <f t="shared" ref="H23" si="14">H17+H21</f>
        <v>58</v>
      </c>
      <c r="I23" s="17">
        <f t="shared" si="13"/>
        <v>24</v>
      </c>
      <c r="J23" s="17">
        <f t="shared" si="12"/>
        <v>4572</v>
      </c>
      <c r="K23" s="18">
        <f>SUM(B23:J23)</f>
        <v>18544</v>
      </c>
    </row>
    <row r="25" spans="1:11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</row>
    <row r="26" spans="1:11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9"/>
    </row>
    <row r="28" spans="1:11" x14ac:dyDescent="0.2">
      <c r="A28" s="43" t="s">
        <v>37</v>
      </c>
      <c r="B28" s="11">
        <f>[3]American!$IW$47</f>
        <v>21899</v>
      </c>
      <c r="C28" s="11">
        <f>[3]Delta!$IW$47</f>
        <v>3446519</v>
      </c>
      <c r="D28" s="11">
        <f>[3]United!$IW$47</f>
        <v>68008</v>
      </c>
      <c r="E28" s="11">
        <f>[3]Spirit!$IW$47</f>
        <v>0</v>
      </c>
      <c r="F28" s="11">
        <f>[3]Condor!$IW$47</f>
        <v>0</v>
      </c>
      <c r="G28" s="11">
        <f>'[3]Air France'!$IW$47</f>
        <v>0</v>
      </c>
      <c r="H28" s="11">
        <f>'[3]Jet Blue'!$IW$47</f>
        <v>0</v>
      </c>
      <c r="I28" s="11">
        <f>[3]KLM!$IW$47</f>
        <v>189231</v>
      </c>
      <c r="J28" s="11">
        <f>'Other Major Airline Stats'!K28</f>
        <v>218853</v>
      </c>
      <c r="K28" s="16">
        <f>SUM(B28:J28)</f>
        <v>3944510</v>
      </c>
    </row>
    <row r="29" spans="1:11" x14ac:dyDescent="0.2">
      <c r="A29" s="43" t="s">
        <v>38</v>
      </c>
      <c r="B29" s="7">
        <f>[3]American!$IW$48</f>
        <v>309</v>
      </c>
      <c r="C29" s="7">
        <f>[3]Delta!$IW$48</f>
        <v>99556</v>
      </c>
      <c r="D29" s="7">
        <f>[3]United!$IW$48</f>
        <v>0</v>
      </c>
      <c r="E29" s="7">
        <f>[3]Spirit!$IW$48</f>
        <v>0</v>
      </c>
      <c r="F29" s="7">
        <f>[3]Condor!$IW$48</f>
        <v>0</v>
      </c>
      <c r="G29" s="7">
        <f>'[3]Air France'!$IW$48</f>
        <v>0</v>
      </c>
      <c r="H29" s="7">
        <f>'[3]Jet Blue'!$IW$48</f>
        <v>0</v>
      </c>
      <c r="I29" s="7">
        <f>[3]KLM!$IW$48</f>
        <v>0</v>
      </c>
      <c r="J29" s="7">
        <f>'Other Major Airline Stats'!K29</f>
        <v>0</v>
      </c>
      <c r="K29" s="22">
        <f>SUM(B29:J29)</f>
        <v>99865</v>
      </c>
    </row>
    <row r="30" spans="1:11" x14ac:dyDescent="0.2">
      <c r="A30" s="47" t="s">
        <v>39</v>
      </c>
      <c r="B30" s="204">
        <f t="shared" ref="B30:J30" si="15">SUM(B28:B29)</f>
        <v>22208</v>
      </c>
      <c r="C30" s="204">
        <f t="shared" si="15"/>
        <v>3546075</v>
      </c>
      <c r="D30" s="204">
        <f t="shared" si="15"/>
        <v>68008</v>
      </c>
      <c r="E30" s="204">
        <f t="shared" si="15"/>
        <v>0</v>
      </c>
      <c r="F30" s="204">
        <f t="shared" ref="F30:I30" si="16">SUM(F28:F29)</f>
        <v>0</v>
      </c>
      <c r="G30" s="204">
        <f t="shared" si="16"/>
        <v>0</v>
      </c>
      <c r="H30" s="204">
        <f t="shared" ref="H30" si="17">SUM(H28:H29)</f>
        <v>0</v>
      </c>
      <c r="I30" s="204">
        <f t="shared" si="16"/>
        <v>189231</v>
      </c>
      <c r="J30" s="204">
        <f t="shared" si="15"/>
        <v>218853</v>
      </c>
      <c r="K30" s="16">
        <f>SUM(B30:J30)</f>
        <v>4044375</v>
      </c>
    </row>
    <row r="31" spans="1:11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6"/>
    </row>
    <row r="32" spans="1:11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6">
        <f t="shared" ref="K32:K40" si="18">SUM(B32:J32)</f>
        <v>0</v>
      </c>
    </row>
    <row r="33" spans="1:11" x14ac:dyDescent="0.2">
      <c r="A33" s="43" t="s">
        <v>37</v>
      </c>
      <c r="B33" s="11">
        <f>[3]American!$IW$52</f>
        <v>2895</v>
      </c>
      <c r="C33" s="11">
        <f>[3]Delta!$IW$52</f>
        <v>1988076</v>
      </c>
      <c r="D33" s="11">
        <f>[3]United!$IW$52</f>
        <v>47770</v>
      </c>
      <c r="E33" s="11">
        <f>[3]Spirit!$IW$52</f>
        <v>0</v>
      </c>
      <c r="F33" s="11">
        <f>[3]Condor!$IW$52</f>
        <v>0</v>
      </c>
      <c r="G33" s="11">
        <f>'[3]Air France'!$IW$52</f>
        <v>0</v>
      </c>
      <c r="H33" s="11">
        <f>'[3]Jet Blue'!$IW$52</f>
        <v>0</v>
      </c>
      <c r="I33" s="11">
        <f>[3]KLM!$IW$52</f>
        <v>11607</v>
      </c>
      <c r="J33" s="11">
        <f>'Other Major Airline Stats'!K33</f>
        <v>48852</v>
      </c>
      <c r="K33" s="16">
        <f t="shared" si="18"/>
        <v>2099200</v>
      </c>
    </row>
    <row r="34" spans="1:11" x14ac:dyDescent="0.2">
      <c r="A34" s="43" t="s">
        <v>38</v>
      </c>
      <c r="B34" s="7">
        <f>[3]American!$IW$53</f>
        <v>245</v>
      </c>
      <c r="C34" s="7">
        <f>[3]Delta!$IW$53</f>
        <v>123343</v>
      </c>
      <c r="D34" s="7">
        <f>[3]United!$IW$53</f>
        <v>0</v>
      </c>
      <c r="E34" s="7">
        <f>[3]Spirit!$IW$53</f>
        <v>0</v>
      </c>
      <c r="F34" s="7">
        <f>[3]Condor!$IW$53</f>
        <v>0</v>
      </c>
      <c r="G34" s="7">
        <f>'[3]Air France'!$IW$53</f>
        <v>0</v>
      </c>
      <c r="H34" s="7">
        <f>'[3]Jet Blue'!$IW$53</f>
        <v>0</v>
      </c>
      <c r="I34" s="7">
        <f>[3]KLM!$IW$53</f>
        <v>0</v>
      </c>
      <c r="J34" s="7">
        <f>'Other Major Airline Stats'!K34</f>
        <v>0</v>
      </c>
      <c r="K34" s="22">
        <f t="shared" si="18"/>
        <v>123588</v>
      </c>
    </row>
    <row r="35" spans="1:11" x14ac:dyDescent="0.2">
      <c r="A35" s="47" t="s">
        <v>41</v>
      </c>
      <c r="B35" s="204">
        <f t="shared" ref="B35:J35" si="19">SUM(B33:B34)</f>
        <v>3140</v>
      </c>
      <c r="C35" s="204">
        <f t="shared" si="19"/>
        <v>2111419</v>
      </c>
      <c r="D35" s="204">
        <f t="shared" si="19"/>
        <v>47770</v>
      </c>
      <c r="E35" s="204">
        <f t="shared" si="19"/>
        <v>0</v>
      </c>
      <c r="F35" s="204">
        <f t="shared" ref="F35:I35" si="20">SUM(F33:F34)</f>
        <v>0</v>
      </c>
      <c r="G35" s="204">
        <f t="shared" si="20"/>
        <v>0</v>
      </c>
      <c r="H35" s="204">
        <f t="shared" ref="H35" si="21">SUM(H33:H34)</f>
        <v>0</v>
      </c>
      <c r="I35" s="204">
        <f t="shared" si="20"/>
        <v>11607</v>
      </c>
      <c r="J35" s="204">
        <f t="shared" si="19"/>
        <v>48852</v>
      </c>
      <c r="K35" s="16">
        <f t="shared" si="18"/>
        <v>2222788</v>
      </c>
    </row>
    <row r="36" spans="1:11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6">
        <f t="shared" si="18"/>
        <v>0</v>
      </c>
    </row>
    <row r="37" spans="1:11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6">
        <f t="shared" si="18"/>
        <v>0</v>
      </c>
    </row>
    <row r="38" spans="1:11" hidden="1" x14ac:dyDescent="0.2">
      <c r="A38" s="43" t="s">
        <v>37</v>
      </c>
      <c r="B38" s="11">
        <f>[3]American!$IW$57</f>
        <v>0</v>
      </c>
      <c r="C38" s="11">
        <f>[3]Delta!$IW$57</f>
        <v>0</v>
      </c>
      <c r="D38" s="11">
        <f>[3]United!$IW$57</f>
        <v>0</v>
      </c>
      <c r="E38" s="11">
        <f>[3]Spirit!$IW$57</f>
        <v>0</v>
      </c>
      <c r="F38" s="11">
        <f>[3]Condor!$IW$57</f>
        <v>0</v>
      </c>
      <c r="G38" s="11">
        <f>'[3]Air France'!$IW$57</f>
        <v>0</v>
      </c>
      <c r="H38" s="11">
        <f>'[3]Jet Blue'!$IW$57</f>
        <v>0</v>
      </c>
      <c r="I38" s="11">
        <f>[3]KLM!$IW$57</f>
        <v>0</v>
      </c>
      <c r="J38" s="11">
        <f>'Other Major Airline Stats'!K38</f>
        <v>0</v>
      </c>
      <c r="K38" s="16">
        <f t="shared" si="18"/>
        <v>0</v>
      </c>
    </row>
    <row r="39" spans="1:11" hidden="1" x14ac:dyDescent="0.2">
      <c r="A39" s="43" t="s">
        <v>38</v>
      </c>
      <c r="B39" s="7">
        <f>[3]American!$IW$58</f>
        <v>0</v>
      </c>
      <c r="C39" s="7">
        <f>[3]Delta!$IW$58</f>
        <v>0</v>
      </c>
      <c r="D39" s="7">
        <f>[3]United!$IW$58</f>
        <v>0</v>
      </c>
      <c r="E39" s="7">
        <f>[3]Spirit!$IW$58</f>
        <v>0</v>
      </c>
      <c r="F39" s="7">
        <f>[3]Condor!$IW$58</f>
        <v>0</v>
      </c>
      <c r="G39" s="7">
        <f>'[3]Air France'!$IW$58</f>
        <v>0</v>
      </c>
      <c r="H39" s="7">
        <f>'[3]Jet Blue'!$IW$58</f>
        <v>0</v>
      </c>
      <c r="I39" s="7">
        <f>[3]KLM!$IW$58</f>
        <v>0</v>
      </c>
      <c r="J39" s="7">
        <f>'Other Major Airline Stats'!K39</f>
        <v>0</v>
      </c>
      <c r="K39" s="22">
        <f t="shared" si="18"/>
        <v>0</v>
      </c>
    </row>
    <row r="40" spans="1:11" hidden="1" x14ac:dyDescent="0.2">
      <c r="A40" s="47" t="s">
        <v>43</v>
      </c>
      <c r="B40" s="204">
        <f t="shared" ref="B40:J40" si="22">SUM(B38:B39)</f>
        <v>0</v>
      </c>
      <c r="C40" s="204">
        <f t="shared" si="22"/>
        <v>0</v>
      </c>
      <c r="D40" s="204">
        <f t="shared" si="22"/>
        <v>0</v>
      </c>
      <c r="E40" s="204">
        <f t="shared" si="22"/>
        <v>0</v>
      </c>
      <c r="F40" s="204">
        <f t="shared" ref="F40:I40" si="23">SUM(F38:F39)</f>
        <v>0</v>
      </c>
      <c r="G40" s="204">
        <f t="shared" si="23"/>
        <v>0</v>
      </c>
      <c r="H40" s="204">
        <f t="shared" ref="H40" si="24">SUM(H38:H39)</f>
        <v>0</v>
      </c>
      <c r="I40" s="204">
        <f t="shared" si="23"/>
        <v>0</v>
      </c>
      <c r="J40" s="204">
        <f t="shared" si="22"/>
        <v>0</v>
      </c>
      <c r="K40" s="16">
        <f t="shared" si="18"/>
        <v>0</v>
      </c>
    </row>
    <row r="41" spans="1:11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6"/>
    </row>
    <row r="42" spans="1:11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6">
        <f>SUM(B42:J42)</f>
        <v>0</v>
      </c>
    </row>
    <row r="43" spans="1:11" x14ac:dyDescent="0.2">
      <c r="A43" s="43" t="s">
        <v>45</v>
      </c>
      <c r="B43" s="11">
        <f t="shared" ref="B43:J44" si="25">B28+B33+B38</f>
        <v>24794</v>
      </c>
      <c r="C43" s="11">
        <f t="shared" si="25"/>
        <v>5434595</v>
      </c>
      <c r="D43" s="11">
        <f t="shared" si="25"/>
        <v>115778</v>
      </c>
      <c r="E43" s="11">
        <f>E28+E33+E38</f>
        <v>0</v>
      </c>
      <c r="F43" s="11">
        <f t="shared" ref="F43:I43" si="26">F28+F33+F38</f>
        <v>0</v>
      </c>
      <c r="G43" s="11">
        <f t="shared" si="26"/>
        <v>0</v>
      </c>
      <c r="H43" s="11">
        <f t="shared" ref="H43" si="27">H28+H33+H38</f>
        <v>0</v>
      </c>
      <c r="I43" s="11">
        <f t="shared" si="26"/>
        <v>200838</v>
      </c>
      <c r="J43" s="11">
        <f t="shared" si="25"/>
        <v>267705</v>
      </c>
      <c r="K43" s="16">
        <f>SUM(B43:J43)</f>
        <v>6043710</v>
      </c>
    </row>
    <row r="44" spans="1:11" x14ac:dyDescent="0.2">
      <c r="A44" s="43" t="s">
        <v>38</v>
      </c>
      <c r="B44" s="7">
        <f t="shared" si="25"/>
        <v>554</v>
      </c>
      <c r="C44" s="7">
        <f t="shared" si="25"/>
        <v>222899</v>
      </c>
      <c r="D44" s="7">
        <f t="shared" si="25"/>
        <v>0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0</v>
      </c>
      <c r="K44" s="16">
        <f>SUM(B44:J44)</f>
        <v>223453</v>
      </c>
    </row>
    <row r="45" spans="1:11" ht="15.75" thickBot="1" x14ac:dyDescent="0.3">
      <c r="A45" s="44" t="s">
        <v>46</v>
      </c>
      <c r="B45" s="205">
        <f t="shared" ref="B45:J45" si="30">SUM(B43:B44)</f>
        <v>25348</v>
      </c>
      <c r="C45" s="205">
        <f t="shared" si="30"/>
        <v>5657494</v>
      </c>
      <c r="D45" s="205">
        <f t="shared" si="30"/>
        <v>115778</v>
      </c>
      <c r="E45" s="205">
        <f t="shared" si="30"/>
        <v>0</v>
      </c>
      <c r="F45" s="205">
        <f t="shared" ref="F45:I45" si="31">SUM(F43:F44)</f>
        <v>0</v>
      </c>
      <c r="G45" s="205">
        <f t="shared" si="31"/>
        <v>0</v>
      </c>
      <c r="H45" s="205">
        <f t="shared" ref="H45" si="32">SUM(H43:H44)</f>
        <v>0</v>
      </c>
      <c r="I45" s="205">
        <f t="shared" si="31"/>
        <v>200838</v>
      </c>
      <c r="J45" s="205">
        <f t="shared" si="30"/>
        <v>267705</v>
      </c>
      <c r="K45" s="206">
        <f>SUM(B45:J45)</f>
        <v>6267163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68" t="s">
        <v>120</v>
      </c>
      <c r="C47" s="231">
        <f>[3]Delta!$IW$70+[3]Delta!$IW$73</f>
        <v>489183</v>
      </c>
      <c r="D47" s="219"/>
      <c r="E47" s="219"/>
      <c r="F47" s="219"/>
      <c r="G47" s="219"/>
      <c r="H47" s="219"/>
      <c r="I47" s="219"/>
      <c r="J47" s="219"/>
      <c r="K47" s="220">
        <f>SUM(B47:J47)</f>
        <v>489183</v>
      </c>
    </row>
    <row r="48" spans="1:11" hidden="1" x14ac:dyDescent="0.2">
      <c r="A48" s="269" t="s">
        <v>121</v>
      </c>
      <c r="C48" s="231">
        <f>[3]Delta!$IW$71+[3]Delta!$IW$74</f>
        <v>336435</v>
      </c>
      <c r="D48" s="219"/>
      <c r="E48" s="219"/>
      <c r="F48" s="219"/>
      <c r="G48" s="219"/>
      <c r="H48" s="219"/>
      <c r="I48" s="219"/>
      <c r="J48" s="219"/>
      <c r="K48" s="220">
        <f>SUM(B48:J48)</f>
        <v>336435</v>
      </c>
    </row>
    <row r="49" spans="1:11" hidden="1" x14ac:dyDescent="0.2">
      <c r="A49" s="270" t="s">
        <v>122</v>
      </c>
      <c r="C49" s="232">
        <f>SUM(C47:C48)</f>
        <v>825618</v>
      </c>
      <c r="K49" s="220">
        <f>SUM(B49:J49)</f>
        <v>825618</v>
      </c>
    </row>
    <row r="50" spans="1:11" x14ac:dyDescent="0.2">
      <c r="A50" s="268" t="s">
        <v>120</v>
      </c>
      <c r="B50" s="279"/>
      <c r="C50" s="234">
        <f>[3]Delta!$IW$70+[3]Delta!$IW$73</f>
        <v>489183</v>
      </c>
      <c r="D50" s="279"/>
      <c r="E50" s="234">
        <f>[3]Spirit!$IW$70+[3]Spirit!$IW$73</f>
        <v>0</v>
      </c>
      <c r="F50" s="279"/>
      <c r="G50" s="279"/>
      <c r="H50" s="279"/>
      <c r="I50" s="279"/>
      <c r="J50" s="233">
        <f>'Other Major Airline Stats'!K48</f>
        <v>234347</v>
      </c>
      <c r="K50" s="223">
        <f>SUM(B50:J50)</f>
        <v>723530</v>
      </c>
    </row>
    <row r="51" spans="1:11" x14ac:dyDescent="0.2">
      <c r="A51" s="281" t="s">
        <v>121</v>
      </c>
      <c r="B51" s="279"/>
      <c r="C51" s="234">
        <f>[3]Delta!$IW$71+[3]Delta!$IW$74</f>
        <v>336435</v>
      </c>
      <c r="D51" s="279"/>
      <c r="E51" s="234">
        <f>[3]Spirit!$IW$71+[3]Spirit!$IW$74</f>
        <v>0</v>
      </c>
      <c r="F51" s="279"/>
      <c r="G51" s="279"/>
      <c r="H51" s="279"/>
      <c r="I51" s="279"/>
      <c r="J51" s="233">
        <f>+'Other Major Airline Stats'!K49</f>
        <v>740</v>
      </c>
      <c r="K51" s="223">
        <f>SUM(B51:J51)</f>
        <v>337175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April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D4" sqref="D4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45383</v>
      </c>
      <c r="B2" s="318" t="s">
        <v>47</v>
      </c>
      <c r="C2" s="317" t="s">
        <v>217</v>
      </c>
      <c r="D2" s="317" t="s">
        <v>194</v>
      </c>
      <c r="E2" s="317" t="s">
        <v>210</v>
      </c>
      <c r="F2" s="317" t="s">
        <v>232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[3]Frontier!$IW$22+[3]Frontier!$IW$32</f>
        <v>25627</v>
      </c>
      <c r="C5" s="89">
        <f>'[3]Allegiant '!$IW$22</f>
        <v>2409</v>
      </c>
      <c r="D5" s="89">
        <f>'[3]Aer Lingus'!$IW$22+'[3]Aer Lingus'!$IW$32</f>
        <v>104</v>
      </c>
      <c r="E5" s="89">
        <f>'[3]Denver Air'!$IW$22+'[3]Denver Air'!$IW$32</f>
        <v>806</v>
      </c>
      <c r="F5" s="89">
        <f>[3]WestJet!$IW$22+[3]WestJet!$IW$32</f>
        <v>4393</v>
      </c>
      <c r="G5" s="89">
        <f>[3]Icelandair!$IW$32</f>
        <v>2156</v>
      </c>
      <c r="H5" s="89">
        <f>[3]Southwest!$IW$22</f>
        <v>76010</v>
      </c>
      <c r="I5" s="89">
        <f>'[3]Sun Country'!$IW$22+'[3]Sun Country'!$IW$32</f>
        <v>191577</v>
      </c>
      <c r="J5" s="89">
        <f>[3]Alaska!$IW$22</f>
        <v>10453</v>
      </c>
      <c r="K5" s="112">
        <f>SUM(B5:J5)</f>
        <v>313535</v>
      </c>
      <c r="N5" s="89"/>
    </row>
    <row r="6" spans="1:14" x14ac:dyDescent="0.2">
      <c r="A6" s="43" t="s">
        <v>31</v>
      </c>
      <c r="B6" s="89">
        <f>[3]Frontier!$IW$23+[3]Frontier!$IW$33</f>
        <v>18807</v>
      </c>
      <c r="C6" s="89">
        <f>'[3]Allegiant '!$IW$23</f>
        <v>4085</v>
      </c>
      <c r="D6" s="89">
        <f>'[3]Aer Lingus'!$IW$23+'[3]Aer Lingus'!$IW$33</f>
        <v>156</v>
      </c>
      <c r="E6" s="89">
        <f>'[3]Denver Air'!$IW$23+'[3]Denver Air'!$IW$33</f>
        <v>831</v>
      </c>
      <c r="F6" s="89">
        <f>[3]WestJet!$IW$23+[3]WestJet!$IW$33</f>
        <v>4836</v>
      </c>
      <c r="G6" s="89">
        <f>[3]Icelandair!$IW$33</f>
        <v>2385</v>
      </c>
      <c r="H6" s="89">
        <f>[3]Southwest!$IW$23</f>
        <v>66558</v>
      </c>
      <c r="I6" s="89">
        <f>'[3]Sun Country'!$IW$23+'[3]Sun Country'!$IW$33</f>
        <v>168529</v>
      </c>
      <c r="J6" s="89">
        <f>[3]Alaska!$IW$23</f>
        <v>9274</v>
      </c>
      <c r="K6" s="112">
        <f>SUM(B6:J6)</f>
        <v>275461</v>
      </c>
    </row>
    <row r="7" spans="1:14" ht="15" x14ac:dyDescent="0.25">
      <c r="A7" s="41" t="s">
        <v>7</v>
      </c>
      <c r="B7" s="120">
        <f>SUM(B5:B6)</f>
        <v>44434</v>
      </c>
      <c r="C7" s="120">
        <f t="shared" ref="C7:F7" si="0">SUM(C5:C6)</f>
        <v>6494</v>
      </c>
      <c r="D7" s="120">
        <f>SUM(D5:D6)</f>
        <v>260</v>
      </c>
      <c r="E7" s="120">
        <f>SUM(E5:E6)</f>
        <v>1637</v>
      </c>
      <c r="F7" s="120">
        <f t="shared" si="0"/>
        <v>9229</v>
      </c>
      <c r="G7" s="120">
        <f t="shared" ref="G7:J7" si="1">SUM(G5:G6)</f>
        <v>4541</v>
      </c>
      <c r="H7" s="120">
        <f t="shared" si="1"/>
        <v>142568</v>
      </c>
      <c r="I7" s="120">
        <f>SUM(I5:I6)</f>
        <v>360106</v>
      </c>
      <c r="J7" s="120">
        <f t="shared" si="1"/>
        <v>19727</v>
      </c>
      <c r="K7" s="121">
        <f>SUM(B7:J7)</f>
        <v>588996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[3]Frontier!$IW$27+[3]Frontier!$IW$37</f>
        <v>141</v>
      </c>
      <c r="C10" s="119">
        <f>'[3]Allegiant '!$IW$27</f>
        <v>0</v>
      </c>
      <c r="D10" s="351">
        <f>'[3]Aer Lingus'!$IW$27+'[3]Aer Lingus'!$IW$37</f>
        <v>1</v>
      </c>
      <c r="E10" s="119">
        <f>'[3]Denver Air'!$IW$27+'[3]Denver Air'!$IW$37</f>
        <v>23</v>
      </c>
      <c r="F10" s="119">
        <f>[3]WestJet!$IW$27+[3]WestJet!$IW$37</f>
        <v>2</v>
      </c>
      <c r="G10" s="119">
        <f>[3]Icelandair!$IW$37</f>
        <v>25</v>
      </c>
      <c r="H10" s="119">
        <f>[3]Southwest!$IW$27</f>
        <v>1597</v>
      </c>
      <c r="I10" s="119">
        <f>'[3]Sun Country'!$IW$27+'[3]Sun Country'!$IW$37</f>
        <v>1354</v>
      </c>
      <c r="J10" s="119">
        <f>[3]Alaska!$IW$27</f>
        <v>417</v>
      </c>
      <c r="K10" s="112">
        <f>SUM(B10:J10)</f>
        <v>3560</v>
      </c>
    </row>
    <row r="11" spans="1:14" x14ac:dyDescent="0.2">
      <c r="A11" s="43" t="s">
        <v>33</v>
      </c>
      <c r="B11" s="122">
        <f>[3]Frontier!$IW$28+[3]Frontier!$IW$38</f>
        <v>111</v>
      </c>
      <c r="C11" s="122">
        <f>'[3]Allegiant '!$IW$28</f>
        <v>0</v>
      </c>
      <c r="D11" s="122">
        <f>'[3]Aer Lingus'!$IW$28+'[3]Aer Lingus'!$IW$38</f>
        <v>2</v>
      </c>
      <c r="E11" s="122">
        <f>'[3]Denver Air'!$IW$28+'[3]Denver Air'!$IW$38</f>
        <v>21</v>
      </c>
      <c r="F11" s="122">
        <f>[3]WestJet!$IW$28+[3]WestJet!$IW$38</f>
        <v>1</v>
      </c>
      <c r="G11" s="122">
        <f>[3]Icelandair!$IW$38</f>
        <v>20</v>
      </c>
      <c r="H11" s="122">
        <f>[3]Southwest!$IW$28</f>
        <v>1807</v>
      </c>
      <c r="I11" s="122">
        <f>'[3]Sun Country'!$IW$28+'[3]Sun Country'!$IW$38</f>
        <v>2986</v>
      </c>
      <c r="J11" s="122">
        <f>[3]Alaska!$IW$28</f>
        <v>477</v>
      </c>
      <c r="K11" s="112">
        <f>SUM(B11:J11)</f>
        <v>5425</v>
      </c>
    </row>
    <row r="12" spans="1:14" ht="15.75" thickBot="1" x14ac:dyDescent="0.3">
      <c r="A12" s="44" t="s">
        <v>34</v>
      </c>
      <c r="B12" s="115">
        <f>SUM(B10:B11)</f>
        <v>252</v>
      </c>
      <c r="C12" s="115">
        <f t="shared" ref="C12:F12" si="2">SUM(C10:C11)</f>
        <v>0</v>
      </c>
      <c r="D12" s="115">
        <f>SUM(D10:D11)</f>
        <v>3</v>
      </c>
      <c r="E12" s="115">
        <f>SUM(E10:E11)</f>
        <v>44</v>
      </c>
      <c r="F12" s="115">
        <f t="shared" si="2"/>
        <v>3</v>
      </c>
      <c r="G12" s="115">
        <f t="shared" ref="G12:J12" si="3">SUM(G10:G11)</f>
        <v>45</v>
      </c>
      <c r="H12" s="115">
        <f t="shared" si="3"/>
        <v>3404</v>
      </c>
      <c r="I12" s="115">
        <f>SUM(I10:I11)</f>
        <v>4340</v>
      </c>
      <c r="J12" s="115">
        <f t="shared" si="3"/>
        <v>894</v>
      </c>
      <c r="K12" s="123">
        <f>SUM(B12:J12)</f>
        <v>8985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[3]Frontier!$IW$4+[3]Frontier!$IW$15</f>
        <v>156</v>
      </c>
      <c r="C16" s="79">
        <f>'[3]Allegiant '!$IW$4</f>
        <v>28</v>
      </c>
      <c r="D16" s="89">
        <f>'[3]Aer Lingus'!$IW$4+'[3]Aer Lingus'!$IW$15</f>
        <v>1</v>
      </c>
      <c r="E16" s="89">
        <f>'[3]Denver Air'!$IW$4+'[3]Denver Air'!$IW$15</f>
        <v>86</v>
      </c>
      <c r="F16" s="79">
        <f>[3]WestJet!$IW$4+[3]WestJet!$IW$15</f>
        <v>42</v>
      </c>
      <c r="G16" s="89">
        <f>[3]Icelandair!$IW$15</f>
        <v>16</v>
      </c>
      <c r="H16" s="79">
        <f>[3]Southwest!$IW$4</f>
        <v>619</v>
      </c>
      <c r="I16" s="89">
        <f>'[3]Sun Country'!$IW$4+'[3]Sun Country'!$IW$15</f>
        <v>1223</v>
      </c>
      <c r="J16" s="89">
        <f>[3]Alaska!$IW$4</f>
        <v>79</v>
      </c>
      <c r="K16" s="112">
        <f>SUM(B16:J16)</f>
        <v>2250</v>
      </c>
    </row>
    <row r="17" spans="1:258" x14ac:dyDescent="0.2">
      <c r="A17" s="43" t="s">
        <v>23</v>
      </c>
      <c r="B17" s="89">
        <f>[3]Frontier!$IW$5+[3]Frontier!$IW$16</f>
        <v>156</v>
      </c>
      <c r="C17" s="79">
        <f>'[3]Allegiant '!$IW$5</f>
        <v>28</v>
      </c>
      <c r="D17" s="89">
        <f>'[3]Aer Lingus'!$IW$5+'[3]Aer Lingus'!$IW$16</f>
        <v>1</v>
      </c>
      <c r="E17" s="89">
        <f>'[3]Denver Air'!$IW$5+'[3]Denver Air'!$IW$16</f>
        <v>86</v>
      </c>
      <c r="F17" s="79">
        <f>[3]WestJet!$IW$5+[3]WestJet!$IW$16</f>
        <v>42</v>
      </c>
      <c r="G17" s="89">
        <f>[3]Icelandair!$IW$16</f>
        <v>16</v>
      </c>
      <c r="H17" s="79">
        <f>[3]Southwest!$IW$5</f>
        <v>617</v>
      </c>
      <c r="I17" s="89">
        <f>'[3]Sun Country'!$IW$5+'[3]Sun Country'!$IW$16</f>
        <v>1222</v>
      </c>
      <c r="J17" s="89">
        <f>[3]Alaska!$IW$5</f>
        <v>78</v>
      </c>
      <c r="K17" s="112">
        <f>SUM(B17:J17)</f>
        <v>2246</v>
      </c>
    </row>
    <row r="18" spans="1:258" x14ac:dyDescent="0.2">
      <c r="A18" s="47" t="s">
        <v>24</v>
      </c>
      <c r="B18" s="113">
        <f t="shared" ref="B18" si="4">SUM(B16:B17)</f>
        <v>312</v>
      </c>
      <c r="C18" s="113">
        <f t="shared" ref="C18:F18" si="5">SUM(C16:C17)</f>
        <v>56</v>
      </c>
      <c r="D18" s="113">
        <f t="shared" si="5"/>
        <v>2</v>
      </c>
      <c r="E18" s="113">
        <f t="shared" si="5"/>
        <v>172</v>
      </c>
      <c r="F18" s="113">
        <f t="shared" si="5"/>
        <v>84</v>
      </c>
      <c r="G18" s="113">
        <f t="shared" ref="G18:J18" si="6">SUM(G16:G17)</f>
        <v>32</v>
      </c>
      <c r="H18" s="113">
        <f t="shared" si="6"/>
        <v>1236</v>
      </c>
      <c r="I18" s="113">
        <f t="shared" si="6"/>
        <v>2445</v>
      </c>
      <c r="J18" s="113">
        <f t="shared" si="6"/>
        <v>157</v>
      </c>
      <c r="K18" s="114">
        <f>SUM(B18:J18)</f>
        <v>4496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[3]Frontier!$IW$8</f>
        <v>0</v>
      </c>
      <c r="C20" s="89">
        <f>'[3]Allegiant '!$IW$8</f>
        <v>0</v>
      </c>
      <c r="D20" s="89">
        <f>'[3]Aer Lingus'!$IW$8</f>
        <v>0</v>
      </c>
      <c r="E20" s="89">
        <f>'[3]Denver Air'!$IW$8</f>
        <v>0</v>
      </c>
      <c r="F20" s="89">
        <f>[3]WestJet!$IW$8</f>
        <v>0</v>
      </c>
      <c r="G20" s="89">
        <f>[3]Icelandair!$IW$8</f>
        <v>0</v>
      </c>
      <c r="H20" s="89">
        <f>[3]Southwest!$IW$8</f>
        <v>0</v>
      </c>
      <c r="I20" s="89">
        <f>'[3]Sun Country'!$IW$8</f>
        <v>37</v>
      </c>
      <c r="J20" s="89">
        <f>[3]Alaska!$IW$8</f>
        <v>0</v>
      </c>
      <c r="K20" s="112">
        <f>SUM(B20:J20)</f>
        <v>37</v>
      </c>
    </row>
    <row r="21" spans="1:258" x14ac:dyDescent="0.2">
      <c r="A21" s="43" t="s">
        <v>26</v>
      </c>
      <c r="B21" s="89">
        <f>[3]Frontier!$IW$9</f>
        <v>0</v>
      </c>
      <c r="C21" s="89">
        <f>'[3]Allegiant '!$IW$9</f>
        <v>0</v>
      </c>
      <c r="D21" s="89">
        <f>'[3]Aer Lingus'!$IW$9</f>
        <v>0</v>
      </c>
      <c r="E21" s="89">
        <f>'[3]Denver Air'!$IW$9</f>
        <v>0</v>
      </c>
      <c r="F21" s="89">
        <f>[3]WestJet!$IW$9</f>
        <v>0</v>
      </c>
      <c r="G21" s="89">
        <f>[3]Icelandair!$IW$9</f>
        <v>0</v>
      </c>
      <c r="H21" s="89">
        <f>[3]Southwest!$IW$9</f>
        <v>0</v>
      </c>
      <c r="I21" s="89">
        <f>'[3]Sun Country'!$IW$9</f>
        <v>39</v>
      </c>
      <c r="J21" s="89">
        <f>[3]Alaska!$IW$9</f>
        <v>0</v>
      </c>
      <c r="K21" s="112">
        <f>SUM(B21:J21)</f>
        <v>39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76</v>
      </c>
      <c r="J22" s="113">
        <f t="shared" si="9"/>
        <v>0</v>
      </c>
      <c r="K22" s="114">
        <f>SUM(B22:J22)</f>
        <v>76</v>
      </c>
    </row>
    <row r="23" spans="1:258" ht="15.75" thickBot="1" x14ac:dyDescent="0.3">
      <c r="A23" s="44" t="s">
        <v>28</v>
      </c>
      <c r="B23" s="115">
        <f t="shared" ref="B23" si="10">B22+B18</f>
        <v>312</v>
      </c>
      <c r="C23" s="115">
        <f t="shared" ref="C23:F23" si="11">C22+C18</f>
        <v>56</v>
      </c>
      <c r="D23" s="115">
        <f t="shared" si="11"/>
        <v>2</v>
      </c>
      <c r="E23" s="115">
        <f t="shared" si="11"/>
        <v>172</v>
      </c>
      <c r="F23" s="115">
        <f t="shared" si="11"/>
        <v>84</v>
      </c>
      <c r="G23" s="115">
        <f t="shared" ref="G23:J23" si="12">G22+G18</f>
        <v>32</v>
      </c>
      <c r="H23" s="115">
        <f t="shared" si="12"/>
        <v>1236</v>
      </c>
      <c r="I23" s="115">
        <f>I22+I18</f>
        <v>2521</v>
      </c>
      <c r="J23" s="115">
        <f t="shared" si="12"/>
        <v>157</v>
      </c>
      <c r="K23" s="116">
        <f>SUM(B23:J23)</f>
        <v>4572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[3]Frontier!$IW$47</f>
        <v>0</v>
      </c>
      <c r="C28" s="89">
        <f>'[3]Allegiant '!$IW$47</f>
        <v>0</v>
      </c>
      <c r="D28" s="89">
        <f>'[3]Aer Lingus'!$IW$47</f>
        <v>0</v>
      </c>
      <c r="E28" s="89">
        <f>'[3]Denver Air'!$IW$47</f>
        <v>0</v>
      </c>
      <c r="F28" s="89">
        <f>[3]WestJet!$IW$47</f>
        <v>0</v>
      </c>
      <c r="G28" s="89">
        <f>[3]Icelandair!$IW$47</f>
        <v>1556</v>
      </c>
      <c r="H28" s="89">
        <f>[3]Southwest!$IW$47</f>
        <v>201363</v>
      </c>
      <c r="I28" s="89">
        <f>'[3]Sun Country'!$IW$47</f>
        <v>0</v>
      </c>
      <c r="J28" s="89">
        <f>[3]Alaska!$IW$47</f>
        <v>15934</v>
      </c>
      <c r="K28" s="112">
        <f>SUM(B28:J28)</f>
        <v>218853</v>
      </c>
    </row>
    <row r="29" spans="1:258" x14ac:dyDescent="0.2">
      <c r="A29" s="43" t="s">
        <v>38</v>
      </c>
      <c r="B29" s="89">
        <f>[3]Frontier!$IW$48</f>
        <v>0</v>
      </c>
      <c r="C29" s="89">
        <f>'[3]Allegiant '!$IW$48</f>
        <v>0</v>
      </c>
      <c r="D29" s="89">
        <f>'[3]Aer Lingus'!$IW$48</f>
        <v>0</v>
      </c>
      <c r="E29" s="89">
        <f>'[3]Denver Air'!$IW$48</f>
        <v>0</v>
      </c>
      <c r="F29" s="89">
        <f>[3]WestJet!$IW$48</f>
        <v>0</v>
      </c>
      <c r="G29" s="89">
        <f>[3]Icelandair!$IW$48</f>
        <v>0</v>
      </c>
      <c r="H29" s="89">
        <f>[3]Southwest!$IW$48</f>
        <v>0</v>
      </c>
      <c r="I29" s="89">
        <f>'[3]Sun Country'!$IW$48</f>
        <v>0</v>
      </c>
      <c r="J29" s="89">
        <f>[3]Alaska!$IW$48</f>
        <v>0</v>
      </c>
      <c r="K29" s="112">
        <f>SUM(B29:J29)</f>
        <v>0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1556</v>
      </c>
      <c r="H30" s="127">
        <f t="shared" si="15"/>
        <v>201363</v>
      </c>
      <c r="I30" s="127">
        <f t="shared" si="15"/>
        <v>0</v>
      </c>
      <c r="J30" s="127">
        <f t="shared" si="15"/>
        <v>15934</v>
      </c>
      <c r="K30" s="129">
        <f>SUM(B30:J30)</f>
        <v>218853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[3]Frontier!$IW$52</f>
        <v>0</v>
      </c>
      <c r="C33" s="89">
        <f>'[3]Allegiant '!$IW$52</f>
        <v>0</v>
      </c>
      <c r="D33" s="89">
        <f>'[3]Aer Lingus'!$IW$52</f>
        <v>0</v>
      </c>
      <c r="E33" s="89">
        <f>'[3]Denver Air'!$IW$52</f>
        <v>0</v>
      </c>
      <c r="F33" s="89">
        <f>[3]WestJet!$IW$52</f>
        <v>0</v>
      </c>
      <c r="G33" s="89">
        <f>[3]Icelandair!$IW$52</f>
        <v>0</v>
      </c>
      <c r="H33" s="89">
        <f>[3]Southwest!$IW$52</f>
        <v>41581</v>
      </c>
      <c r="I33" s="89">
        <f>'[3]Sun Country'!$IW$52</f>
        <v>0</v>
      </c>
      <c r="J33" s="89">
        <f>[3]Alaska!$IW$52</f>
        <v>7271</v>
      </c>
      <c r="K33" s="112">
        <f>SUM(B33:J33)</f>
        <v>48852</v>
      </c>
    </row>
    <row r="34" spans="1:11" x14ac:dyDescent="0.2">
      <c r="A34" s="43" t="s">
        <v>38</v>
      </c>
      <c r="B34" s="89">
        <f>[3]Frontier!$IW$53</f>
        <v>0</v>
      </c>
      <c r="C34" s="89">
        <f>'[3]Allegiant '!$IW$53</f>
        <v>0</v>
      </c>
      <c r="D34" s="89">
        <f>'[3]Aer Lingus'!$IW$53</f>
        <v>0</v>
      </c>
      <c r="E34" s="89">
        <f>'[3]Denver Air'!$IW$53</f>
        <v>0</v>
      </c>
      <c r="F34" s="89">
        <f>[3]WestJet!$IW$53</f>
        <v>0</v>
      </c>
      <c r="G34" s="89">
        <f>[3]Icelandair!$IW$53</f>
        <v>0</v>
      </c>
      <c r="H34" s="89">
        <f>[3]Southwest!$IW$53</f>
        <v>0</v>
      </c>
      <c r="I34" s="89">
        <f>'[3]Sun Country'!$IW$53</f>
        <v>0</v>
      </c>
      <c r="J34" s="89">
        <f>[3]Alaska!$IW$53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41581</v>
      </c>
      <c r="I35" s="113">
        <f t="shared" si="18"/>
        <v>0</v>
      </c>
      <c r="J35" s="113">
        <f t="shared" si="18"/>
        <v>7271</v>
      </c>
      <c r="K35" s="129">
        <f>SUM(B35:J35)</f>
        <v>48852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[3]Frontier!$IW$57</f>
        <v>0</v>
      </c>
      <c r="C38" s="119">
        <f>'[3]Allegiant '!$IW$57</f>
        <v>0</v>
      </c>
      <c r="D38" s="351">
        <f>'[3]Aer Lingus'!$IW$57</f>
        <v>0</v>
      </c>
      <c r="E38" s="119">
        <f>'[3]Denver Air'!$IW$57</f>
        <v>0</v>
      </c>
      <c r="F38" s="119">
        <f>[3]WestJet!$IW$57</f>
        <v>0</v>
      </c>
      <c r="G38" s="119">
        <f>[3]Icelandair!$IW$57</f>
        <v>0</v>
      </c>
      <c r="H38" s="119">
        <f>[3]Southwest!$IW$57</f>
        <v>0</v>
      </c>
      <c r="I38" s="119">
        <f>'[3]Sun Country'!$IW$57</f>
        <v>0</v>
      </c>
      <c r="J38" s="119">
        <f>[3]Alaska!$IW$57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[3]Frontier!$IW$58</f>
        <v>0</v>
      </c>
      <c r="C39" s="122">
        <f>'[3]Allegiant '!$IW$58</f>
        <v>0</v>
      </c>
      <c r="D39" s="122">
        <f>'[3]Aer Lingus'!$IW$58</f>
        <v>0</v>
      </c>
      <c r="E39" s="122">
        <f>'[3]Denver Air'!$IW$58</f>
        <v>0</v>
      </c>
      <c r="F39" s="122">
        <f>[3]WestJet!$IW$58</f>
        <v>0</v>
      </c>
      <c r="G39" s="122">
        <f>[3]Icelandair!$IW$58</f>
        <v>0</v>
      </c>
      <c r="H39" s="122">
        <f>[3]Southwest!$IW$58</f>
        <v>0</v>
      </c>
      <c r="I39" s="122">
        <f>'[3]Sun Country'!$IW$58</f>
        <v>0</v>
      </c>
      <c r="J39" s="122">
        <f>[3]Alaska!$IW$58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1556</v>
      </c>
      <c r="H43" s="119">
        <f t="shared" si="24"/>
        <v>242944</v>
      </c>
      <c r="I43" s="119">
        <f t="shared" si="24"/>
        <v>0</v>
      </c>
      <c r="J43" s="119">
        <f t="shared" si="24"/>
        <v>23205</v>
      </c>
      <c r="K43" s="112">
        <f>SUM(B43:J43)</f>
        <v>267705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0</v>
      </c>
      <c r="K44" s="112">
        <f>SUM(B44:J44)</f>
        <v>0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1556</v>
      </c>
      <c r="H45" s="131">
        <f t="shared" si="30"/>
        <v>242944</v>
      </c>
      <c r="I45" s="131">
        <f t="shared" si="30"/>
        <v>0</v>
      </c>
      <c r="J45" s="131">
        <f t="shared" si="30"/>
        <v>23205</v>
      </c>
      <c r="K45" s="132">
        <f>SUM(B45:J45)</f>
        <v>267705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[3]Southwest!$IW$70+[3]Southwest!$IW$73</f>
        <v>65818</v>
      </c>
      <c r="I48" s="234">
        <f>'[3]Sun Country'!$IW$70+'[3]Sun Country'!$IW$73</f>
        <v>168529</v>
      </c>
      <c r="J48" s="279"/>
      <c r="K48" s="223">
        <f>SUM(B48:J48)</f>
        <v>234347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[3]Southwest!$IW$71+[3]Southwest!$IW$74</f>
        <v>740</v>
      </c>
      <c r="I49" s="234">
        <f>'[3]Sun Country'!$IW$71+'[3]Sun Country'!$IW$74</f>
        <v>0</v>
      </c>
      <c r="J49" s="279"/>
      <c r="K49" s="223">
        <f>SUM(B49:J49)</f>
        <v>740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&amp;"Arial,Bold"&amp;[Tab
April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G6" sqref="G6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45383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[3]Pinnacle!$IW$22+[3]Pinnacle!$IW$32</f>
        <v>44663</v>
      </c>
      <c r="C5" s="81">
        <f>[3]MESA_UA!$IW$22</f>
        <v>3919</v>
      </c>
      <c r="D5" s="89">
        <f>'[3]Sky West'!$IW$22+'[3]Sky West'!$IW$32</f>
        <v>119896</v>
      </c>
      <c r="E5" s="89">
        <f>'[3]Sky West_UA'!$IW$22</f>
        <v>4135</v>
      </c>
      <c r="F5" s="89">
        <f>'[3]Sky West_AS'!$IW$22</f>
        <v>0</v>
      </c>
      <c r="G5" s="89">
        <f>'[3]Sky West_AA'!$IW$22</f>
        <v>0</v>
      </c>
      <c r="H5" s="89">
        <f>[3]Republic!$IW$22</f>
        <v>3066</v>
      </c>
      <c r="I5" s="89">
        <f>[3]Republic_UA!$IW$22</f>
        <v>2777</v>
      </c>
      <c r="J5" s="89">
        <f>'[3]Sky Regional'!$IW$32</f>
        <v>0</v>
      </c>
      <c r="K5" s="89">
        <f>'[3]American Eagle'!$IW$22</f>
        <v>7231</v>
      </c>
      <c r="L5" s="89">
        <f>'Other Regional'!L5</f>
        <v>11121</v>
      </c>
      <c r="M5" s="82">
        <f>SUM(B5:L5)</f>
        <v>196808</v>
      </c>
    </row>
    <row r="6" spans="1:16" s="6" customFormat="1" x14ac:dyDescent="0.2">
      <c r="A6" s="43" t="s">
        <v>31</v>
      </c>
      <c r="B6" s="81">
        <f>[3]Pinnacle!$IW$23+[3]Pinnacle!$IW$33</f>
        <v>44293</v>
      </c>
      <c r="C6" s="81">
        <f>[3]MESA_UA!$IW$23</f>
        <v>3527</v>
      </c>
      <c r="D6" s="89">
        <f>'[3]Sky West'!$IW$23+'[3]Sky West'!$IW$33</f>
        <v>123591</v>
      </c>
      <c r="E6" s="89">
        <f>'[3]Sky West_UA'!$IW$23</f>
        <v>3881</v>
      </c>
      <c r="F6" s="89">
        <f>'[3]Sky West_AS'!$IW$23</f>
        <v>0</v>
      </c>
      <c r="G6" s="89">
        <f>'[3]Sky West_AA'!$IW$23</f>
        <v>0</v>
      </c>
      <c r="H6" s="89">
        <f>[3]Republic!$IW$23</f>
        <v>3191</v>
      </c>
      <c r="I6" s="89">
        <f>[3]Republic_UA!$IW$23</f>
        <v>2754</v>
      </c>
      <c r="J6" s="89">
        <f>'[3]Sky Regional'!$IW$33</f>
        <v>0</v>
      </c>
      <c r="K6" s="89">
        <f>'[3]American Eagle'!$IW$23</f>
        <v>7318</v>
      </c>
      <c r="L6" s="89">
        <f>'Other Regional'!L6</f>
        <v>9559</v>
      </c>
      <c r="M6" s="86">
        <f>SUM(B6:L6)</f>
        <v>198114</v>
      </c>
    </row>
    <row r="7" spans="1:16" ht="15" thickBot="1" x14ac:dyDescent="0.25">
      <c r="A7" s="52" t="s">
        <v>7</v>
      </c>
      <c r="B7" s="99">
        <f>SUM(B5:B6)</f>
        <v>88956</v>
      </c>
      <c r="C7" s="99">
        <f t="shared" ref="C7:L7" si="0">SUM(C5:C6)</f>
        <v>7446</v>
      </c>
      <c r="D7" s="99">
        <f t="shared" si="0"/>
        <v>243487</v>
      </c>
      <c r="E7" s="99">
        <f t="shared" si="0"/>
        <v>8016</v>
      </c>
      <c r="F7" s="99">
        <f t="shared" ref="F7:G7" si="1">SUM(F5:F6)</f>
        <v>0</v>
      </c>
      <c r="G7" s="99">
        <f t="shared" si="1"/>
        <v>0</v>
      </c>
      <c r="H7" s="99">
        <f t="shared" si="0"/>
        <v>6257</v>
      </c>
      <c r="I7" s="99">
        <f t="shared" si="0"/>
        <v>5531</v>
      </c>
      <c r="J7" s="99">
        <f t="shared" si="0"/>
        <v>0</v>
      </c>
      <c r="K7" s="99">
        <f t="shared" si="0"/>
        <v>14549</v>
      </c>
      <c r="L7" s="99">
        <f t="shared" si="0"/>
        <v>20680</v>
      </c>
      <c r="M7" s="100">
        <f>SUM(B7:L7)</f>
        <v>394922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[3]Pinnacle!$IW$27+[3]Pinnacle!$IW$37</f>
        <v>1272</v>
      </c>
      <c r="C10" s="81">
        <f>[3]MESA_UA!$IW$27</f>
        <v>155</v>
      </c>
      <c r="D10" s="89">
        <f>'[3]Sky West'!$IW$27+'[3]Sky West'!$IW$37</f>
        <v>4175</v>
      </c>
      <c r="E10" s="89">
        <f>'[3]Sky West_UA'!$IW$27</f>
        <v>170</v>
      </c>
      <c r="F10" s="89">
        <f>'[3]Sky West_AS'!$IW$27</f>
        <v>0</v>
      </c>
      <c r="G10" s="89">
        <f>'[3]Sky West_AA'!$IW$27</f>
        <v>0</v>
      </c>
      <c r="H10" s="89">
        <f>[3]Republic!$IW$27</f>
        <v>127</v>
      </c>
      <c r="I10" s="89">
        <f>[3]Republic_UA!$IW$27</f>
        <v>98</v>
      </c>
      <c r="J10" s="89">
        <f>'[3]Sky Regional'!$IW$37</f>
        <v>0</v>
      </c>
      <c r="K10" s="89">
        <f>'[3]American Eagle'!$IW$27</f>
        <v>291</v>
      </c>
      <c r="L10" s="89">
        <f>'Other Regional'!L10</f>
        <v>201</v>
      </c>
      <c r="M10" s="82">
        <f>SUM(B10:L10)</f>
        <v>6489</v>
      </c>
    </row>
    <row r="11" spans="1:16" x14ac:dyDescent="0.2">
      <c r="A11" s="43" t="s">
        <v>33</v>
      </c>
      <c r="B11" s="81">
        <f>[3]Pinnacle!$IW$28+[3]Pinnacle!$IW$38</f>
        <v>1356</v>
      </c>
      <c r="C11" s="81">
        <f>[3]MESA_UA!$IW$28</f>
        <v>152</v>
      </c>
      <c r="D11" s="89">
        <f>'[3]Sky West'!$IW$28+'[3]Sky West'!$IW$38</f>
        <v>4000</v>
      </c>
      <c r="E11" s="89">
        <f>'[3]Sky West_UA'!$IW$28</f>
        <v>170</v>
      </c>
      <c r="F11" s="89">
        <f>'[3]Sky West_AS'!$IW$28</f>
        <v>0</v>
      </c>
      <c r="G11" s="89">
        <f>'[3]Sky West_AA'!$IW$28</f>
        <v>0</v>
      </c>
      <c r="H11" s="89">
        <f>[3]Republic!$IW$28</f>
        <v>165</v>
      </c>
      <c r="I11" s="89">
        <f>[3]Republic_UA!$IW$28</f>
        <v>82</v>
      </c>
      <c r="J11" s="89">
        <f>'[3]Sky Regional'!$IW$38</f>
        <v>0</v>
      </c>
      <c r="K11" s="89">
        <f>'[3]American Eagle'!$IW$28</f>
        <v>269</v>
      </c>
      <c r="L11" s="89">
        <f>'Other Regional'!L11</f>
        <v>217</v>
      </c>
      <c r="M11" s="86">
        <f>SUM(B11:L11)</f>
        <v>6411</v>
      </c>
    </row>
    <row r="12" spans="1:16" ht="15" thickBot="1" x14ac:dyDescent="0.25">
      <c r="A12" s="53" t="s">
        <v>34</v>
      </c>
      <c r="B12" s="102">
        <f t="shared" ref="B12:L12" si="2">SUM(B10:B11)</f>
        <v>2628</v>
      </c>
      <c r="C12" s="102">
        <f t="shared" si="2"/>
        <v>307</v>
      </c>
      <c r="D12" s="102">
        <f t="shared" si="2"/>
        <v>8175</v>
      </c>
      <c r="E12" s="102">
        <f t="shared" si="2"/>
        <v>340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292</v>
      </c>
      <c r="I12" s="102">
        <f t="shared" si="2"/>
        <v>180</v>
      </c>
      <c r="J12" s="102">
        <f t="shared" si="2"/>
        <v>0</v>
      </c>
      <c r="K12" s="102">
        <f t="shared" si="2"/>
        <v>560</v>
      </c>
      <c r="L12" s="102">
        <f t="shared" si="2"/>
        <v>418</v>
      </c>
      <c r="M12" s="103">
        <f>SUM(B12:L12)</f>
        <v>12900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9" t="s">
        <v>234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[3]Pinnacle!$IW$4+[3]Pinnacle!$IW$15</f>
        <v>679</v>
      </c>
      <c r="C15" s="80">
        <f>[3]MESA_UA!$IW$4</f>
        <v>64</v>
      </c>
      <c r="D15" s="79">
        <f>'[3]Sky West'!$IW$4+'[3]Sky West'!$IW$15</f>
        <v>2207</v>
      </c>
      <c r="E15" s="79">
        <f>'[3]Sky West_UA'!$IW$4</f>
        <v>65</v>
      </c>
      <c r="F15" s="79">
        <f>'[3]Sky West_AS'!$IW$4</f>
        <v>0</v>
      </c>
      <c r="G15" s="79">
        <f>'[3]Sky West_AA'!$IW$4</f>
        <v>0</v>
      </c>
      <c r="H15" s="81">
        <f>[3]Republic!$IW$4</f>
        <v>54</v>
      </c>
      <c r="I15" s="325">
        <f>[3]Republic_UA!$IW$4</f>
        <v>41</v>
      </c>
      <c r="J15" s="325">
        <f>'[3]Sky Regional'!$IW$15</f>
        <v>0</v>
      </c>
      <c r="K15" s="81">
        <f>'[3]American Eagle'!$IW$4</f>
        <v>107</v>
      </c>
      <c r="L15" s="80">
        <f>'Other Regional'!L15</f>
        <v>179</v>
      </c>
      <c r="M15" s="82">
        <f t="shared" ref="M15:M20" si="5">SUM(B15:L15)</f>
        <v>3396</v>
      </c>
    </row>
    <row r="16" spans="1:16" x14ac:dyDescent="0.2">
      <c r="A16" s="43" t="s">
        <v>54</v>
      </c>
      <c r="B16" s="7">
        <f>[3]Pinnacle!$IW$5+[3]Pinnacle!$IW$16</f>
        <v>680</v>
      </c>
      <c r="C16" s="84">
        <f>[3]MESA_UA!$IW$5</f>
        <v>64</v>
      </c>
      <c r="D16" s="83">
        <f>'[3]Sky West'!$IW$5+'[3]Sky West'!$IW$16</f>
        <v>2210</v>
      </c>
      <c r="E16" s="83">
        <f>'[3]Sky West_UA'!$IW$5</f>
        <v>64</v>
      </c>
      <c r="F16" s="83">
        <f>'[3]Sky West_AS'!$IW$5</f>
        <v>0</v>
      </c>
      <c r="G16" s="83">
        <f>'[3]Sky West_AA'!$IW$5</f>
        <v>0</v>
      </c>
      <c r="H16" s="85">
        <f>[3]Republic!$IW$5</f>
        <v>54</v>
      </c>
      <c r="I16" s="210">
        <f>[3]Republic_UA!$IW$5</f>
        <v>41</v>
      </c>
      <c r="J16" s="210">
        <f>'[3]Sky Regional'!$IW$16</f>
        <v>0</v>
      </c>
      <c r="K16" s="85">
        <f>'[3]American Eagle'!$IW$5</f>
        <v>107</v>
      </c>
      <c r="L16" s="84">
        <f>'Other Regional'!L16</f>
        <v>178</v>
      </c>
      <c r="M16" s="86">
        <f t="shared" si="5"/>
        <v>3398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1359</v>
      </c>
      <c r="C17" s="87">
        <f t="shared" si="6"/>
        <v>128</v>
      </c>
      <c r="D17" s="87">
        <f t="shared" si="6"/>
        <v>4417</v>
      </c>
      <c r="E17" s="87">
        <f t="shared" si="6"/>
        <v>129</v>
      </c>
      <c r="F17" s="87">
        <f t="shared" ref="F17:G17" si="7">SUM(F15:F16)</f>
        <v>0</v>
      </c>
      <c r="G17" s="87">
        <f t="shared" si="7"/>
        <v>0</v>
      </c>
      <c r="H17" s="87">
        <f>SUM(H15:H16)</f>
        <v>108</v>
      </c>
      <c r="I17" s="87">
        <f t="shared" ref="I17:J17" si="8">SUM(I15:I16)</f>
        <v>82</v>
      </c>
      <c r="J17" s="87">
        <f t="shared" si="8"/>
        <v>0</v>
      </c>
      <c r="K17" s="87">
        <f>SUM(K15:K16)</f>
        <v>214</v>
      </c>
      <c r="L17" s="87">
        <f>SUM(L15:L16)</f>
        <v>357</v>
      </c>
      <c r="M17" s="88">
        <f t="shared" si="5"/>
        <v>6794</v>
      </c>
    </row>
    <row r="18" spans="1:13" x14ac:dyDescent="0.2">
      <c r="A18" s="43" t="s">
        <v>56</v>
      </c>
      <c r="B18" s="89">
        <f>[3]Pinnacle!$IW$8</f>
        <v>1</v>
      </c>
      <c r="C18" s="81">
        <f>[3]MESA_UA!$IW$8</f>
        <v>0</v>
      </c>
      <c r="D18" s="89">
        <f>'[3]Sky West'!$IW$8</f>
        <v>1</v>
      </c>
      <c r="E18" s="89">
        <f>'[3]Sky West_UA'!$IW$8</f>
        <v>0</v>
      </c>
      <c r="F18" s="89">
        <f>'[3]Sky West_AS'!$IW$8</f>
        <v>0</v>
      </c>
      <c r="G18" s="89">
        <f>'[3]Sky West_AA'!$IW$8</f>
        <v>0</v>
      </c>
      <c r="H18" s="89">
        <f>[3]Republic!$IW$8</f>
        <v>0</v>
      </c>
      <c r="I18" s="89">
        <f>[3]Republic_UA!$IW$8</f>
        <v>0</v>
      </c>
      <c r="J18" s="89">
        <f>'[3]Sky Regional'!$IW$8</f>
        <v>0</v>
      </c>
      <c r="K18" s="89">
        <f>'[3]American Eagle'!$IW$8</f>
        <v>0</v>
      </c>
      <c r="L18" s="89">
        <f>'Other Regional'!L18</f>
        <v>0</v>
      </c>
      <c r="M18" s="82">
        <f t="shared" si="5"/>
        <v>2</v>
      </c>
    </row>
    <row r="19" spans="1:13" x14ac:dyDescent="0.2">
      <c r="A19" s="43" t="s">
        <v>57</v>
      </c>
      <c r="B19" s="90">
        <f>[3]Pinnacle!$IW$9</f>
        <v>0</v>
      </c>
      <c r="C19" s="85">
        <f>[3]MESA_UA!$IW$9</f>
        <v>0</v>
      </c>
      <c r="D19" s="90">
        <f>'[3]Sky West'!$IW$9</f>
        <v>0</v>
      </c>
      <c r="E19" s="90">
        <f>'[3]Sky West_UA'!$IW$9</f>
        <v>1</v>
      </c>
      <c r="F19" s="90">
        <f>'[3]Sky West_AS'!$IW$9</f>
        <v>0</v>
      </c>
      <c r="G19" s="90">
        <f>'[3]Sky West_AA'!$IW$9</f>
        <v>0</v>
      </c>
      <c r="H19" s="90">
        <f>[3]Republic!$IW$9</f>
        <v>0</v>
      </c>
      <c r="I19" s="90">
        <f>[3]Republic_UA!$IW$9</f>
        <v>0</v>
      </c>
      <c r="J19" s="90">
        <f>'[3]Sky Regional'!$IW$9</f>
        <v>0</v>
      </c>
      <c r="K19" s="90">
        <f>'[3]American Eagle'!$IW$9</f>
        <v>0</v>
      </c>
      <c r="L19" s="90">
        <f>'Other Regional'!L19</f>
        <v>0</v>
      </c>
      <c r="M19" s="86">
        <f t="shared" si="5"/>
        <v>1</v>
      </c>
    </row>
    <row r="20" spans="1:13" x14ac:dyDescent="0.2">
      <c r="A20" s="47" t="s">
        <v>58</v>
      </c>
      <c r="B20" s="87">
        <f t="shared" ref="B20:L20" si="9">SUM(B18:B19)</f>
        <v>1</v>
      </c>
      <c r="C20" s="87">
        <f t="shared" si="9"/>
        <v>0</v>
      </c>
      <c r="D20" s="87">
        <f t="shared" si="9"/>
        <v>1</v>
      </c>
      <c r="E20" s="87">
        <f t="shared" si="9"/>
        <v>1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3</v>
      </c>
    </row>
    <row r="21" spans="1:13" ht="15.75" thickBot="1" x14ac:dyDescent="0.3">
      <c r="A21" s="51" t="s">
        <v>28</v>
      </c>
      <c r="B21" s="91">
        <f>SUM(B20,B17)</f>
        <v>1360</v>
      </c>
      <c r="C21" s="91">
        <f t="shared" ref="C21:K21" si="11">SUM(C20,C17)</f>
        <v>128</v>
      </c>
      <c r="D21" s="91">
        <f t="shared" si="11"/>
        <v>4418</v>
      </c>
      <c r="E21" s="91">
        <f t="shared" si="11"/>
        <v>130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108</v>
      </c>
      <c r="I21" s="91">
        <f t="shared" si="11"/>
        <v>82</v>
      </c>
      <c r="J21" s="91">
        <f t="shared" si="11"/>
        <v>0</v>
      </c>
      <c r="K21" s="91">
        <f t="shared" si="11"/>
        <v>214</v>
      </c>
      <c r="L21" s="91">
        <f>SUM(L20,L17)</f>
        <v>357</v>
      </c>
      <c r="M21" s="92">
        <f>SUM(B21:L21)</f>
        <v>6797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[3]Pinnacle!$IW$47</f>
        <v>0</v>
      </c>
      <c r="C25" s="81">
        <f>[3]MESA_UA!$IW$47</f>
        <v>0</v>
      </c>
      <c r="D25" s="89">
        <f>'[3]Sky West'!$IW$47</f>
        <v>0</v>
      </c>
      <c r="E25" s="89">
        <f>'[3]Sky West_UA'!$IW$47</f>
        <v>0</v>
      </c>
      <c r="F25" s="89">
        <f>'[3]Sky West_AS'!$IW$47</f>
        <v>0</v>
      </c>
      <c r="G25" s="89">
        <f>'[3]Sky West_AA'!$IW$47</f>
        <v>0</v>
      </c>
      <c r="H25" s="89">
        <f>[3]Republic!$IW$47</f>
        <v>3061</v>
      </c>
      <c r="I25" s="89">
        <f>[3]Republic_UA!$IW$47</f>
        <v>0</v>
      </c>
      <c r="J25" s="89">
        <f>'[3]Sky Regional'!$IW$47</f>
        <v>0</v>
      </c>
      <c r="K25" s="89">
        <f>'[3]American Eagle'!$IW$47</f>
        <v>502</v>
      </c>
      <c r="L25" s="89">
        <f>'Other Regional'!L25</f>
        <v>15855.2</v>
      </c>
      <c r="M25" s="82">
        <f>SUM(B25:L25)</f>
        <v>19418.2</v>
      </c>
    </row>
    <row r="26" spans="1:13" x14ac:dyDescent="0.2">
      <c r="A26" s="43" t="s">
        <v>38</v>
      </c>
      <c r="B26" s="89">
        <f>[3]Pinnacle!$IW$48</f>
        <v>0</v>
      </c>
      <c r="C26" s="81">
        <f>[3]MESA_UA!$IW$48</f>
        <v>0</v>
      </c>
      <c r="D26" s="89">
        <f>'[3]Sky West'!$IW$48</f>
        <v>0</v>
      </c>
      <c r="E26" s="89">
        <f>'[3]Sky West_UA'!$IW$48</f>
        <v>0</v>
      </c>
      <c r="F26" s="89">
        <f>'[3]Sky West_AS'!$IW$48</f>
        <v>0</v>
      </c>
      <c r="G26" s="89">
        <f>'[3]Sky West_AA'!$IW$48</f>
        <v>0</v>
      </c>
      <c r="H26" s="89">
        <f>[3]Republic!$IW$48</f>
        <v>0</v>
      </c>
      <c r="I26" s="89">
        <f>[3]Republic_UA!$IW$48</f>
        <v>0</v>
      </c>
      <c r="J26" s="89">
        <f>'[3]Sky Regional'!$IW$48</f>
        <v>0</v>
      </c>
      <c r="K26" s="89">
        <f>'[3]American Eagle'!$IW$48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3061</v>
      </c>
      <c r="I27" s="99">
        <f t="shared" si="13"/>
        <v>0</v>
      </c>
      <c r="J27" s="99">
        <f t="shared" si="13"/>
        <v>0</v>
      </c>
      <c r="K27" s="99">
        <f t="shared" si="13"/>
        <v>502</v>
      </c>
      <c r="L27" s="99">
        <f t="shared" si="13"/>
        <v>15855.2</v>
      </c>
      <c r="M27" s="100">
        <f>SUM(B27:L27)</f>
        <v>19418.2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[3]Pinnacle!$IW$52</f>
        <v>0</v>
      </c>
      <c r="C30" s="81">
        <f>[3]MESA_UA!$IW$52</f>
        <v>0</v>
      </c>
      <c r="D30" s="89">
        <f>'[3]Sky West'!$IW$52</f>
        <v>0</v>
      </c>
      <c r="E30" s="89">
        <f>'[3]Sky West_UA'!$IW$52</f>
        <v>0</v>
      </c>
      <c r="F30" s="89">
        <f>'[3]Sky West_AS'!$IW$52</f>
        <v>0</v>
      </c>
      <c r="G30" s="89">
        <f>'[3]Sky West_AA'!$IW$52</f>
        <v>0</v>
      </c>
      <c r="H30" s="89">
        <f>[3]Republic!$IW$52</f>
        <v>0</v>
      </c>
      <c r="I30" s="89">
        <f>[3]Republic_UA!$IW$52</f>
        <v>0</v>
      </c>
      <c r="J30" s="89">
        <f>'[3]Sky Regional'!$IW$52</f>
        <v>0</v>
      </c>
      <c r="K30" s="89">
        <f>'[3]American Eagle'!$IW$52</f>
        <v>580</v>
      </c>
      <c r="L30" s="89">
        <f>'Other Regional'!L30</f>
        <v>14911.1</v>
      </c>
      <c r="M30" s="82">
        <f t="shared" ref="M30:M37" si="15">SUM(B30:L30)</f>
        <v>15491.1</v>
      </c>
    </row>
    <row r="31" spans="1:13" x14ac:dyDescent="0.2">
      <c r="A31" s="43" t="s">
        <v>60</v>
      </c>
      <c r="B31" s="89">
        <f>[3]Pinnacle!$IW$53</f>
        <v>0</v>
      </c>
      <c r="C31" s="81">
        <f>[3]MESA_UA!$IW$53</f>
        <v>0</v>
      </c>
      <c r="D31" s="89">
        <f>'[3]Sky West'!$IW$53</f>
        <v>0</v>
      </c>
      <c r="E31" s="89">
        <f>'[3]Sky West_UA'!$IW$53</f>
        <v>0</v>
      </c>
      <c r="F31" s="89">
        <f>'[3]Sky West_AS'!$IW$53</f>
        <v>0</v>
      </c>
      <c r="G31" s="89">
        <f>'[3]Sky West_AA'!$IW$53</f>
        <v>0</v>
      </c>
      <c r="H31" s="89">
        <f>[3]Republic!$IW$53</f>
        <v>0</v>
      </c>
      <c r="I31" s="89">
        <f>[3]Republic_UA!$IW$53</f>
        <v>0</v>
      </c>
      <c r="J31" s="89">
        <f>'[3]Sky Regional'!$IW$53</f>
        <v>0</v>
      </c>
      <c r="K31" s="89">
        <f>'[3]American Eagle'!$IW$53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580</v>
      </c>
      <c r="L32" s="99">
        <f>SUM(L30:L31)</f>
        <v>14911.1</v>
      </c>
      <c r="M32" s="100">
        <f t="shared" si="15"/>
        <v>15491.1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[3]Pinnacle!$IW$57</f>
        <v>0</v>
      </c>
      <c r="C35" s="81">
        <f>[3]MESA_UA!$IW$57</f>
        <v>0</v>
      </c>
      <c r="D35" s="89">
        <f>'[3]Sky West'!$IW$57</f>
        <v>0</v>
      </c>
      <c r="E35" s="89">
        <f>'[3]Sky West_UA'!$IW$57</f>
        <v>0</v>
      </c>
      <c r="F35" s="89">
        <f>'[3]Sky West_AS'!$IW$57</f>
        <v>0</v>
      </c>
      <c r="G35" s="89">
        <f>'[3]Sky West_AA'!$IW$57</f>
        <v>0</v>
      </c>
      <c r="H35" s="89">
        <f>[3]Republic!$IW$57</f>
        <v>0</v>
      </c>
      <c r="I35" s="89">
        <f>[3]Republic!$IW$57</f>
        <v>0</v>
      </c>
      <c r="J35" s="89">
        <f>[3]Republic!$IW$57</f>
        <v>0</v>
      </c>
      <c r="K35" s="89">
        <f>'[3]American Eagle'!$IW$57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[3]Pinnacle!$IW$58</f>
        <v>0</v>
      </c>
      <c r="C36" s="81">
        <f>[3]MESA_UA!$IW$58</f>
        <v>0</v>
      </c>
      <c r="D36" s="89">
        <f>'[3]Sky West'!$IW$58</f>
        <v>0</v>
      </c>
      <c r="E36" s="89">
        <f>'[3]Sky West_UA'!$IW$58</f>
        <v>0</v>
      </c>
      <c r="F36" s="89">
        <f>'[3]Sky West_AS'!$IW$58</f>
        <v>0</v>
      </c>
      <c r="G36" s="89">
        <f>'[3]Sky West_AA'!$IW$58</f>
        <v>0</v>
      </c>
      <c r="H36" s="89">
        <f>[3]Republic!$IW$58</f>
        <v>0</v>
      </c>
      <c r="I36" s="89">
        <f>[3]Republic!$IW$58</f>
        <v>0</v>
      </c>
      <c r="J36" s="89">
        <f>[3]Republic!$IW$58</f>
        <v>0</v>
      </c>
      <c r="K36" s="89">
        <f>'[3]American Eagle'!$IW$58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3061</v>
      </c>
      <c r="I40" s="89">
        <f t="shared" si="20"/>
        <v>0</v>
      </c>
      <c r="J40" s="89">
        <f t="shared" si="20"/>
        <v>0</v>
      </c>
      <c r="K40" s="89">
        <f>SUM(K35,K30,K25)</f>
        <v>1082</v>
      </c>
      <c r="L40" s="89">
        <f>L35+L30+L25</f>
        <v>30766.300000000003</v>
      </c>
      <c r="M40" s="82">
        <f>SUM(B40:L40)</f>
        <v>34909.300000000003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3061</v>
      </c>
      <c r="I42" s="102">
        <f t="shared" si="20"/>
        <v>0</v>
      </c>
      <c r="J42" s="102">
        <f t="shared" si="20"/>
        <v>0</v>
      </c>
      <c r="K42" s="102">
        <f>SUM(K37,K32,K27)</f>
        <v>1082</v>
      </c>
      <c r="L42" s="102">
        <f>SUM(L37,L32,L27)</f>
        <v>30766.300000000003</v>
      </c>
      <c r="M42" s="103">
        <f>SUM(B42:L42)</f>
        <v>34909.300000000003</v>
      </c>
    </row>
    <row r="44" spans="1:13" x14ac:dyDescent="0.2">
      <c r="A44" s="268" t="s">
        <v>120</v>
      </c>
      <c r="B44" s="233">
        <f>[3]Pinnacle!$IW$70+[3]Pinnacle!$IW$73</f>
        <v>14737</v>
      </c>
      <c r="D44" s="234">
        <f>'[3]Sky West'!$IW$70+'[3]Sky West'!$IW$73</f>
        <v>40255</v>
      </c>
      <c r="E44" s="2"/>
      <c r="F44" s="2"/>
      <c r="G44" s="2"/>
      <c r="L44" s="234">
        <f>+'Other Regional'!L46</f>
        <v>0</v>
      </c>
      <c r="M44" s="223">
        <f>SUM(B44:L44)</f>
        <v>54992</v>
      </c>
    </row>
    <row r="45" spans="1:13" x14ac:dyDescent="0.2">
      <c r="A45" s="281" t="s">
        <v>121</v>
      </c>
      <c r="B45" s="233">
        <f>[3]Pinnacle!$IW$71+[3]Pinnacle!$IW$74</f>
        <v>29556</v>
      </c>
      <c r="D45" s="234">
        <f>'[3]Sky West'!$IW$71+'[3]Sky West'!$IW$74</f>
        <v>83336</v>
      </c>
      <c r="E45" s="2"/>
      <c r="F45" s="2"/>
      <c r="G45" s="2"/>
      <c r="L45" s="234">
        <f>+'Other Regional'!L47</f>
        <v>0</v>
      </c>
      <c r="M45" s="223">
        <f>SUM(B45:L45)</f>
        <v>112892</v>
      </c>
    </row>
    <row r="46" spans="1:13" x14ac:dyDescent="0.2">
      <c r="A46" s="224" t="s">
        <v>122</v>
      </c>
      <c r="B46" s="225">
        <f>SUM(B44:B45)</f>
        <v>44293</v>
      </c>
      <c r="L46" s="2"/>
      <c r="M46" s="209"/>
    </row>
    <row r="47" spans="1:13" x14ac:dyDescent="0.2">
      <c r="A47" s="226"/>
      <c r="B47" s="227" t="b">
        <f>IF(B46=B6,TRUE,FALSE)</f>
        <v>1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April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I49" sqref="I49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45383</v>
      </c>
      <c r="B2" s="397" t="s">
        <v>169</v>
      </c>
      <c r="C2" s="397" t="s">
        <v>168</v>
      </c>
      <c r="D2" s="397" t="s">
        <v>188</v>
      </c>
      <c r="E2" s="397" t="s">
        <v>235</v>
      </c>
      <c r="F2" s="397" t="s">
        <v>215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America'!$IW$22</f>
        <v>0</v>
      </c>
      <c r="C5" s="81">
        <f>'[3]Shuttle America_Delta'!$IW$22</f>
        <v>0</v>
      </c>
      <c r="D5" s="325">
        <f>[3]Horizon_AS!$IW$22+[3]Horizon_AS!$IW$32</f>
        <v>0</v>
      </c>
      <c r="E5" s="325">
        <f>'[3]Air Wisconsin'!$IW$22</f>
        <v>228</v>
      </c>
      <c r="F5" s="325">
        <f>[3]Jazz_AC!$IW$22+[3]Jazz_AC!$IW$32</f>
        <v>5325</v>
      </c>
      <c r="G5" s="325">
        <f>[3]PSA!$IW$22</f>
        <v>5568</v>
      </c>
      <c r="H5" s="81">
        <f>'[3]Atlantic Southeast'!$IW$22+'[3]Atlantic Southeast'!$IW$32</f>
        <v>0</v>
      </c>
      <c r="I5" s="81">
        <f>'[3]Continental Express'!$IW$22</f>
        <v>0</v>
      </c>
      <c r="J5" s="89">
        <f>'[3]Go Jet_UA'!$IW$22</f>
        <v>0</v>
      </c>
      <c r="K5" s="11">
        <f>'[3]Go Jet'!$IW$22+'[3]Go Jet'!$IW$32</f>
        <v>0</v>
      </c>
      <c r="L5" s="82">
        <f>SUM(B5:K5)</f>
        <v>11121</v>
      </c>
    </row>
    <row r="6" spans="1:12" s="6" customFormat="1" x14ac:dyDescent="0.2">
      <c r="A6" s="43" t="s">
        <v>31</v>
      </c>
      <c r="B6" s="81">
        <f>'[3]Shuttle America'!$IW$23</f>
        <v>0</v>
      </c>
      <c r="C6" s="81">
        <f>'[3]Shuttle America_Delta'!$IW$23</f>
        <v>0</v>
      </c>
      <c r="D6" s="325">
        <f>[3]Horizon_AS!$IW$23+[3]Horizon_AS!$IW$33</f>
        <v>0</v>
      </c>
      <c r="E6" s="325">
        <f>'[3]Air Wisconsin'!$IW$23</f>
        <v>232</v>
      </c>
      <c r="F6" s="325">
        <f>[3]Jazz_AC!$IW$23+[3]Jazz_AC!$IW$33</f>
        <v>4130</v>
      </c>
      <c r="G6" s="325">
        <f>[3]PSA!$IW$23</f>
        <v>5197</v>
      </c>
      <c r="H6" s="81">
        <f>'[3]Atlantic Southeast'!$IW$23+'[3]Atlantic Southeast'!$IW$33</f>
        <v>0</v>
      </c>
      <c r="I6" s="81">
        <f>'[3]Continental Express'!$IW$23</f>
        <v>0</v>
      </c>
      <c r="J6" s="89">
        <f>'[3]Go Jet_UA'!$IW$23</f>
        <v>0</v>
      </c>
      <c r="K6" s="7">
        <f>'[3]Go Jet'!$IW$23+'[3]Go Jet'!$IW$33</f>
        <v>0</v>
      </c>
      <c r="L6" s="86">
        <f>SUM(B6:K6)</f>
        <v>9559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460</v>
      </c>
      <c r="F7" s="99">
        <f t="shared" si="1"/>
        <v>9455</v>
      </c>
      <c r="G7" s="99">
        <f t="shared" si="0"/>
        <v>10765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20680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America'!$IW$27</f>
        <v>0</v>
      </c>
      <c r="C10" s="81">
        <f>'[3]Shuttle America_Delta'!$IW$27</f>
        <v>0</v>
      </c>
      <c r="D10" s="325">
        <f>[3]Horizon_AS!$IW$27+[3]Horizon_AS!$IW$37</f>
        <v>0</v>
      </c>
      <c r="E10" s="325">
        <f>'[3]Air Wisconsin'!$IW$27</f>
        <v>12</v>
      </c>
      <c r="F10" s="325">
        <f>[3]Jazz_AC!$IW$27+[3]Jazz_AC!$IW$37</f>
        <v>76</v>
      </c>
      <c r="G10" s="325">
        <f>[3]PSA!$IW$27</f>
        <v>113</v>
      </c>
      <c r="H10" s="11">
        <f>'[3]Atlantic Southeast'!$IW$27+'[3]Atlantic Southeast'!$IW$37</f>
        <v>0</v>
      </c>
      <c r="I10" s="81">
        <f>'[3]Continental Express'!$IW$27</f>
        <v>0</v>
      </c>
      <c r="J10" s="89">
        <f>'[3]Go Jet_UA'!$IW$27</f>
        <v>0</v>
      </c>
      <c r="K10" s="11">
        <f>'[3]Go Jet'!$IW$27+'[3]Go Jet'!$IW$37</f>
        <v>0</v>
      </c>
      <c r="L10" s="82">
        <f>SUM(B10:K10)</f>
        <v>201</v>
      </c>
    </row>
    <row r="11" spans="1:12" x14ac:dyDescent="0.2">
      <c r="A11" s="43" t="s">
        <v>33</v>
      </c>
      <c r="B11" s="81">
        <f>'[3]Shuttle America'!$IW$28</f>
        <v>0</v>
      </c>
      <c r="C11" s="81">
        <f>'[3]Shuttle America_Delta'!$IW$28</f>
        <v>0</v>
      </c>
      <c r="D11" s="325">
        <f>[3]Horizon_AS!$IW$28+[3]Horizon_AS!$IW$38</f>
        <v>0</v>
      </c>
      <c r="E11" s="325">
        <f>'[3]Air Wisconsin'!$IW$28</f>
        <v>4</v>
      </c>
      <c r="F11" s="325">
        <f>[3]Jazz_AC!$IW$28+[3]Jazz_AC!$IW$38</f>
        <v>64</v>
      </c>
      <c r="G11" s="325">
        <f>[3]PSA!$IW$28</f>
        <v>149</v>
      </c>
      <c r="H11" s="7">
        <f>'[3]Atlantic Southeast'!$IW$28+'[3]Atlantic Southeast'!$IW$38</f>
        <v>0</v>
      </c>
      <c r="I11" s="81">
        <f>'[3]Continental Express'!$IW$28</f>
        <v>0</v>
      </c>
      <c r="J11" s="89">
        <f>'[3]Go Jet_UA'!$IW$28</f>
        <v>0</v>
      </c>
      <c r="K11" s="7">
        <f>'[3]Go Jet'!$IW$28+'[3]Go Jet'!$IW$38</f>
        <v>0</v>
      </c>
      <c r="L11" s="86">
        <f>SUM(B11:K11)</f>
        <v>217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16</v>
      </c>
      <c r="F12" s="102">
        <f t="shared" si="3"/>
        <v>140</v>
      </c>
      <c r="G12" s="102">
        <f t="shared" si="2"/>
        <v>262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418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America'!$IW$4</f>
        <v>0</v>
      </c>
      <c r="C15" s="79">
        <f>'[3]Shuttle America_Delta'!$IW$4</f>
        <v>0</v>
      </c>
      <c r="D15" s="326">
        <f>[3]Horizon_AS!$IW$4</f>
        <v>0</v>
      </c>
      <c r="E15" s="326">
        <f>'[3]Air Wisconsin'!$IW$4</f>
        <v>5</v>
      </c>
      <c r="F15" s="326">
        <f>[3]Jazz_AC!$IW$4+[3]Jazz_AC!$IW$15</f>
        <v>90</v>
      </c>
      <c r="G15" s="326">
        <f>[3]PSA!$IW$4</f>
        <v>84</v>
      </c>
      <c r="H15" s="80">
        <f>'[3]Atlantic Southeast'!$IW$4+'[3]Atlantic Southeast'!$IW$15</f>
        <v>0</v>
      </c>
      <c r="I15" s="80">
        <f>'[3]Continental Express'!$IW$4</f>
        <v>0</v>
      </c>
      <c r="J15" s="79">
        <f>'[3]Go Jet_UA'!$IW$4</f>
        <v>0</v>
      </c>
      <c r="K15" s="11">
        <f>'[3]Go Jet'!$IW$4+'[3]Go Jet'!$IW$15</f>
        <v>0</v>
      </c>
      <c r="L15" s="82">
        <f t="shared" ref="L15:L20" si="6">SUM(B15:K15)</f>
        <v>179</v>
      </c>
    </row>
    <row r="16" spans="1:12" x14ac:dyDescent="0.2">
      <c r="A16" s="43" t="s">
        <v>54</v>
      </c>
      <c r="B16" s="83">
        <f>'[3]Shuttle America'!$IW$5</f>
        <v>0</v>
      </c>
      <c r="C16" s="83">
        <f>'[3]Shuttle America_Delta'!$IW$5</f>
        <v>0</v>
      </c>
      <c r="D16" s="327">
        <f>[3]Horizon_AS!$IW$5</f>
        <v>0</v>
      </c>
      <c r="E16" s="327">
        <f>'[3]Air Wisconsin'!$IW$5</f>
        <v>5</v>
      </c>
      <c r="F16" s="327">
        <f>[3]Jazz_AC!$IW$5+[3]Jazz_AC!$IW$16</f>
        <v>90</v>
      </c>
      <c r="G16" s="327">
        <f>[3]PSA!$IW$5</f>
        <v>83</v>
      </c>
      <c r="H16" s="84">
        <f>'[3]Atlantic Southeast'!$IW$5+'[3]Atlantic Southeast'!$IW$16</f>
        <v>0</v>
      </c>
      <c r="I16" s="84">
        <f>'[3]Continental Express'!$IW$5</f>
        <v>0</v>
      </c>
      <c r="J16" s="83">
        <f>'[3]Go Jet_UA'!$IW$5</f>
        <v>0</v>
      </c>
      <c r="K16" s="7">
        <f>'[3]Go Jet'!$IW$5+'[3]Go Jet'!$IW$16</f>
        <v>0</v>
      </c>
      <c r="L16" s="86">
        <f t="shared" si="6"/>
        <v>178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10</v>
      </c>
      <c r="F17" s="87">
        <f t="shared" si="8"/>
        <v>180</v>
      </c>
      <c r="G17" s="87">
        <f t="shared" si="7"/>
        <v>167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357</v>
      </c>
    </row>
    <row r="18" spans="1:15" x14ac:dyDescent="0.2">
      <c r="A18" s="43" t="s">
        <v>56</v>
      </c>
      <c r="B18" s="89">
        <f>'[3]Shuttle America'!$IW$8</f>
        <v>0</v>
      </c>
      <c r="C18" s="89">
        <f>'[3]Shuttle America_Delta'!$IW$8</f>
        <v>0</v>
      </c>
      <c r="D18" s="89">
        <f>[3]Horizon_AS!$IW$8</f>
        <v>0</v>
      </c>
      <c r="E18" s="89">
        <f>'[3]Air Wisconsin'!$IW$8</f>
        <v>0</v>
      </c>
      <c r="F18" s="89">
        <f>[3]Jazz_AC!$IW$8</f>
        <v>0</v>
      </c>
      <c r="G18" s="89">
        <f>[3]PSA!$IW$8</f>
        <v>0</v>
      </c>
      <c r="H18" s="81">
        <f>'[3]Atlantic Southeast'!$IW$8</f>
        <v>0</v>
      </c>
      <c r="I18" s="81">
        <f>'[3]Continental Express'!$IW$8</f>
        <v>0</v>
      </c>
      <c r="J18" s="89">
        <f>'[3]Go Jet_UA'!$IW$8</f>
        <v>0</v>
      </c>
      <c r="K18" s="11">
        <f>'[3]Go Jet'!$IW$8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America'!$IW$9</f>
        <v>0</v>
      </c>
      <c r="C19" s="90">
        <f>'[3]Shuttle America_Delta'!$IW$9</f>
        <v>0</v>
      </c>
      <c r="D19" s="90">
        <f>[3]Horizon_AS!$IW$9</f>
        <v>0</v>
      </c>
      <c r="E19" s="90">
        <f>'[3]Air Wisconsin'!$IW$9</f>
        <v>0</v>
      </c>
      <c r="F19" s="90">
        <f>[3]Jazz_AC!$IW$9</f>
        <v>0</v>
      </c>
      <c r="G19" s="90">
        <f>[3]PSA!$IW$9</f>
        <v>0</v>
      </c>
      <c r="H19" s="85">
        <f>'[3]Atlantic Southeast'!$IW$9</f>
        <v>0</v>
      </c>
      <c r="I19" s="85">
        <f>'[3]Continental Express'!$IW$9</f>
        <v>0</v>
      </c>
      <c r="J19" s="90">
        <f>'[3]Go Jet_UA'!$IW$9</f>
        <v>0</v>
      </c>
      <c r="K19" s="7">
        <f>'[3]Go Jet'!$IW$9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10</v>
      </c>
      <c r="F21" s="91">
        <f t="shared" si="14"/>
        <v>180</v>
      </c>
      <c r="G21" s="91">
        <f t="shared" si="13"/>
        <v>167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357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America'!$IW$47</f>
        <v>0</v>
      </c>
      <c r="C25" s="89">
        <f>'[3]Shuttle America_Delta'!$IW$47</f>
        <v>0</v>
      </c>
      <c r="D25" s="89">
        <f>[3]Horizon_AS!$IW$47</f>
        <v>0</v>
      </c>
      <c r="E25" s="89">
        <f>'[3]Air Wisconsin'!$IW$47</f>
        <v>0</v>
      </c>
      <c r="F25" s="89">
        <f>[3]Jazz_AC!$IW$47</f>
        <v>15713.2</v>
      </c>
      <c r="G25" s="89">
        <f>[3]PSA!$IW$47</f>
        <v>142</v>
      </c>
      <c r="H25" s="81">
        <f>'[3]Atlantic Southeast'!$IW$47</f>
        <v>0</v>
      </c>
      <c r="I25" s="81">
        <f>'[3]Continental Express'!$IW$47</f>
        <v>0</v>
      </c>
      <c r="J25" s="89">
        <f>'[3]Go Jet_UA'!$IW$47</f>
        <v>0</v>
      </c>
      <c r="K25" s="89">
        <f>'[3]Go Jet'!$IW$47</f>
        <v>0</v>
      </c>
      <c r="L25" s="82">
        <f>SUM(B25:K25)</f>
        <v>15855.2</v>
      </c>
    </row>
    <row r="26" spans="1:15" x14ac:dyDescent="0.2">
      <c r="A26" s="43" t="s">
        <v>38</v>
      </c>
      <c r="B26" s="89">
        <f>'[3]Shuttle America'!$IW$48</f>
        <v>0</v>
      </c>
      <c r="C26" s="89">
        <f>'[3]Shuttle America_Delta'!$IW$48</f>
        <v>0</v>
      </c>
      <c r="D26" s="89">
        <f>[3]Horizon_AS!$IW$48</f>
        <v>0</v>
      </c>
      <c r="E26" s="89">
        <f>'[3]Air Wisconsin'!$IW$48</f>
        <v>0</v>
      </c>
      <c r="F26" s="89">
        <f>[3]Jazz_AC!$IW$48</f>
        <v>0</v>
      </c>
      <c r="G26" s="89">
        <f>[3]PSA!$IW$48</f>
        <v>0</v>
      </c>
      <c r="H26" s="81">
        <f>'[3]Atlantic Southeast'!$IW$48</f>
        <v>0</v>
      </c>
      <c r="I26" s="81">
        <f>'[3]Continental Express'!$IW$48</f>
        <v>0</v>
      </c>
      <c r="J26" s="89">
        <f>'[3]Go Jet_UA'!$IW$48</f>
        <v>0</v>
      </c>
      <c r="K26" s="89">
        <f>'[3]Go Jet'!$IW$48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15713.2</v>
      </c>
      <c r="G27" s="99">
        <f t="shared" si="17"/>
        <v>142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15855.2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America'!$IW$52</f>
        <v>0</v>
      </c>
      <c r="C30" s="89">
        <f>'[3]Shuttle America_Delta'!$IW$52</f>
        <v>0</v>
      </c>
      <c r="D30" s="89">
        <f>[3]Horizon_AS!$IW$52</f>
        <v>0</v>
      </c>
      <c r="E30" s="89">
        <f>'[3]Air Wisconsin'!$IW$52</f>
        <v>0</v>
      </c>
      <c r="F30" s="89">
        <f>[3]Jazz_AC!$IW$52</f>
        <v>14911.1</v>
      </c>
      <c r="G30" s="89">
        <f>[3]PSA!$IW$52</f>
        <v>0</v>
      </c>
      <c r="H30" s="81">
        <f>'[3]Atlantic Southeast'!$IW$52</f>
        <v>0</v>
      </c>
      <c r="I30" s="81">
        <f>'[3]Continental Express'!$IW$52</f>
        <v>0</v>
      </c>
      <c r="J30" s="89">
        <f>'[3]Go Jet_UA'!$IW$52</f>
        <v>0</v>
      </c>
      <c r="K30" s="89">
        <f>'[3]Go Jet'!$IW$52</f>
        <v>0</v>
      </c>
      <c r="L30" s="82">
        <f>SUM(B30:K30)</f>
        <v>14911.1</v>
      </c>
    </row>
    <row r="31" spans="1:15" x14ac:dyDescent="0.2">
      <c r="A31" s="43" t="s">
        <v>60</v>
      </c>
      <c r="B31" s="89">
        <f>'[3]Shuttle America'!$IW$53</f>
        <v>0</v>
      </c>
      <c r="C31" s="89">
        <f>'[3]Shuttle America_Delta'!$IW$53</f>
        <v>0</v>
      </c>
      <c r="D31" s="89">
        <f>[3]Horizon_AS!$IW$53</f>
        <v>0</v>
      </c>
      <c r="E31" s="89">
        <f>'[3]Air Wisconsin'!$IW$53</f>
        <v>0</v>
      </c>
      <c r="F31" s="89">
        <f>[3]Jazz_AC!$IW$53</f>
        <v>0</v>
      </c>
      <c r="G31" s="89">
        <f>[3]PSA!$IW$53</f>
        <v>0</v>
      </c>
      <c r="H31" s="81">
        <f>'[3]Atlantic Southeast'!$IW$53</f>
        <v>0</v>
      </c>
      <c r="I31" s="81">
        <f>'[3]Continental Express'!$IW$53</f>
        <v>0</v>
      </c>
      <c r="J31" s="89">
        <f>'[3]Go Jet_UA'!$IW$53</f>
        <v>0</v>
      </c>
      <c r="K31" s="89">
        <f>'[3]Go Jet'!$IW$53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14911.1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14911.1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America'!$IW$57</f>
        <v>0</v>
      </c>
      <c r="C35" s="89">
        <f>'[3]Shuttle America_Delta'!$IW$57</f>
        <v>0</v>
      </c>
      <c r="D35" s="89">
        <f>[3]Horizon_AS!$IW$57</f>
        <v>0</v>
      </c>
      <c r="E35" s="89">
        <f>'[3]Air Wisconsin'!$IW$57</f>
        <v>0</v>
      </c>
      <c r="F35" s="89">
        <f>[3]Jazz_AC!$IW$57</f>
        <v>0</v>
      </c>
      <c r="G35" s="89">
        <f>[3]PSA!$IW$57</f>
        <v>0</v>
      </c>
      <c r="H35" s="81">
        <f>'[3]Atlantic Southeast'!$IW$57</f>
        <v>0</v>
      </c>
      <c r="I35" s="81">
        <f>'[3]Continental Express'!$IW$57</f>
        <v>0</v>
      </c>
      <c r="J35" s="89">
        <f>'[3]Go Jet_UA'!$AJ$57</f>
        <v>0</v>
      </c>
      <c r="K35" s="89">
        <f>'[3]Go Jet'!$IW$57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30624.300000000003</v>
      </c>
      <c r="G40" s="89">
        <f t="shared" si="27"/>
        <v>142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30766.300000000003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30624.300000000003</v>
      </c>
      <c r="G42" s="102">
        <f t="shared" si="33"/>
        <v>142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30766.300000000003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America_Delta'!$IW$70+'[3]Shuttle America_Delta'!$IW$73</f>
        <v>0</v>
      </c>
      <c r="D46" s="2"/>
      <c r="E46" s="2"/>
      <c r="H46" s="234">
        <f>'[3]Atlantic Southeast'!$IW$70+'[3]Atlantic Southeast'!$IW$73</f>
        <v>0</v>
      </c>
      <c r="K46" s="234">
        <f>'[3]Go Jet'!$IW$70+'[3]Go Jet'!$IW$73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America_Delta'!$IW$71+'[3]Shuttle America_Delta'!$IW$74</f>
        <v>0</v>
      </c>
      <c r="D47" s="2"/>
      <c r="E47" s="2"/>
      <c r="H47" s="234">
        <f>'[3]Atlantic Southeast'!$IW$71+'[3]Atlantic Southeast'!$IW$74</f>
        <v>0</v>
      </c>
      <c r="K47" s="234">
        <f>'[3]Go Jet'!$IW$71+'[3]Go Jet'!$IW$74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April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I5" sqref="I5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45383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233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Misc'!$IW$22</f>
        <v>0</v>
      </c>
      <c r="C5" s="145">
        <f>[3]Ryan!$IW$22</f>
        <v>0</v>
      </c>
      <c r="D5" s="145">
        <f>'[3]Charter Misc'!$IW$32</f>
        <v>0</v>
      </c>
      <c r="E5" s="145">
        <f>[3]Omni!$IW$32+[3]Omni!$IW$22</f>
        <v>0</v>
      </c>
      <c r="F5" s="145">
        <f>'[3]Red Way'!$IW$32+'[3]Red Way'!$IW$22</f>
        <v>0</v>
      </c>
      <c r="G5" s="145">
        <f>[3]Xtra!$IW$32+[3]Xtra!$IW$22</f>
        <v>0</v>
      </c>
      <c r="H5" s="241">
        <f>SUM(B5:G5)</f>
        <v>0</v>
      </c>
    </row>
    <row r="6" spans="1:18" x14ac:dyDescent="0.2">
      <c r="A6" s="43" t="s">
        <v>31</v>
      </c>
      <c r="B6" s="306">
        <f>'[3]Charter Misc'!$IW$23+'[3]Charter Misc'!$IW$33+'[3]Charter Misc'!$IW$28+'[3]Charter Misc'!$IW$38</f>
        <v>0</v>
      </c>
      <c r="C6" s="148">
        <f>[3]Ryan!$IW$23</f>
        <v>0</v>
      </c>
      <c r="D6" s="148">
        <f>'[3]Charter Misc'!$IW$33</f>
        <v>0</v>
      </c>
      <c r="E6" s="148">
        <f>[3]Omni!$IW$23+[3]Omni!$IW$33+[3]Omni!$IW$28+[3]Omni!$IW$38</f>
        <v>0</v>
      </c>
      <c r="F6" s="148">
        <f>'[3]Red Way'!$IW$33+'[3]Red Way'!$IW$23</f>
        <v>0</v>
      </c>
      <c r="G6" s="148">
        <f>[3]Xtra!$IW$33+[3]Xtra!$IW$23</f>
        <v>0</v>
      </c>
      <c r="H6" s="241">
        <f>SUM(B6:G6)</f>
        <v>0</v>
      </c>
    </row>
    <row r="7" spans="1:18" ht="15.75" thickBot="1" x14ac:dyDescent="0.3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Misc'!$IW$4</f>
        <v>0</v>
      </c>
      <c r="C10" s="145">
        <f>[3]Ryan!$IW$4</f>
        <v>0</v>
      </c>
      <c r="D10" s="145">
        <f>'[3]Charter Misc'!$IW$15</f>
        <v>0</v>
      </c>
      <c r="E10" s="145">
        <f>[3]Omni!$IW$15+[3]Omni!$IW$4</f>
        <v>0</v>
      </c>
      <c r="F10" s="145">
        <f>'[3]Red Way'!$IW$15+'[3]Red Way'!$IW$4</f>
        <v>0</v>
      </c>
      <c r="G10" s="145">
        <f>[3]Xtra!$IW$15+[3]Xtra!$IW$4</f>
        <v>0</v>
      </c>
      <c r="H10" s="240">
        <f>SUM(B10:G10)</f>
        <v>0</v>
      </c>
    </row>
    <row r="11" spans="1:18" x14ac:dyDescent="0.2">
      <c r="A11" s="143" t="s">
        <v>80</v>
      </c>
      <c r="B11" s="305">
        <f>'[3]Charter Misc'!$IW$5</f>
        <v>0</v>
      </c>
      <c r="C11" s="145">
        <f>[3]Ryan!$IW$5</f>
        <v>0</v>
      </c>
      <c r="D11" s="145">
        <f>'[3]Charter Misc'!$IW$16</f>
        <v>0</v>
      </c>
      <c r="E11" s="145">
        <f>[3]Omni!$IW$16+[3]Omni!$IW$5</f>
        <v>0</v>
      </c>
      <c r="F11" s="145">
        <f>'[3]Red Way'!$IW$16+'[3]Red Way'!$IW$5</f>
        <v>0</v>
      </c>
      <c r="G11" s="145">
        <f>[3]Xtra!$IW$16+[3]Xtra!$IW$5</f>
        <v>0</v>
      </c>
      <c r="H11" s="240">
        <f>SUM(B11:G11)</f>
        <v>0</v>
      </c>
    </row>
    <row r="12" spans="1:18" ht="15.75" thickBot="1" x14ac:dyDescent="0.3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x14ac:dyDescent="0.2">
      <c r="B17" s="456" t="s">
        <v>148</v>
      </c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8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59" t="s">
        <v>117</v>
      </c>
      <c r="C19" s="460"/>
      <c r="D19" s="460"/>
      <c r="E19" s="461"/>
      <c r="G19" s="459" t="s">
        <v>118</v>
      </c>
      <c r="H19" s="462"/>
      <c r="I19" s="462"/>
      <c r="J19" s="463"/>
      <c r="L19" s="464" t="s">
        <v>119</v>
      </c>
      <c r="M19" s="465"/>
      <c r="N19" s="465"/>
      <c r="O19" s="466"/>
      <c r="S19" s="383"/>
    </row>
    <row r="20" spans="1:19" ht="13.5" thickBot="1" x14ac:dyDescent="0.25">
      <c r="A20" s="169" t="s">
        <v>99</v>
      </c>
      <c r="B20" s="426" t="s">
        <v>100</v>
      </c>
      <c r="C20" s="426" t="s">
        <v>101</v>
      </c>
      <c r="D20" s="426" t="s">
        <v>240</v>
      </c>
      <c r="E20" s="426" t="s">
        <v>224</v>
      </c>
      <c r="F20" s="426" t="s">
        <v>96</v>
      </c>
      <c r="G20" s="426" t="s">
        <v>100</v>
      </c>
      <c r="H20" s="426" t="s">
        <v>101</v>
      </c>
      <c r="I20" s="426" t="s">
        <v>240</v>
      </c>
      <c r="J20" s="426" t="s">
        <v>224</v>
      </c>
      <c r="K20" s="426" t="s">
        <v>96</v>
      </c>
      <c r="L20" s="426" t="s">
        <v>100</v>
      </c>
      <c r="M20" s="426" t="s">
        <v>101</v>
      </c>
      <c r="N20" s="426" t="s">
        <v>240</v>
      </c>
      <c r="O20" s="426" t="s">
        <v>224</v>
      </c>
      <c r="P20" s="426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152125</v>
      </c>
      <c r="C21" s="415">
        <f>+[4]Charter!C21</f>
        <v>149353</v>
      </c>
      <c r="D21" s="415">
        <f t="shared" ref="D21" si="2">SUM(B21:C21)</f>
        <v>301478</v>
      </c>
      <c r="E21" s="425">
        <f>[5]Charter!$D$21</f>
        <v>255954</v>
      </c>
      <c r="F21" s="416">
        <f t="shared" ref="F21:F32" si="3">(D21-E21)/E21</f>
        <v>0.17786008423388577</v>
      </c>
      <c r="G21" s="415">
        <f>+[4]Charter!G21</f>
        <v>1103358</v>
      </c>
      <c r="H21" s="415">
        <f>+[4]Charter!H21</f>
        <v>1138892</v>
      </c>
      <c r="I21" s="415">
        <f t="shared" ref="I21" si="4">SUM(G21:H21)</f>
        <v>2242250</v>
      </c>
      <c r="J21" s="425">
        <f>[5]Charter!I21</f>
        <v>2136976</v>
      </c>
      <c r="K21" s="422">
        <f t="shared" ref="K21:K32" si="5">(I21-J21)/J21</f>
        <v>4.9263070806597732E-2</v>
      </c>
      <c r="L21" s="415">
        <f>+[4]Charter!L21</f>
        <v>1255483</v>
      </c>
      <c r="M21" s="415">
        <f>+[4]Charter!M21</f>
        <v>1288245</v>
      </c>
      <c r="N21" s="425">
        <f t="shared" ref="N21" si="6">SUM(L21:M21)</f>
        <v>2543728</v>
      </c>
      <c r="O21" s="425">
        <f>[5]Charter!N21</f>
        <v>2392930</v>
      </c>
      <c r="P21" s="421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+[6]Charter!B22</f>
        <v>158108</v>
      </c>
      <c r="C22" s="415">
        <f>+[6]Charter!C22</f>
        <v>164917</v>
      </c>
      <c r="D22" s="415">
        <f t="shared" ref="D22" si="7">SUM(B22:C22)</f>
        <v>323025</v>
      </c>
      <c r="E22" s="415">
        <f>[7]Charter!D22</f>
        <v>251121</v>
      </c>
      <c r="F22" s="417">
        <f t="shared" si="3"/>
        <v>0.28633208692224066</v>
      </c>
      <c r="G22" s="415">
        <f t="shared" ref="G22" si="8">L22-B22</f>
        <v>1111463</v>
      </c>
      <c r="H22" s="415">
        <f t="shared" ref="H22" si="9">M22-C22</f>
        <v>1149323</v>
      </c>
      <c r="I22" s="415">
        <f t="shared" ref="I22" si="10">SUM(G22:H22)</f>
        <v>2260786</v>
      </c>
      <c r="J22" s="415">
        <f>[7]Charter!I22</f>
        <v>2010512</v>
      </c>
      <c r="K22" s="423">
        <f t="shared" si="5"/>
        <v>0.1244827188298304</v>
      </c>
      <c r="L22" s="415">
        <f>+[6]Charter!L22</f>
        <v>1269571</v>
      </c>
      <c r="M22" s="415">
        <f>+[6]Charter!M22</f>
        <v>1314240</v>
      </c>
      <c r="N22" s="425">
        <f t="shared" ref="N22" si="11">SUM(L22:M22)</f>
        <v>2583811</v>
      </c>
      <c r="O22" s="415">
        <f>[7]Charter!N22</f>
        <v>2261633</v>
      </c>
      <c r="P22" s="412">
        <f t="shared" ref="P22:P32" si="12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+[2]Charter!B23</f>
        <v>203887</v>
      </c>
      <c r="C23" s="415">
        <f>+[2]Charter!C23</f>
        <v>201641</v>
      </c>
      <c r="D23" s="415">
        <f t="shared" ref="D23" si="13">SUM(B23:C23)</f>
        <v>405528</v>
      </c>
      <c r="E23" s="415">
        <f>[8]Charter!D23</f>
        <v>341563</v>
      </c>
      <c r="F23" s="418">
        <f t="shared" si="3"/>
        <v>0.18727145504636042</v>
      </c>
      <c r="G23" s="415">
        <f t="shared" ref="G23" si="14">L23-B23</f>
        <v>1419372</v>
      </c>
      <c r="H23" s="415">
        <f t="shared" ref="H23" si="15">M23-C23</f>
        <v>1423162</v>
      </c>
      <c r="I23" s="415">
        <f t="shared" ref="I23" si="16">SUM(G23:H23)</f>
        <v>2842534</v>
      </c>
      <c r="J23" s="415">
        <f>[8]Charter!I23</f>
        <v>2692997</v>
      </c>
      <c r="K23" s="423">
        <f t="shared" si="5"/>
        <v>5.5528097506235614E-2</v>
      </c>
      <c r="L23" s="415">
        <f>+[2]Charter!L23</f>
        <v>1623259</v>
      </c>
      <c r="M23" s="415">
        <f>+[2]Charter!M23</f>
        <v>1624803</v>
      </c>
      <c r="N23" s="425">
        <f t="shared" ref="N23" si="17">SUM(L23:M23)</f>
        <v>3248062</v>
      </c>
      <c r="O23" s="415">
        <f>[8]Charter!N23</f>
        <v>3034560</v>
      </c>
      <c r="P23" s="412">
        <f t="shared" si="12"/>
        <v>7.0356822735421279E-2</v>
      </c>
      <c r="S23" s="383"/>
    </row>
    <row r="24" spans="1:19" ht="14.1" customHeight="1" x14ac:dyDescent="0.2">
      <c r="A24" s="175" t="s">
        <v>105</v>
      </c>
      <c r="B24" s="415">
        <f>+'Intl Detail'!$Q$4+'Intl Detail'!$Q$9</f>
        <v>145395</v>
      </c>
      <c r="C24" s="415">
        <f>+'Intl Detail'!$Q$5+'Intl Detail'!$Q$10</f>
        <v>121092</v>
      </c>
      <c r="D24" s="415">
        <f t="shared" ref="D24" si="18">SUM(B24:C24)</f>
        <v>266487</v>
      </c>
      <c r="E24" s="415">
        <f>[1]Charter!D24</f>
        <v>249458</v>
      </c>
      <c r="F24" s="418">
        <f t="shared" si="3"/>
        <v>6.8263996344073957E-2</v>
      </c>
      <c r="G24" s="415">
        <f t="shared" ref="G24" si="19">L24-B24</f>
        <v>1407377</v>
      </c>
      <c r="H24" s="415">
        <f t="shared" ref="H24" si="20">M24-C24</f>
        <v>1329925</v>
      </c>
      <c r="I24" s="415">
        <f t="shared" ref="I24" si="21">SUM(G24:H24)</f>
        <v>2737302</v>
      </c>
      <c r="J24" s="415">
        <f>[1]Charter!I24</f>
        <v>2532647</v>
      </c>
      <c r="K24" s="423">
        <f t="shared" si="5"/>
        <v>8.0806760673714104E-2</v>
      </c>
      <c r="L24" s="415">
        <f>+'Monthly Summary'!$B$11</f>
        <v>1552772</v>
      </c>
      <c r="M24" s="415">
        <f>+'Monthly Summary'!$C$11</f>
        <v>1451017</v>
      </c>
      <c r="N24" s="425">
        <f t="shared" ref="N24" si="22">SUM(L24:M24)</f>
        <v>3003789</v>
      </c>
      <c r="O24" s="415">
        <f>[1]Charter!N24</f>
        <v>2782105</v>
      </c>
      <c r="P24" s="412">
        <f t="shared" si="12"/>
        <v>7.9682111207161482E-2</v>
      </c>
    </row>
    <row r="25" spans="1:19" ht="14.1" customHeight="1" x14ac:dyDescent="0.2">
      <c r="A25" s="168" t="s">
        <v>75</v>
      </c>
      <c r="B25" s="425"/>
      <c r="C25" s="425"/>
      <c r="D25" s="415"/>
      <c r="E25" s="415"/>
      <c r="F25" s="419" t="e">
        <f t="shared" si="3"/>
        <v>#DIV/0!</v>
      </c>
      <c r="G25" s="415"/>
      <c r="H25" s="415"/>
      <c r="I25" s="415"/>
      <c r="J25" s="415"/>
      <c r="K25" s="424" t="e">
        <f t="shared" si="5"/>
        <v>#DIV/0!</v>
      </c>
      <c r="L25" s="425"/>
      <c r="M25" s="425"/>
      <c r="N25" s="425"/>
      <c r="O25" s="415"/>
      <c r="P25" s="413" t="e">
        <f t="shared" si="12"/>
        <v>#DIV/0!</v>
      </c>
    </row>
    <row r="26" spans="1:19" ht="14.1" customHeight="1" x14ac:dyDescent="0.2">
      <c r="A26" s="175" t="s">
        <v>106</v>
      </c>
      <c r="B26" s="425"/>
      <c r="C26" s="425"/>
      <c r="D26" s="415"/>
      <c r="E26" s="415"/>
      <c r="F26" s="418" t="e">
        <f t="shared" si="3"/>
        <v>#DIV/0!</v>
      </c>
      <c r="G26" s="415"/>
      <c r="H26" s="415"/>
      <c r="I26" s="415"/>
      <c r="J26" s="415"/>
      <c r="K26" s="423" t="e">
        <f t="shared" si="5"/>
        <v>#DIV/0!</v>
      </c>
      <c r="L26" s="425"/>
      <c r="M26" s="425"/>
      <c r="N26" s="425"/>
      <c r="O26" s="415"/>
      <c r="P26" s="412" t="e">
        <f t="shared" si="12"/>
        <v>#DIV/0!</v>
      </c>
    </row>
    <row r="27" spans="1:19" ht="14.1" customHeight="1" x14ac:dyDescent="0.2">
      <c r="A27" s="168" t="s">
        <v>107</v>
      </c>
      <c r="B27" s="425"/>
      <c r="C27" s="425"/>
      <c r="D27" s="415"/>
      <c r="E27" s="415"/>
      <c r="F27" s="419" t="e">
        <f t="shared" si="3"/>
        <v>#DIV/0!</v>
      </c>
      <c r="G27" s="415"/>
      <c r="H27" s="415"/>
      <c r="I27" s="415"/>
      <c r="J27" s="415"/>
      <c r="K27" s="424" t="e">
        <f t="shared" si="5"/>
        <v>#DIV/0!</v>
      </c>
      <c r="L27" s="425"/>
      <c r="M27" s="425"/>
      <c r="N27" s="425"/>
      <c r="O27" s="415"/>
      <c r="P27" s="413" t="e">
        <f t="shared" si="12"/>
        <v>#DIV/0!</v>
      </c>
    </row>
    <row r="28" spans="1:19" ht="14.1" customHeight="1" x14ac:dyDescent="0.2">
      <c r="A28" s="175" t="s">
        <v>108</v>
      </c>
      <c r="B28" s="425"/>
      <c r="C28" s="425"/>
      <c r="D28" s="415"/>
      <c r="E28" s="415"/>
      <c r="F28" s="418" t="e">
        <f t="shared" si="3"/>
        <v>#DIV/0!</v>
      </c>
      <c r="G28" s="415"/>
      <c r="H28" s="415"/>
      <c r="I28" s="415"/>
      <c r="J28" s="415"/>
      <c r="K28" s="423" t="e">
        <f t="shared" si="5"/>
        <v>#DIV/0!</v>
      </c>
      <c r="L28" s="425"/>
      <c r="M28" s="425"/>
      <c r="N28" s="425"/>
      <c r="O28" s="415"/>
      <c r="P28" s="412" t="e">
        <f t="shared" si="12"/>
        <v>#DIV/0!</v>
      </c>
    </row>
    <row r="29" spans="1:19" ht="14.1" customHeight="1" x14ac:dyDescent="0.2">
      <c r="A29" s="168" t="s">
        <v>109</v>
      </c>
      <c r="B29" s="425"/>
      <c r="C29" s="425"/>
      <c r="D29" s="415"/>
      <c r="E29" s="415"/>
      <c r="F29" s="419" t="e">
        <f t="shared" si="3"/>
        <v>#DIV/0!</v>
      </c>
      <c r="G29" s="415"/>
      <c r="H29" s="415"/>
      <c r="I29" s="415"/>
      <c r="J29" s="415"/>
      <c r="K29" s="424" t="e">
        <f t="shared" si="5"/>
        <v>#DIV/0!</v>
      </c>
      <c r="L29" s="425"/>
      <c r="M29" s="425"/>
      <c r="N29" s="425"/>
      <c r="O29" s="415"/>
      <c r="P29" s="413" t="e">
        <f t="shared" si="12"/>
        <v>#DIV/0!</v>
      </c>
    </row>
    <row r="30" spans="1:19" ht="14.1" customHeight="1" x14ac:dyDescent="0.2">
      <c r="A30" s="175" t="s">
        <v>110</v>
      </c>
      <c r="B30" s="425"/>
      <c r="C30" s="425"/>
      <c r="D30" s="415"/>
      <c r="E30" s="415"/>
      <c r="F30" s="418" t="e">
        <f t="shared" si="3"/>
        <v>#DIV/0!</v>
      </c>
      <c r="G30" s="415"/>
      <c r="H30" s="415"/>
      <c r="I30" s="415"/>
      <c r="J30" s="415"/>
      <c r="K30" s="423" t="e">
        <f t="shared" si="5"/>
        <v>#DIV/0!</v>
      </c>
      <c r="L30" s="425"/>
      <c r="M30" s="425"/>
      <c r="N30" s="425"/>
      <c r="O30" s="415"/>
      <c r="P30" s="412" t="e">
        <f t="shared" si="12"/>
        <v>#DIV/0!</v>
      </c>
    </row>
    <row r="31" spans="1:19" ht="14.1" customHeight="1" x14ac:dyDescent="0.2">
      <c r="A31" s="168" t="s">
        <v>111</v>
      </c>
      <c r="B31" s="425"/>
      <c r="C31" s="425"/>
      <c r="D31" s="415"/>
      <c r="E31" s="415"/>
      <c r="F31" s="419" t="e">
        <f t="shared" si="3"/>
        <v>#DIV/0!</v>
      </c>
      <c r="G31" s="415"/>
      <c r="H31" s="415"/>
      <c r="I31" s="415"/>
      <c r="J31" s="415"/>
      <c r="K31" s="424" t="e">
        <f t="shared" si="5"/>
        <v>#DIV/0!</v>
      </c>
      <c r="L31" s="425"/>
      <c r="M31" s="425"/>
      <c r="N31" s="425"/>
      <c r="O31" s="415"/>
      <c r="P31" s="413" t="e">
        <f t="shared" si="12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20" t="e">
        <f t="shared" si="3"/>
        <v>#DIV/0!</v>
      </c>
      <c r="G32" s="415"/>
      <c r="H32" s="415"/>
      <c r="I32" s="415"/>
      <c r="J32" s="415"/>
      <c r="K32" s="420" t="e">
        <f t="shared" si="5"/>
        <v>#DIV/0!</v>
      </c>
      <c r="L32" s="415"/>
      <c r="M32" s="415"/>
      <c r="N32" s="425"/>
      <c r="O32" s="415"/>
      <c r="P32" s="414" t="e">
        <f t="shared" si="12"/>
        <v>#DIV/0!</v>
      </c>
    </row>
    <row r="33" spans="1:16" ht="13.5" thickBot="1" x14ac:dyDescent="0.25">
      <c r="A33" s="173" t="s">
        <v>76</v>
      </c>
      <c r="B33" s="179">
        <f>SUM(B21:B32)</f>
        <v>659515</v>
      </c>
      <c r="C33" s="180">
        <f>SUM(C21:C32)</f>
        <v>637003</v>
      </c>
      <c r="D33" s="180">
        <f>SUM(D21:D32)</f>
        <v>1296518</v>
      </c>
      <c r="E33" s="181">
        <f>SUM(E21:E32)</f>
        <v>1098096</v>
      </c>
      <c r="F33" s="171">
        <f>(D33-E33)/E33</f>
        <v>0.18069640541446286</v>
      </c>
      <c r="G33" s="182">
        <f>SUM(G21:G32)</f>
        <v>5041570</v>
      </c>
      <c r="H33" s="180">
        <f>SUM(H21:H32)</f>
        <v>5041302</v>
      </c>
      <c r="I33" s="180">
        <f>SUM(I21:I32)</f>
        <v>10082872</v>
      </c>
      <c r="J33" s="183">
        <f>SUM(J21:J32)</f>
        <v>9373132</v>
      </c>
      <c r="K33" s="172">
        <f>(I33-J33)/J33</f>
        <v>7.5720687599406478E-2</v>
      </c>
      <c r="L33" s="182">
        <f>SUM(L21:L32)</f>
        <v>5701085</v>
      </c>
      <c r="M33" s="180">
        <f>SUM(M21:M32)</f>
        <v>5678305</v>
      </c>
      <c r="N33" s="180">
        <f>SUM(N21:N32)</f>
        <v>11379390</v>
      </c>
      <c r="O33" s="181">
        <f>SUM(O21:O32)</f>
        <v>10471228</v>
      </c>
      <c r="P33" s="170">
        <f>(N33-O33)/O33</f>
        <v>8.6729273777631427E-2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April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W28" sqref="W2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67" t="s">
        <v>195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9"/>
    </row>
    <row r="2" spans="1:23" s="26" customFormat="1" ht="43.5" customHeight="1" thickBot="1" x14ac:dyDescent="0.25">
      <c r="A2" s="388">
        <v>45383</v>
      </c>
      <c r="B2" s="317" t="s">
        <v>191</v>
      </c>
      <c r="C2" s="317" t="s">
        <v>231</v>
      </c>
      <c r="D2" s="317" t="s">
        <v>212</v>
      </c>
      <c r="E2" s="350" t="s">
        <v>214</v>
      </c>
      <c r="F2" s="350" t="s">
        <v>213</v>
      </c>
      <c r="G2" s="317" t="s">
        <v>196</v>
      </c>
      <c r="H2" s="350" t="s">
        <v>228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226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Air'!$IW$4</f>
        <v>1</v>
      </c>
      <c r="C4" s="126">
        <f>[3]DHL!$IW$8+[3]DHL!$IW$4</f>
        <v>21</v>
      </c>
      <c r="D4" s="126">
        <f>[3]Airborne!$IW$4+[3]Airborne!$IW$15</f>
        <v>1</v>
      </c>
      <c r="E4" s="89">
        <f>[3]DHL_Bemidji!$IW$4</f>
        <v>42</v>
      </c>
      <c r="F4" s="89">
        <f>[3]Bemidji!$IW$4</f>
        <v>172</v>
      </c>
      <c r="G4" s="126">
        <f>[3]DHL_Encore!$IW$4+[3]DHL_Encore!$IW$15</f>
        <v>0</v>
      </c>
      <c r="H4" s="126">
        <f>[3]DHL_Mesa!$IW$4+[3]DHL_Mesa!$IW$15</f>
        <v>0</v>
      </c>
      <c r="I4" s="126">
        <f>[3]Encore!$IW$4+[3]Encore!$IW$15</f>
        <v>0</v>
      </c>
      <c r="J4" s="126">
        <f>[3]FedEx!$IW$4+[3]FedEx!$IW$15</f>
        <v>87</v>
      </c>
      <c r="K4" s="126">
        <f>[3]IFL!$IW$4+[3]IFL!$IW$15</f>
        <v>18</v>
      </c>
      <c r="L4" s="126">
        <f>[3]DHL_Kalitta!$IW$4+[3]DHL_Kalitta!$IW$15</f>
        <v>0</v>
      </c>
      <c r="M4" s="89">
        <f>'[3]Mountain Cargo'!$IW$4</f>
        <v>20</v>
      </c>
      <c r="N4" s="126">
        <f>[3]DHL_Amerijet!$IW$4+[3]DHL_Amerijet!$IW$15</f>
        <v>0</v>
      </c>
      <c r="O4" s="126">
        <f>[3]DHL_Swift!$IW$4+[3]DHL_Swift!$IW$15</f>
        <v>0</v>
      </c>
      <c r="P4" s="126">
        <f>+'[3]Sun Country Cargo'!$IW$4+'[3]Sun Country Cargo'!$IW$8+'[3]Sun Country Cargo'!$IW$15</f>
        <v>96</v>
      </c>
      <c r="Q4" s="126">
        <f>[3]UPS!$IW$4+[3]UPS!$IW$15</f>
        <v>89</v>
      </c>
      <c r="R4" s="89">
        <f>'[3]Misc Cargo'!$IW$4</f>
        <v>0</v>
      </c>
      <c r="S4" s="360">
        <f>SUM(B4:R4)</f>
        <v>547</v>
      </c>
      <c r="U4" s="332"/>
      <c r="V4" s="332"/>
      <c r="W4" s="209"/>
    </row>
    <row r="5" spans="1:23" x14ac:dyDescent="0.2">
      <c r="A5" s="36" t="s">
        <v>54</v>
      </c>
      <c r="B5" s="361">
        <f>'[3]Atlas Air'!$IW$5</f>
        <v>1</v>
      </c>
      <c r="C5" s="150">
        <f>[3]DHL!$IW$9+[3]DHL!$IW$5</f>
        <v>21</v>
      </c>
      <c r="D5" s="150">
        <f>[3]Airborne!$IW$5</f>
        <v>1</v>
      </c>
      <c r="E5" s="90">
        <f>[3]DHL_Bemidji!$IW$5</f>
        <v>42</v>
      </c>
      <c r="F5" s="90">
        <f>[3]Bemidji!$IW$5</f>
        <v>172</v>
      </c>
      <c r="G5" s="150">
        <f>[3]DHL_Encore!$IW$5</f>
        <v>0</v>
      </c>
      <c r="H5" s="150">
        <f>[3]DHL_Mesa!$IW$5</f>
        <v>0</v>
      </c>
      <c r="I5" s="150">
        <f>[3]Encore!$IW$5</f>
        <v>0</v>
      </c>
      <c r="J5" s="150">
        <f>[3]FedEx!$IW$5</f>
        <v>87</v>
      </c>
      <c r="K5" s="150">
        <f>[3]IFL!$IW$5</f>
        <v>18</v>
      </c>
      <c r="L5" s="150">
        <f>[3]DHL_Kalitta!$IW$5+[3]DHL_Kalitta!$IW$16</f>
        <v>0</v>
      </c>
      <c r="M5" s="90">
        <f>'[3]Mountain Cargo'!$IW$5</f>
        <v>20</v>
      </c>
      <c r="N5" s="150">
        <f>[3]DHL_Amerijet!$IW$5</f>
        <v>0</v>
      </c>
      <c r="O5" s="150">
        <f>[3]DHL_Swift!$IW$5</f>
        <v>0</v>
      </c>
      <c r="P5" s="150">
        <f>+'[3]Sun Country Cargo'!$IW$5+'[3]Sun Country Cargo'!$IW$9+'[3]Sun Country Cargo'!$IW$16</f>
        <v>96</v>
      </c>
      <c r="Q5" s="150">
        <f>[3]UPS!$IW$5+[3]UPS!$IW$16</f>
        <v>89</v>
      </c>
      <c r="R5" s="90">
        <f>'[3]Misc Cargo'!$IW$5</f>
        <v>0</v>
      </c>
      <c r="S5" s="360">
        <f>SUM(B5:R5)</f>
        <v>547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2</v>
      </c>
      <c r="C6" s="363">
        <f t="shared" si="0"/>
        <v>42</v>
      </c>
      <c r="D6" s="363">
        <f t="shared" ref="D6:E6" si="1">SUM(D4:D5)</f>
        <v>2</v>
      </c>
      <c r="E6" s="87">
        <f t="shared" si="1"/>
        <v>84</v>
      </c>
      <c r="F6" s="87">
        <f t="shared" si="0"/>
        <v>344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174</v>
      </c>
      <c r="K6" s="363">
        <f t="shared" si="0"/>
        <v>36</v>
      </c>
      <c r="L6" s="363">
        <f t="shared" si="0"/>
        <v>0</v>
      </c>
      <c r="M6" s="87">
        <f t="shared" si="0"/>
        <v>40</v>
      </c>
      <c r="N6" s="363">
        <f t="shared" si="0"/>
        <v>0</v>
      </c>
      <c r="O6" s="363">
        <f t="shared" si="0"/>
        <v>0</v>
      </c>
      <c r="P6" s="363">
        <f t="shared" si="0"/>
        <v>192</v>
      </c>
      <c r="Q6" s="363">
        <f t="shared" si="0"/>
        <v>178</v>
      </c>
      <c r="R6" s="87">
        <f t="shared" si="0"/>
        <v>0</v>
      </c>
      <c r="S6" s="360">
        <f t="shared" ref="S6:S10" si="3">SUM(B6:R6)</f>
        <v>1094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Cargo'!$IW$8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Cargo'!$IW$9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2</v>
      </c>
      <c r="C12" s="155">
        <f t="shared" si="7"/>
        <v>42</v>
      </c>
      <c r="D12" s="155">
        <f t="shared" ref="D12:E12" si="8">D6+D10</f>
        <v>2</v>
      </c>
      <c r="E12" s="156">
        <f t="shared" si="8"/>
        <v>84</v>
      </c>
      <c r="F12" s="156">
        <f t="shared" si="7"/>
        <v>344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174</v>
      </c>
      <c r="K12" s="155">
        <f t="shared" si="7"/>
        <v>36</v>
      </c>
      <c r="L12" s="155">
        <f t="shared" si="7"/>
        <v>0</v>
      </c>
      <c r="M12" s="156">
        <f t="shared" si="7"/>
        <v>40</v>
      </c>
      <c r="N12" s="155">
        <f t="shared" si="7"/>
        <v>0</v>
      </c>
      <c r="O12" s="155">
        <f t="shared" si="7"/>
        <v>0</v>
      </c>
      <c r="P12" s="155">
        <f t="shared" si="7"/>
        <v>192</v>
      </c>
      <c r="Q12" s="155">
        <f t="shared" si="7"/>
        <v>178</v>
      </c>
      <c r="R12" s="156">
        <f t="shared" si="7"/>
        <v>0</v>
      </c>
      <c r="S12" s="366">
        <f>SUM(B12:R12)</f>
        <v>1094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Air'!$IW$47</f>
        <v>32249</v>
      </c>
      <c r="C16" s="126">
        <f>[3]DHL!$IW$47</f>
        <v>76821</v>
      </c>
      <c r="D16" s="126">
        <f>[3]Airborne!$IW$47</f>
        <v>33717</v>
      </c>
      <c r="E16" s="126">
        <f>[3]DHL_Bemidji!$IW$47</f>
        <v>46508</v>
      </c>
      <c r="F16" s="470" t="s">
        <v>86</v>
      </c>
      <c r="G16" s="126">
        <f>[3]DHL_Encore!$IW$47</f>
        <v>0</v>
      </c>
      <c r="H16" s="126">
        <f>[3]DHL_Mesa!$IW$47</f>
        <v>0</v>
      </c>
      <c r="I16" s="126">
        <f>[3]Encore!$IW$47</f>
        <v>0</v>
      </c>
      <c r="J16" s="126">
        <f>[3]FedEx!$IW$47</f>
        <v>6853149</v>
      </c>
      <c r="K16" s="126">
        <f>[3]IFL!$IW$47</f>
        <v>60009</v>
      </c>
      <c r="L16" s="126">
        <f>[3]DHL_Kalitta!$IW$47</f>
        <v>0</v>
      </c>
      <c r="M16" s="89">
        <f>'[3]Mountain Cargo'!$IW$47</f>
        <v>0</v>
      </c>
      <c r="N16" s="126">
        <f>[3]DHL_Amerijet!$IW$47</f>
        <v>0</v>
      </c>
      <c r="O16" s="126">
        <f>[3]DHL_Swift!$IW$47</f>
        <v>0</v>
      </c>
      <c r="P16" s="126">
        <f>+'[3]Sun Country Cargo'!$IW$47</f>
        <v>1783161</v>
      </c>
      <c r="Q16" s="126">
        <f>[3]UPS!$IW$47</f>
        <v>5017690</v>
      </c>
      <c r="R16" s="89">
        <f>'[3]Misc Cargo'!$IW$47</f>
        <v>0</v>
      </c>
      <c r="S16" s="360">
        <f>SUM(B16:E16)+SUM(G16:R16)</f>
        <v>13903304</v>
      </c>
      <c r="U16" s="332"/>
      <c r="V16" s="332"/>
      <c r="W16" s="209"/>
    </row>
    <row r="17" spans="1:23" x14ac:dyDescent="0.2">
      <c r="A17" s="36" t="s">
        <v>38</v>
      </c>
      <c r="B17" s="177">
        <f>'[3]Atlas Air'!$IW$48</f>
        <v>0</v>
      </c>
      <c r="C17" s="126">
        <f>[3]DHL!$IW$48</f>
        <v>0</v>
      </c>
      <c r="D17" s="126">
        <f>[3]Airborne!$IW$48</f>
        <v>0</v>
      </c>
      <c r="E17" s="126">
        <f>[3]DHL_Bemidji!$IW$48</f>
        <v>0</v>
      </c>
      <c r="F17" s="471"/>
      <c r="G17" s="126">
        <f>[3]DHL_Encore!$IW$48</f>
        <v>0</v>
      </c>
      <c r="H17" s="126">
        <f>[3]DHL_Mesa!$IW$48</f>
        <v>0</v>
      </c>
      <c r="I17" s="126">
        <f>[3]Encore!$IW$48</f>
        <v>0</v>
      </c>
      <c r="J17" s="126">
        <f>[3]FedEx!$IW$48</f>
        <v>0</v>
      </c>
      <c r="K17" s="126">
        <f>[3]IFL!$IW$48</f>
        <v>0</v>
      </c>
      <c r="L17" s="126">
        <f>[3]DHL_Kalitta!$IW$48</f>
        <v>0</v>
      </c>
      <c r="M17" s="89">
        <f>'[3]Mountain Cargo'!$IW$48</f>
        <v>41701</v>
      </c>
      <c r="N17" s="126">
        <f>[3]DHL_Amerijet!$IW$48</f>
        <v>0</v>
      </c>
      <c r="O17" s="126">
        <f>[3]DHL_Swift!$IW$48</f>
        <v>0</v>
      </c>
      <c r="P17" s="126">
        <f>+'[3]Sun Country Cargo'!$IW$48</f>
        <v>0</v>
      </c>
      <c r="Q17" s="126">
        <f>[3]UPS!$IW$48</f>
        <v>265310</v>
      </c>
      <c r="R17" s="89">
        <f>'[3]Misc Cargo'!$IW$48</f>
        <v>0</v>
      </c>
      <c r="S17" s="360">
        <f>SUM(B17:E17)+SUM(G17:R17)</f>
        <v>307011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32249</v>
      </c>
      <c r="C18" s="215">
        <f>SUM(C16:C17)</f>
        <v>76821</v>
      </c>
      <c r="D18" s="215">
        <f>SUM(D16:D17)</f>
        <v>33717</v>
      </c>
      <c r="E18" s="215">
        <f>SUM(E16:E17)</f>
        <v>46508</v>
      </c>
      <c r="F18" s="471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6853149</v>
      </c>
      <c r="K18" s="215">
        <f>SUM(K16:K17)</f>
        <v>60009</v>
      </c>
      <c r="L18" s="215">
        <f t="shared" ref="L18:R18" si="10">SUM(L16:L17)</f>
        <v>0</v>
      </c>
      <c r="M18" s="216">
        <f t="shared" si="10"/>
        <v>41701</v>
      </c>
      <c r="N18" s="215">
        <f t="shared" si="10"/>
        <v>0</v>
      </c>
      <c r="O18" s="215">
        <f t="shared" si="10"/>
        <v>0</v>
      </c>
      <c r="P18" s="215">
        <f t="shared" si="10"/>
        <v>1783161</v>
      </c>
      <c r="Q18" s="215">
        <f t="shared" si="10"/>
        <v>5283000</v>
      </c>
      <c r="R18" s="216">
        <f t="shared" si="10"/>
        <v>0</v>
      </c>
      <c r="S18" s="372">
        <f>SUM(B18:D18)+SUM(G18:R18)</f>
        <v>14163807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1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1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Air'!$IW$52</f>
        <v>39381</v>
      </c>
      <c r="C21" s="126">
        <f>[3]DHL!$IW$52</f>
        <v>512574</v>
      </c>
      <c r="D21" s="126">
        <f>[3]Airborne!$IW$52</f>
        <v>37527</v>
      </c>
      <c r="E21" s="126">
        <f>[3]DHL_Bemidji!$IW$52</f>
        <v>47931</v>
      </c>
      <c r="F21" s="471"/>
      <c r="G21" s="126">
        <f>[3]DHL_Encore!$IW$52</f>
        <v>0</v>
      </c>
      <c r="H21" s="126">
        <f>[3]DHL_Mesa!$IW$52</f>
        <v>0</v>
      </c>
      <c r="I21" s="126">
        <f>[3]Encore!$IW$52</f>
        <v>0</v>
      </c>
      <c r="J21" s="126">
        <f>[3]FedEx!$IW$52</f>
        <v>5493267</v>
      </c>
      <c r="K21" s="126">
        <f>[3]IFL!$IW$52</f>
        <v>0</v>
      </c>
      <c r="L21" s="126">
        <f>[3]DHL_Kalitta!$IW$52</f>
        <v>0</v>
      </c>
      <c r="M21" s="89">
        <f>'[3]Mountain Cargo'!$IW$52</f>
        <v>0</v>
      </c>
      <c r="N21" s="126">
        <f>[3]DHL_Amerijet!$IW$52</f>
        <v>0</v>
      </c>
      <c r="O21" s="126">
        <f>[3]DHL_Swift!$IW$52</f>
        <v>0</v>
      </c>
      <c r="P21" s="126">
        <f>+'[3]Sun Country Cargo'!$IW$52</f>
        <v>2336730</v>
      </c>
      <c r="Q21" s="126">
        <f>[3]UPS!$IW$52</f>
        <v>3995389</v>
      </c>
      <c r="R21" s="89">
        <f>'[3]Misc Cargo'!$IW$52</f>
        <v>0</v>
      </c>
      <c r="S21" s="360">
        <f>SUM(B21:E21)+SUM(G21:R21)</f>
        <v>12462799</v>
      </c>
      <c r="U21" s="332"/>
      <c r="V21" s="332"/>
      <c r="W21" s="209"/>
    </row>
    <row r="22" spans="1:23" x14ac:dyDescent="0.2">
      <c r="A22" s="36" t="s">
        <v>60</v>
      </c>
      <c r="B22" s="177">
        <f>'[3]Atlas Air'!$IW$53</f>
        <v>0</v>
      </c>
      <c r="C22" s="126">
        <f>[3]DHL!$IW$53</f>
        <v>0</v>
      </c>
      <c r="D22" s="126">
        <f>[3]Airborne!$IW$53</f>
        <v>0</v>
      </c>
      <c r="E22" s="126">
        <f>[3]DHL_Bemidji!$IW$53</f>
        <v>0</v>
      </c>
      <c r="F22" s="471"/>
      <c r="G22" s="126">
        <f>[3]DHL_Encore!$IW$53</f>
        <v>0</v>
      </c>
      <c r="H22" s="126">
        <f>[3]DHL_Mesa!$IW$53</f>
        <v>0</v>
      </c>
      <c r="I22" s="126">
        <f>[3]Encore!$IW$53</f>
        <v>0</v>
      </c>
      <c r="J22" s="126">
        <f>[3]FedEx!$IW$53</f>
        <v>0</v>
      </c>
      <c r="K22" s="126">
        <f>[3]IFL!$IW$53</f>
        <v>0</v>
      </c>
      <c r="L22" s="126">
        <f>[3]DHL_Kalitta!$IW$53</f>
        <v>0</v>
      </c>
      <c r="M22" s="89">
        <f>'[3]Mountain Cargo'!$IW$53</f>
        <v>93590</v>
      </c>
      <c r="N22" s="126">
        <f>[3]DHL_Amerijet!$IW$53</f>
        <v>0</v>
      </c>
      <c r="O22" s="126">
        <f>[3]DHL_Swift!$IW$53</f>
        <v>0</v>
      </c>
      <c r="P22" s="126">
        <f>+'[3]Sun Country Cargo'!$IW$53</f>
        <v>0</v>
      </c>
      <c r="Q22" s="126">
        <f>[3]UPS!$IW$53</f>
        <v>99503</v>
      </c>
      <c r="R22" s="89">
        <f>'[3]Misc Cargo'!$IW$53</f>
        <v>0</v>
      </c>
      <c r="S22" s="360">
        <f>SUM(B22:E22)+SUM(G22:R22)</f>
        <v>193093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39381</v>
      </c>
      <c r="C23" s="215">
        <f>SUM(C21:C22)</f>
        <v>512574</v>
      </c>
      <c r="D23" s="215">
        <f t="shared" ref="D23:E23" si="11">SUM(D21:D22)</f>
        <v>37527</v>
      </c>
      <c r="E23" s="215">
        <f t="shared" si="11"/>
        <v>47931</v>
      </c>
      <c r="F23" s="471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5493267</v>
      </c>
      <c r="K23" s="215">
        <f t="shared" si="12"/>
        <v>0</v>
      </c>
      <c r="L23" s="215">
        <f t="shared" si="12"/>
        <v>0</v>
      </c>
      <c r="M23" s="216">
        <f t="shared" si="12"/>
        <v>93590</v>
      </c>
      <c r="N23" s="215">
        <f t="shared" si="12"/>
        <v>0</v>
      </c>
      <c r="O23" s="215">
        <f t="shared" si="12"/>
        <v>0</v>
      </c>
      <c r="P23" s="215">
        <f t="shared" si="12"/>
        <v>2336730</v>
      </c>
      <c r="Q23" s="215">
        <f t="shared" si="12"/>
        <v>4094892</v>
      </c>
      <c r="R23" s="216">
        <f t="shared" si="12"/>
        <v>0</v>
      </c>
      <c r="S23" s="372">
        <f>SUM(B23:D23)+SUM(G23:R23)</f>
        <v>12607961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1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1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Air'!$IW$57</f>
        <v>0</v>
      </c>
      <c r="C26" s="126">
        <f>[3]DHL!$IW$57</f>
        <v>0</v>
      </c>
      <c r="D26" s="126">
        <f>[3]Airborne!$IW$57</f>
        <v>0</v>
      </c>
      <c r="E26" s="126">
        <f>[3]DHL_Bemidji!$IW$57</f>
        <v>0</v>
      </c>
      <c r="F26" s="471"/>
      <c r="G26" s="126">
        <f>[3]DHL_Encore!$IW$57</f>
        <v>0</v>
      </c>
      <c r="H26" s="126">
        <f>[3]DHL_Mesa!$IW$57</f>
        <v>0</v>
      </c>
      <c r="I26" s="126">
        <f>[3]Encore!$IW$57</f>
        <v>0</v>
      </c>
      <c r="J26" s="126">
        <f>[3]FedEx!$IW$57</f>
        <v>0</v>
      </c>
      <c r="K26" s="126">
        <f>[3]IFL!$IW$57</f>
        <v>0</v>
      </c>
      <c r="L26" s="126">
        <f>[3]DHL_Kalitta!$IW$57</f>
        <v>0</v>
      </c>
      <c r="M26" s="89">
        <f>'[3]Mountain Cargo'!$IW$57</f>
        <v>0</v>
      </c>
      <c r="N26" s="126">
        <f>[3]DHL_Amerijet!$IW$57</f>
        <v>0</v>
      </c>
      <c r="O26" s="126">
        <f>[3]DHL_Swift!$IW$57</f>
        <v>0</v>
      </c>
      <c r="P26" s="126">
        <f>+'[3]Sun Country Cargo'!$IW$57</f>
        <v>0</v>
      </c>
      <c r="Q26" s="126">
        <f>[3]UPS!$IW$57</f>
        <v>0</v>
      </c>
      <c r="R26" s="89">
        <f>'[3]Misc Cargo'!$IW$57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Air'!$IW$58</f>
        <v>0</v>
      </c>
      <c r="C27" s="126">
        <f>[3]DHL!$IW$58</f>
        <v>0</v>
      </c>
      <c r="D27" s="126">
        <f>[3]Airborne!$IW$58</f>
        <v>0</v>
      </c>
      <c r="E27" s="126">
        <f>[3]DHL_Bemidji!$IW$58</f>
        <v>0</v>
      </c>
      <c r="F27" s="471"/>
      <c r="G27" s="126">
        <f>[3]DHL_Encore!$IW$58</f>
        <v>0</v>
      </c>
      <c r="H27" s="126">
        <f>[3]DHL_Mesa!$IW$58</f>
        <v>0</v>
      </c>
      <c r="I27" s="126">
        <f>[3]Encore!$IW$58</f>
        <v>0</v>
      </c>
      <c r="J27" s="126">
        <f>[3]FedEx!$IW$58</f>
        <v>0</v>
      </c>
      <c r="K27" s="126">
        <f>[3]IFL!$IW$58</f>
        <v>0</v>
      </c>
      <c r="L27" s="126">
        <f>[3]DHL_Kalitta!$IW$58</f>
        <v>0</v>
      </c>
      <c r="M27" s="89">
        <f>'[3]Mountain Cargo'!$IW$58</f>
        <v>0</v>
      </c>
      <c r="N27" s="126">
        <f>[3]DHL_Amerijet!$IW$58</f>
        <v>0</v>
      </c>
      <c r="O27" s="126">
        <f>[3]DHL_Swift!$IW$58</f>
        <v>0</v>
      </c>
      <c r="P27" s="126">
        <f>+'[3]Sun Country Cargo'!$IW$58</f>
        <v>0</v>
      </c>
      <c r="Q27" s="126">
        <f>[3]UPS!$IW$58</f>
        <v>0</v>
      </c>
      <c r="R27" s="89">
        <f>'[3]Misc Cargo'!$IW$58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1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1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1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71630</v>
      </c>
      <c r="C31" s="126">
        <f t="shared" ref="C31:R33" si="17">C26+C21+C16</f>
        <v>589395</v>
      </c>
      <c r="D31" s="126">
        <f t="shared" si="17"/>
        <v>71244</v>
      </c>
      <c r="E31" s="126">
        <f t="shared" si="17"/>
        <v>94439</v>
      </c>
      <c r="F31" s="471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12346416</v>
      </c>
      <c r="K31" s="126">
        <f t="shared" si="18"/>
        <v>60009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4119891</v>
      </c>
      <c r="Q31" s="126">
        <f t="shared" si="17"/>
        <v>9013079</v>
      </c>
      <c r="R31" s="89">
        <f>R26+R21+R16</f>
        <v>0</v>
      </c>
      <c r="S31" s="360">
        <f>SUM(B31:E31)+SUM(G31:R31)</f>
        <v>26366103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2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135291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364813</v>
      </c>
      <c r="R32" s="89">
        <f>R27+R22+R17</f>
        <v>0</v>
      </c>
      <c r="S32" s="360">
        <f>SUM(B32:E32)+SUM(G32:R32)</f>
        <v>500104</v>
      </c>
    </row>
    <row r="33" spans="1:19" ht="18" customHeight="1" thickBot="1" x14ac:dyDescent="0.25">
      <c r="A33" s="154" t="s">
        <v>46</v>
      </c>
      <c r="B33" s="365">
        <f>B28+B23+B18</f>
        <v>71630</v>
      </c>
      <c r="C33" s="155">
        <f t="shared" ref="C33:I33" si="21">C28+C23+C18</f>
        <v>589395</v>
      </c>
      <c r="D33" s="155">
        <f t="shared" si="21"/>
        <v>71244</v>
      </c>
      <c r="E33" s="155">
        <f t="shared" si="21"/>
        <v>94439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12346416</v>
      </c>
      <c r="K33" s="155">
        <f t="shared" si="18"/>
        <v>60009</v>
      </c>
      <c r="L33" s="155">
        <f t="shared" si="18"/>
        <v>0</v>
      </c>
      <c r="M33" s="156">
        <f>M28+M23+M18</f>
        <v>135291</v>
      </c>
      <c r="N33" s="155">
        <f t="shared" si="18"/>
        <v>0</v>
      </c>
      <c r="O33" s="155">
        <f t="shared" si="18"/>
        <v>0</v>
      </c>
      <c r="P33" s="155">
        <f t="shared" si="17"/>
        <v>4119891</v>
      </c>
      <c r="Q33" s="155">
        <f t="shared" si="17"/>
        <v>9377892</v>
      </c>
      <c r="R33" s="156">
        <f t="shared" si="17"/>
        <v>0</v>
      </c>
      <c r="S33" s="366">
        <f>SUM(B33:E33)+SUM(G33:R33)</f>
        <v>26866207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April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30" zoomScaleNormal="130" workbookViewId="0">
      <selection activeCell="F20" sqref="F20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45383</v>
      </c>
      <c r="B2" s="55" t="s">
        <v>211</v>
      </c>
      <c r="C2" s="55" t="s">
        <v>63</v>
      </c>
      <c r="D2" s="55" t="s">
        <v>64</v>
      </c>
      <c r="E2" s="228" t="s">
        <v>74</v>
      </c>
      <c r="F2" s="56" t="s">
        <v>241</v>
      </c>
      <c r="G2" s="56" t="s">
        <v>225</v>
      </c>
      <c r="H2" s="57" t="s">
        <v>65</v>
      </c>
      <c r="I2" s="58" t="s">
        <v>238</v>
      </c>
      <c r="J2" s="58" t="s">
        <v>219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Stats'!K28</f>
        <v>3944510</v>
      </c>
      <c r="C5" s="89">
        <f>'Regional Major'!M25</f>
        <v>19418.2</v>
      </c>
      <c r="D5" s="89">
        <f>Cargo!S16</f>
        <v>13903304</v>
      </c>
      <c r="E5" s="89">
        <f>SUM(B5:D5)</f>
        <v>17867232.199999999</v>
      </c>
      <c r="F5" s="89">
        <f>E5*0.00045359237</f>
        <v>8104.4401989383132</v>
      </c>
      <c r="G5" s="89">
        <f>'[1]Cargo Summary'!F5</f>
        <v>8506.8642651741975</v>
      </c>
      <c r="H5" s="73">
        <f>(F5-G5)/G5</f>
        <v>-4.730580548738117E-2</v>
      </c>
      <c r="I5" s="89">
        <f>+F5+'[2]Cargo Summary'!I5</f>
        <v>33872.128163766196</v>
      </c>
      <c r="J5" s="89">
        <f>+'[1]Cargo Summary'!I5</f>
        <v>33683.187618626238</v>
      </c>
      <c r="K5" s="63">
        <f>(I5-J5)/J5</f>
        <v>5.6093427759633125E-3</v>
      </c>
      <c r="M5" s="12"/>
      <c r="O5" s="392"/>
    </row>
    <row r="6" spans="1:18" x14ac:dyDescent="0.2">
      <c r="A6" s="43" t="s">
        <v>16</v>
      </c>
      <c r="B6" s="133">
        <f>'Major Airline Stats'!K29</f>
        <v>99865</v>
      </c>
      <c r="C6" s="89">
        <f>'Regional Major'!M26</f>
        <v>0</v>
      </c>
      <c r="D6" s="89">
        <f>Cargo!S17</f>
        <v>307011</v>
      </c>
      <c r="E6" s="89">
        <f>SUM(B6:D6)</f>
        <v>406876</v>
      </c>
      <c r="F6" s="89">
        <f>E6*0.00045359237</f>
        <v>184.55584913612</v>
      </c>
      <c r="G6" s="89">
        <f>'[1]Cargo Summary'!F6</f>
        <v>515.67328972004998</v>
      </c>
      <c r="H6" s="3">
        <f>(F6-G6)/G6</f>
        <v>-0.64210702238172512</v>
      </c>
      <c r="I6" s="89">
        <f>+F6+'[2]Cargo Summary'!I6</f>
        <v>619.60763101236989</v>
      </c>
      <c r="J6" s="89">
        <f>+'[1]Cargo Summary'!I6</f>
        <v>2572.8720842224402</v>
      </c>
      <c r="K6" s="63">
        <f>(I6-J6)/J6</f>
        <v>-0.75917666688057506</v>
      </c>
      <c r="M6" s="12"/>
    </row>
    <row r="7" spans="1:18" ht="18" customHeight="1" thickBot="1" x14ac:dyDescent="0.25">
      <c r="A7" s="52" t="s">
        <v>71</v>
      </c>
      <c r="B7" s="135">
        <f>SUM(B5:B6)</f>
        <v>4044375</v>
      </c>
      <c r="C7" s="99">
        <f t="shared" ref="C7:J7" si="0">SUM(C5:C6)</f>
        <v>19418.2</v>
      </c>
      <c r="D7" s="99">
        <f t="shared" si="0"/>
        <v>14210315</v>
      </c>
      <c r="E7" s="99">
        <f t="shared" si="0"/>
        <v>18274108.199999999</v>
      </c>
      <c r="F7" s="99">
        <f t="shared" si="0"/>
        <v>8288.9960480744339</v>
      </c>
      <c r="G7" s="99">
        <f t="shared" si="0"/>
        <v>9022.5375548942466</v>
      </c>
      <c r="H7" s="27">
        <f>(F7-G7)/G7</f>
        <v>-8.130102006856213E-2</v>
      </c>
      <c r="I7" s="99">
        <f t="shared" si="0"/>
        <v>34491.735794778564</v>
      </c>
      <c r="J7" s="99">
        <f t="shared" si="0"/>
        <v>36256.059702848681</v>
      </c>
      <c r="K7" s="230">
        <f>(I7-J7)/J7</f>
        <v>-4.8662869670073161E-2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Stats'!K33</f>
        <v>2099200</v>
      </c>
      <c r="C10" s="89">
        <f>'Regional Major'!M30</f>
        <v>15491.1</v>
      </c>
      <c r="D10" s="89">
        <f>Cargo!S21</f>
        <v>12462799</v>
      </c>
      <c r="E10" s="89">
        <f>SUM(B10:D10)</f>
        <v>14577490.1</v>
      </c>
      <c r="F10" s="89">
        <f>E10*0.00045359237</f>
        <v>6612.2382831105369</v>
      </c>
      <c r="G10" s="89">
        <f>'[1]Cargo Summary'!F10</f>
        <v>7016.457849383828</v>
      </c>
      <c r="H10" s="3">
        <f>(F10-G10)/G10</f>
        <v>-5.7610203745297052E-2</v>
      </c>
      <c r="I10" s="89">
        <f>+F10+'[2]Cargo Summary'!I10</f>
        <v>26963.781107421462</v>
      </c>
      <c r="J10" s="89">
        <f>+'[1]Cargo Summary'!I10</f>
        <v>28370.148741170924</v>
      </c>
      <c r="K10" s="63">
        <f>(I10-J10)/J10</f>
        <v>-4.9572092363003119E-2</v>
      </c>
      <c r="M10" s="12"/>
      <c r="O10" s="392"/>
    </row>
    <row r="11" spans="1:18" x14ac:dyDescent="0.2">
      <c r="A11" s="43" t="s">
        <v>16</v>
      </c>
      <c r="B11" s="133">
        <f>'Major Airline Stats'!K34</f>
        <v>123588</v>
      </c>
      <c r="C11" s="89">
        <f>'Regional Major'!M31</f>
        <v>0</v>
      </c>
      <c r="D11" s="89">
        <f>Cargo!S22</f>
        <v>193093</v>
      </c>
      <c r="E11" s="89">
        <f>SUM(B11:D11)</f>
        <v>316681</v>
      </c>
      <c r="F11" s="89">
        <f>E11*0.00045359237</f>
        <v>143.64408532396999</v>
      </c>
      <c r="G11" s="89">
        <f>'[1]Cargo Summary'!F11</f>
        <v>515.24736648461999</v>
      </c>
      <c r="H11" s="24">
        <f>(F11-G11)/G11</f>
        <v>-0.72121335368677186</v>
      </c>
      <c r="I11" s="89">
        <f>+F11+'[2]Cargo Summary'!I11</f>
        <v>642.09855508645001</v>
      </c>
      <c r="J11" s="89">
        <f>+'[1]Cargo Summary'!I11</f>
        <v>2494.9616979741299</v>
      </c>
      <c r="K11" s="63">
        <f>(I11-J11)/J11</f>
        <v>-0.74264191886880504</v>
      </c>
      <c r="M11" s="12"/>
    </row>
    <row r="12" spans="1:18" ht="18" customHeight="1" thickBot="1" x14ac:dyDescent="0.25">
      <c r="A12" s="52" t="s">
        <v>72</v>
      </c>
      <c r="B12" s="135">
        <f>SUM(B10:B11)</f>
        <v>2222788</v>
      </c>
      <c r="C12" s="99">
        <f t="shared" ref="C12:J12" si="1">SUM(C10:C11)</f>
        <v>15491.1</v>
      </c>
      <c r="D12" s="99">
        <f t="shared" si="1"/>
        <v>12655892</v>
      </c>
      <c r="E12" s="99">
        <f t="shared" si="1"/>
        <v>14894171.1</v>
      </c>
      <c r="F12" s="99">
        <f t="shared" si="1"/>
        <v>6755.882368434507</v>
      </c>
      <c r="G12" s="99">
        <f t="shared" si="1"/>
        <v>7531.7052158684482</v>
      </c>
      <c r="H12" s="27">
        <f>(F12-G12)/G12</f>
        <v>-0.10300759591591165</v>
      </c>
      <c r="I12" s="99">
        <f>SUM(I10:I11)</f>
        <v>27605.879662507912</v>
      </c>
      <c r="J12" s="99">
        <f t="shared" si="1"/>
        <v>30865.110439145054</v>
      </c>
      <c r="K12" s="230">
        <f>(I12-J12)/J12</f>
        <v>-0.10559595382181371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Stats'!K38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Stats'!K39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6043710</v>
      </c>
      <c r="C20" s="89">
        <f t="shared" si="3"/>
        <v>34909.300000000003</v>
      </c>
      <c r="D20" s="89">
        <f t="shared" si="3"/>
        <v>26366103</v>
      </c>
      <c r="E20" s="89">
        <f>SUM(B20:D20)</f>
        <v>32444722.300000001</v>
      </c>
      <c r="F20" s="89">
        <f>E20*0.00045359237</f>
        <v>14716.67848204885</v>
      </c>
      <c r="G20" s="89">
        <f>'[1]Cargo Summary'!F20</f>
        <v>15523.322114558026</v>
      </c>
      <c r="H20" s="3">
        <f>(F20-G20)/G20</f>
        <v>-5.1963337909009352E-2</v>
      </c>
      <c r="I20" s="89">
        <f>+F20+'[2]Cargo Summary'!I20</f>
        <v>60835.909271187673</v>
      </c>
      <c r="J20" s="89">
        <f>+'[1]Cargo Summary'!I20</f>
        <v>62053.336359797162</v>
      </c>
      <c r="K20" s="63">
        <f>(I20-J20)/J20</f>
        <v>-1.9619043230014468E-2</v>
      </c>
      <c r="M20" s="12"/>
    </row>
    <row r="21" spans="1:13" x14ac:dyDescent="0.2">
      <c r="A21" s="43" t="s">
        <v>16</v>
      </c>
      <c r="B21" s="133">
        <f t="shared" si="3"/>
        <v>223453</v>
      </c>
      <c r="C21" s="90">
        <f t="shared" si="3"/>
        <v>0</v>
      </c>
      <c r="D21" s="90">
        <f t="shared" si="3"/>
        <v>500104</v>
      </c>
      <c r="E21" s="89">
        <f>SUM(B21:D21)</f>
        <v>723557</v>
      </c>
      <c r="F21" s="89">
        <f>E21*0.00045359237</f>
        <v>328.19993446008999</v>
      </c>
      <c r="G21" s="89">
        <f>'[1]Cargo Summary'!F21</f>
        <v>1030.92065620467</v>
      </c>
      <c r="H21" s="3">
        <f>(F21-G21)/G21</f>
        <v>-0.68164384670653844</v>
      </c>
      <c r="I21" s="89">
        <f>+F21+'[2]Cargo Summary'!I21</f>
        <v>1261.7061860988199</v>
      </c>
      <c r="J21" s="89">
        <f>+'[1]Cargo Summary'!I21</f>
        <v>5067.8337821965706</v>
      </c>
      <c r="K21" s="63">
        <f>(I21-J21)/J21</f>
        <v>-0.75103639142009238</v>
      </c>
      <c r="M21" s="12"/>
    </row>
    <row r="22" spans="1:13" ht="18" customHeight="1" thickBot="1" x14ac:dyDescent="0.25">
      <c r="A22" s="65" t="s">
        <v>62</v>
      </c>
      <c r="B22" s="136">
        <f>SUM(B20:B21)</f>
        <v>6267163</v>
      </c>
      <c r="C22" s="137">
        <f t="shared" ref="C22:J22" si="4">SUM(C20:C21)</f>
        <v>34909.300000000003</v>
      </c>
      <c r="D22" s="137">
        <f t="shared" si="4"/>
        <v>26866207</v>
      </c>
      <c r="E22" s="137">
        <f t="shared" si="4"/>
        <v>33168279.300000001</v>
      </c>
      <c r="F22" s="137">
        <f t="shared" si="4"/>
        <v>15044.87841650894</v>
      </c>
      <c r="G22" s="137">
        <f t="shared" si="4"/>
        <v>16554.242770762696</v>
      </c>
      <c r="H22" s="236">
        <f>(F22-G22)/G22</f>
        <v>-9.1176888919348345E-2</v>
      </c>
      <c r="I22" s="137">
        <f>SUM(I20:I21)</f>
        <v>62097.615457286491</v>
      </c>
      <c r="J22" s="137">
        <f t="shared" si="4"/>
        <v>67121.170141993731</v>
      </c>
      <c r="K22" s="237">
        <f>(I22-J22)/J22</f>
        <v>-7.4843073714001007E-2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April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J16" sqref="J16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79" t="s">
        <v>182</v>
      </c>
      <c r="B2" s="480"/>
      <c r="C2" s="328" t="s">
        <v>242</v>
      </c>
      <c r="D2" s="329" t="s">
        <v>220</v>
      </c>
      <c r="E2" s="386" t="s">
        <v>95</v>
      </c>
      <c r="F2" s="331" t="s">
        <v>243</v>
      </c>
      <c r="G2" s="329" t="s">
        <v>221</v>
      </c>
      <c r="H2" s="387" t="s">
        <v>96</v>
      </c>
      <c r="I2" s="330" t="s">
        <v>135</v>
      </c>
      <c r="J2" s="479" t="s">
        <v>178</v>
      </c>
      <c r="K2" s="480"/>
      <c r="L2" s="328" t="s">
        <v>244</v>
      </c>
      <c r="M2" s="329" t="s">
        <v>229</v>
      </c>
      <c r="N2" s="386" t="s">
        <v>95</v>
      </c>
      <c r="O2" s="331" t="s">
        <v>245</v>
      </c>
      <c r="P2" s="329" t="s">
        <v>230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1">
        <v>45383</v>
      </c>
      <c r="B3" s="482"/>
      <c r="C3" s="483" t="s">
        <v>9</v>
      </c>
      <c r="D3" s="484"/>
      <c r="E3" s="484"/>
      <c r="F3" s="484"/>
      <c r="G3" s="484"/>
      <c r="H3" s="485"/>
      <c r="I3" s="357"/>
      <c r="J3" s="481">
        <f>+A3</f>
        <v>45383</v>
      </c>
      <c r="K3" s="482"/>
      <c r="L3" s="476" t="s">
        <v>179</v>
      </c>
      <c r="M3" s="477"/>
      <c r="N3" s="477"/>
      <c r="O3" s="477"/>
      <c r="P3" s="477"/>
      <c r="Q3" s="477"/>
      <c r="R3" s="478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194</v>
      </c>
      <c r="D5" s="374">
        <f>SUM(D6:D7)</f>
        <v>178</v>
      </c>
      <c r="E5" s="375">
        <f>(C5-D5)/D5</f>
        <v>8.98876404494382E-2</v>
      </c>
      <c r="F5" s="374">
        <f>SUM(F6:F7)</f>
        <v>908</v>
      </c>
      <c r="G5" s="374">
        <f>SUM(G6:G7)</f>
        <v>708</v>
      </c>
      <c r="H5" s="376">
        <f>(F5-G5)/G5</f>
        <v>0.2824858757062147</v>
      </c>
      <c r="I5" s="375">
        <f>+F5/$F$34</f>
        <v>0.20358744394618833</v>
      </c>
      <c r="J5" s="250" t="s">
        <v>200</v>
      </c>
      <c r="K5" s="37"/>
      <c r="L5" s="374">
        <f>SUM(L6:L7)</f>
        <v>4191521</v>
      </c>
      <c r="M5" s="374">
        <f>SUM(M6:M7)</f>
        <v>5052690</v>
      </c>
      <c r="N5" s="375">
        <f>(L5-M5)/M5</f>
        <v>-0.17043772723044556</v>
      </c>
      <c r="O5" s="374">
        <f>SUM(O6:O7)</f>
        <v>20793476</v>
      </c>
      <c r="P5" s="374">
        <f>SUM(P6:P7)</f>
        <v>22121906</v>
      </c>
      <c r="Q5" s="376">
        <f>(O5-P5)/P5</f>
        <v>-6.0050431459206091E-2</v>
      </c>
      <c r="R5" s="375">
        <f>O5/$O$34</f>
        <v>0.18633622950061635</v>
      </c>
      <c r="T5" s="383"/>
    </row>
    <row r="6" spans="1:20" ht="14.1" customHeight="1" x14ac:dyDescent="0.2">
      <c r="A6" s="36"/>
      <c r="B6" s="310" t="s">
        <v>201</v>
      </c>
      <c r="C6" s="314">
        <f>+'[3]Atlas Air'!$IW$19</f>
        <v>2</v>
      </c>
      <c r="D6" s="209">
        <f>+'[3]Atlas Air'!$II$19</f>
        <v>58</v>
      </c>
      <c r="E6" s="316">
        <f>(C6-D6)/D6</f>
        <v>-0.96551724137931039</v>
      </c>
      <c r="F6" s="314">
        <f>+SUM('[3]Atlas Air'!$IT$19:$IW$19)</f>
        <v>18</v>
      </c>
      <c r="G6" s="209">
        <f>+SUM('[3]Atlas Air'!$IF$19:$II$19)</f>
        <v>240</v>
      </c>
      <c r="H6" s="315">
        <f>(F6-G6)/G6</f>
        <v>-0.92500000000000004</v>
      </c>
      <c r="I6" s="316">
        <f>+F6/$F$34</f>
        <v>4.0358744394618836E-3</v>
      </c>
      <c r="J6" s="36"/>
      <c r="K6" s="310" t="s">
        <v>201</v>
      </c>
      <c r="L6" s="314">
        <f>+'[3]Atlas Air'!$IW$64</f>
        <v>71630</v>
      </c>
      <c r="M6" s="209">
        <f>+'[3]Atlas Air'!$II$64</f>
        <v>2575293</v>
      </c>
      <c r="N6" s="316">
        <f>(L6-M6)/M6</f>
        <v>-0.97218568916235937</v>
      </c>
      <c r="O6" s="209">
        <f>+SUM('[3]Atlas Air'!$IT$64:$IW$64)</f>
        <v>563603</v>
      </c>
      <c r="P6" s="209">
        <f>+SUM('[3]Atlas Air'!$IF$64:$II$64)</f>
        <v>11348865</v>
      </c>
      <c r="Q6" s="315">
        <f>(O6-P6)/P6</f>
        <v>-0.95033838185580677</v>
      </c>
      <c r="R6" s="316">
        <f>O6/$O$34</f>
        <v>5.0506061591258661E-3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Cargo'!$IW$19</f>
        <v>192</v>
      </c>
      <c r="D7" s="209">
        <f>+'[3]Sun Country Cargo'!$II$19</f>
        <v>120</v>
      </c>
      <c r="E7" s="316">
        <f>(C7-D7)/D7</f>
        <v>0.6</v>
      </c>
      <c r="F7" s="314">
        <f>+SUM('[3]Sun Country Cargo'!$IT$19:$IW$19)</f>
        <v>890</v>
      </c>
      <c r="G7" s="209">
        <f>+SUM('[3]Sun Country Cargo'!$IF$19:$II$19)</f>
        <v>468</v>
      </c>
      <c r="H7" s="315">
        <f>(F7-G7)/G7</f>
        <v>0.90170940170940173</v>
      </c>
      <c r="I7" s="316">
        <f>+F7/$F$34</f>
        <v>0.19955156950672645</v>
      </c>
      <c r="J7" s="36"/>
      <c r="K7" s="310" t="s">
        <v>49</v>
      </c>
      <c r="L7" s="314">
        <f>+'[3]Sun Country Cargo'!$IW$64</f>
        <v>4119891</v>
      </c>
      <c r="M7" s="209">
        <f>+'[3]Sun Country Cargo'!$II$64</f>
        <v>2477397</v>
      </c>
      <c r="N7" s="316">
        <f>(L7-M7)/M7</f>
        <v>0.6629918418404479</v>
      </c>
      <c r="O7" s="209">
        <f>+SUM('[3]Sun Country Cargo'!$IT$64:$IW$64)</f>
        <v>20229873</v>
      </c>
      <c r="P7" s="209">
        <f>+SUM('[3]Sun Country Cargo'!$IF$64:$II$64)</f>
        <v>10773041</v>
      </c>
      <c r="Q7" s="315">
        <f>(O7-P7)/P7</f>
        <v>0.87782381966243328</v>
      </c>
      <c r="R7" s="316">
        <f>O7/$O$34</f>
        <v>0.18128562334149048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128</v>
      </c>
      <c r="D9" s="374">
        <f>SUM(D10:D18)</f>
        <v>128</v>
      </c>
      <c r="E9" s="375">
        <f>(C9-D9)/D9</f>
        <v>0</v>
      </c>
      <c r="F9" s="374">
        <f>SUM(F10:F18)</f>
        <v>480</v>
      </c>
      <c r="G9" s="374">
        <f>SUM(G10:G18)</f>
        <v>520</v>
      </c>
      <c r="H9" s="376">
        <f>(F9-G9)/G9</f>
        <v>-7.6923076923076927E-2</v>
      </c>
      <c r="I9" s="375">
        <f t="shared" ref="I9:I18" si="0">+F9/$F$34</f>
        <v>0.10762331838565023</v>
      </c>
      <c r="J9" s="250" t="s">
        <v>202</v>
      </c>
      <c r="K9" s="37"/>
      <c r="L9" s="374">
        <f>SUM(L10:L18)</f>
        <v>755078</v>
      </c>
      <c r="M9" s="374">
        <f>SUM(M10:M18)</f>
        <v>1368806</v>
      </c>
      <c r="N9" s="375">
        <f t="shared" ref="N9:N18" si="1">(L9-M9)/M9</f>
        <v>-0.44836740926033347</v>
      </c>
      <c r="O9" s="374">
        <f>SUM(O10:O18)</f>
        <v>4992788</v>
      </c>
      <c r="P9" s="374">
        <f>SUM(P10:P18)</f>
        <v>5516506</v>
      </c>
      <c r="Q9" s="376">
        <f t="shared" ref="Q9:Q18" si="2">(O9-P9)/P9</f>
        <v>-9.4936541354255749E-2</v>
      </c>
      <c r="R9" s="375">
        <f t="shared" ref="R9:R18" si="3">O9/$O$34</f>
        <v>4.4741787790359019E-2</v>
      </c>
      <c r="T9" s="383"/>
    </row>
    <row r="10" spans="1:20" ht="14.1" customHeight="1" x14ac:dyDescent="0.2">
      <c r="A10" s="250"/>
      <c r="B10" s="310" t="s">
        <v>203</v>
      </c>
      <c r="C10" s="314">
        <f>+[3]Airborne!$IW$19</f>
        <v>2</v>
      </c>
      <c r="D10" s="209">
        <f>+[3]Airborne!$II$19</f>
        <v>2</v>
      </c>
      <c r="E10" s="316">
        <f>(C10-D10)/D10</f>
        <v>0</v>
      </c>
      <c r="F10" s="314">
        <f>+SUM([3]Airborne!$IT$19:$IW$19)</f>
        <v>28</v>
      </c>
      <c r="G10" s="209">
        <f>+SUM([3]Airborne!$IF$19:$II$19)</f>
        <v>14</v>
      </c>
      <c r="H10" s="315">
        <f>(F10-G10)/G10</f>
        <v>1</v>
      </c>
      <c r="I10" s="316">
        <f t="shared" si="0"/>
        <v>6.2780269058295961E-3</v>
      </c>
      <c r="J10" s="250"/>
      <c r="K10" s="310" t="s">
        <v>203</v>
      </c>
      <c r="L10" s="314">
        <f>+[3]Airborne!$IW$64</f>
        <v>71244</v>
      </c>
      <c r="M10" s="209">
        <f>+[3]Airborne!$II$64</f>
        <v>32571</v>
      </c>
      <c r="N10" s="316">
        <f t="shared" si="1"/>
        <v>1.1873445703232937</v>
      </c>
      <c r="O10" s="314">
        <f>+SUM([3]Airborne!$IT$64:$IW$64)</f>
        <v>1140428</v>
      </c>
      <c r="P10" s="209">
        <f>+SUM([3]Airborne!$IF$64:$II$64)</f>
        <v>306217</v>
      </c>
      <c r="Q10" s="315">
        <f t="shared" si="2"/>
        <v>2.7242478373179804</v>
      </c>
      <c r="R10" s="316">
        <f t="shared" si="3"/>
        <v>1.021969840621784E-2</v>
      </c>
      <c r="T10" s="383"/>
    </row>
    <row r="11" spans="1:20" ht="14.1" customHeight="1" x14ac:dyDescent="0.2">
      <c r="A11" s="250"/>
      <c r="B11" s="37" t="s">
        <v>201</v>
      </c>
      <c r="C11" s="314">
        <f>+[3]DHL_Atlas!$IW$19</f>
        <v>0</v>
      </c>
      <c r="D11" s="209">
        <f>+[3]DHL_Atlas!$II$19</f>
        <v>0</v>
      </c>
      <c r="E11" s="316" t="e">
        <f t="shared" ref="E11:E18" si="4">(C11-D11)/D11</f>
        <v>#DIV/0!</v>
      </c>
      <c r="F11" s="314">
        <f>+SUM([3]DHL_Atlas!$IT$19:$IW$19)</f>
        <v>0</v>
      </c>
      <c r="G11" s="209">
        <f>+SUM([3]DHL_Atlas!$IF$19:$II$19)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+[3]DHL_Atlas!$IW$64</f>
        <v>0</v>
      </c>
      <c r="M11" s="209">
        <f>+[3]DHL_Atlas!$II$64</f>
        <v>0</v>
      </c>
      <c r="N11" s="316" t="e">
        <f t="shared" si="1"/>
        <v>#DIV/0!</v>
      </c>
      <c r="O11" s="314">
        <f>+SUM([3]DHL_Atlas!$IT$64:$IW$64)</f>
        <v>0</v>
      </c>
      <c r="P11" s="209">
        <f>+SUM([3]DHL_Atlas!$IF$64:$II$64)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204</v>
      </c>
      <c r="C12" s="314">
        <f>+[3]DHL!$IW$19</f>
        <v>42</v>
      </c>
      <c r="D12" s="209">
        <f>+[3]DHL!$II$19</f>
        <v>2</v>
      </c>
      <c r="E12" s="316">
        <f t="shared" si="4"/>
        <v>20</v>
      </c>
      <c r="F12" s="314">
        <f>+SUM([3]DHL!$IT$19:$IW$19)</f>
        <v>48</v>
      </c>
      <c r="G12" s="209">
        <f>+SUM([3]DHL!$IF$19:$II$19)</f>
        <v>4</v>
      </c>
      <c r="H12" s="315">
        <f t="shared" si="5"/>
        <v>11</v>
      </c>
      <c r="I12" s="316">
        <f t="shared" si="0"/>
        <v>1.0762331838565023E-2</v>
      </c>
      <c r="J12" s="250"/>
      <c r="K12" s="37" t="s">
        <v>204</v>
      </c>
      <c r="L12" s="314">
        <f>+[3]DHL!$IW$64</f>
        <v>589395</v>
      </c>
      <c r="M12" s="209">
        <f>+[3]DHL!$II$64</f>
        <v>51091</v>
      </c>
      <c r="N12" s="316">
        <f t="shared" si="1"/>
        <v>10.53618054060402</v>
      </c>
      <c r="O12" s="314">
        <f>+SUM([3]DHL!$IT$64:$IW$64)</f>
        <v>797306</v>
      </c>
      <c r="P12" s="209">
        <f>+SUM([3]DHL!$IF$64:$II$64)</f>
        <v>103042</v>
      </c>
      <c r="Q12" s="315">
        <f t="shared" si="2"/>
        <v>6.7376797810601499</v>
      </c>
      <c r="R12" s="316">
        <f t="shared" si="3"/>
        <v>7.1448849532525695E-3</v>
      </c>
      <c r="T12" s="383"/>
    </row>
    <row r="13" spans="1:20" ht="14.1" customHeight="1" x14ac:dyDescent="0.2">
      <c r="A13" s="250"/>
      <c r="B13" s="310" t="s">
        <v>83</v>
      </c>
      <c r="C13" s="314">
        <f>+[3]DHL_Bemidji!$IW$19</f>
        <v>84</v>
      </c>
      <c r="D13" s="209">
        <f>+[3]DHL_Bemidji!$II$19</f>
        <v>66</v>
      </c>
      <c r="E13" s="316">
        <f>(C13-D13)/D13</f>
        <v>0.27272727272727271</v>
      </c>
      <c r="F13" s="314">
        <f>+SUM([3]DHL_Bemidji!$IT$19:$IW$19)</f>
        <v>304</v>
      </c>
      <c r="G13" s="209">
        <f>+SUM([3]DHL_Bemidji!$IF$19:$II$19)</f>
        <v>264</v>
      </c>
      <c r="H13" s="315">
        <f t="shared" si="5"/>
        <v>0.15151515151515152</v>
      </c>
      <c r="I13" s="316">
        <f t="shared" si="0"/>
        <v>6.8161434977578469E-2</v>
      </c>
      <c r="J13" s="250"/>
      <c r="K13" s="310" t="s">
        <v>83</v>
      </c>
      <c r="L13" s="314">
        <f>+[3]DHL_Bemidji!$IW$64</f>
        <v>94439</v>
      </c>
      <c r="M13" s="209">
        <f>+[3]DHL_Bemidji!$II$64</f>
        <v>73755</v>
      </c>
      <c r="N13" s="316">
        <f t="shared" ref="N13" si="6">(L13-M13)/M13</f>
        <v>0.2804420039319368</v>
      </c>
      <c r="O13" s="314">
        <f>+SUM([3]DHL_Bemidji!$IT$64:$IW$64)</f>
        <v>375104</v>
      </c>
      <c r="P13" s="209">
        <f>+SUM([3]DHL_Bemidji!$IF$64:$II$64)</f>
        <v>346937</v>
      </c>
      <c r="Q13" s="315">
        <f t="shared" ref="Q13" si="7">(O13-P13)/P13</f>
        <v>8.1187650783859894E-2</v>
      </c>
      <c r="R13" s="316">
        <f t="shared" si="3"/>
        <v>3.3614132158855596E-3</v>
      </c>
      <c r="T13" s="383"/>
    </row>
    <row r="14" spans="1:20" ht="14.1" customHeight="1" x14ac:dyDescent="0.2">
      <c r="A14" s="250"/>
      <c r="B14" s="37" t="s">
        <v>192</v>
      </c>
      <c r="C14" s="314">
        <f>+[3]Encore!$IW$19+[3]DHL_Encore!$IW$12</f>
        <v>0</v>
      </c>
      <c r="D14" s="209">
        <f>+[3]Encore!$II$19+[3]DHL_Encore!$II$19</f>
        <v>0</v>
      </c>
      <c r="E14" s="316" t="e">
        <f t="shared" si="4"/>
        <v>#DIV/0!</v>
      </c>
      <c r="F14" s="314">
        <f>+SUM([3]Encore!$IT$19:$IW$19)+SUM([3]DHL_Encore!$IT$19:$IW$19)</f>
        <v>0</v>
      </c>
      <c r="G14" s="209">
        <f>+SUM([3]Encore!$IF$19:$II$19)+SUM([3]DHL_Encore!$IF$19:$II$19)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+[3]Encore!$IW$64+[3]DHL_Encore!$IW$64</f>
        <v>0</v>
      </c>
      <c r="M14" s="209">
        <f>+[3]Encore!$II$64+[3]DHL_Encore!$II$64</f>
        <v>0</v>
      </c>
      <c r="N14" s="316" t="e">
        <f t="shared" si="1"/>
        <v>#DIV/0!</v>
      </c>
      <c r="O14" s="314">
        <f>+SUM([3]Encore!$IT$64:$IW$64)+SUM([3]DHL_Encore!$IT$64:$IW$64)</f>
        <v>0</v>
      </c>
      <c r="P14" s="209">
        <f>+SUM([3]Encore!$IF$64:$II$64)+SUM([3]DHL_Encore!$IF$64:$II$64)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205</v>
      </c>
      <c r="C15" s="314">
        <f>+[3]DHL_Kalitta!$IW$19</f>
        <v>0</v>
      </c>
      <c r="D15" s="209">
        <f>+[3]DHL_Kalitta!$II$19</f>
        <v>0</v>
      </c>
      <c r="E15" s="316" t="e">
        <f t="shared" si="4"/>
        <v>#DIV/0!</v>
      </c>
      <c r="F15" s="314">
        <f>+SUM([3]DHL_Kalitta!$IT$19:$IW$19)</f>
        <v>96</v>
      </c>
      <c r="G15" s="209">
        <f>+SUM([3]DHL_Kalitta!$IF$19:$II$19)</f>
        <v>0</v>
      </c>
      <c r="H15" s="315" t="e">
        <f t="shared" si="5"/>
        <v>#DIV/0!</v>
      </c>
      <c r="I15" s="316">
        <f t="shared" si="0"/>
        <v>2.1524663677130046E-2</v>
      </c>
      <c r="J15" s="250"/>
      <c r="K15" s="37" t="s">
        <v>205</v>
      </c>
      <c r="L15" s="314">
        <f>+[3]DHL_Kalitta!$IW$64</f>
        <v>0</v>
      </c>
      <c r="M15" s="209">
        <f>+[3]DHL_Kalitta!$II$64</f>
        <v>0</v>
      </c>
      <c r="N15" s="316" t="e">
        <f t="shared" si="1"/>
        <v>#DIV/0!</v>
      </c>
      <c r="O15" s="314">
        <f>+SUM([3]DHL_Kalitta!$IT$64:$IW$64)</f>
        <v>2603803</v>
      </c>
      <c r="P15" s="209">
        <f>+SUM([3]DHL_Kalitta!$IF$64:$II$64)</f>
        <v>0</v>
      </c>
      <c r="Q15" s="315" t="e">
        <f t="shared" si="2"/>
        <v>#DIV/0!</v>
      </c>
      <c r="R15" s="316">
        <f t="shared" si="3"/>
        <v>2.3333416374558703E-2</v>
      </c>
      <c r="T15" s="383"/>
    </row>
    <row r="16" spans="1:20" ht="14.1" customHeight="1" x14ac:dyDescent="0.2">
      <c r="A16" s="250"/>
      <c r="B16" s="37" t="s">
        <v>51</v>
      </c>
      <c r="C16" s="314">
        <f>+[3]DHL_Mesa!$IW$19</f>
        <v>0</v>
      </c>
      <c r="D16" s="209">
        <f>+[3]DHL_Mesa!$II$19</f>
        <v>36</v>
      </c>
      <c r="E16" s="316">
        <f t="shared" ref="E16" si="8">(C16-D16)/D16</f>
        <v>-1</v>
      </c>
      <c r="F16" s="314">
        <f>+SUM([3]DHL_Mesa!$IT$19:$IW$19)</f>
        <v>2</v>
      </c>
      <c r="G16" s="209">
        <f>+SUM([3]DHL_Mesa!$IF$19:$II$19)</f>
        <v>136</v>
      </c>
      <c r="H16" s="315">
        <f t="shared" ref="H16" si="9">(F16-G16)/G16</f>
        <v>-0.98529411764705888</v>
      </c>
      <c r="I16" s="316">
        <f t="shared" ref="I16" si="10">+F16/$F$34</f>
        <v>4.4843049327354261E-4</v>
      </c>
      <c r="J16" s="250"/>
      <c r="K16" s="37" t="s">
        <v>51</v>
      </c>
      <c r="L16" s="314">
        <f>+[3]DHL_Mesa!$IW$64</f>
        <v>0</v>
      </c>
      <c r="M16" s="209">
        <f>+[3]DHL_Mesa!$II$64</f>
        <v>608983</v>
      </c>
      <c r="N16" s="316">
        <f t="shared" ref="N16" si="11">(L16-M16)/M16</f>
        <v>-1</v>
      </c>
      <c r="O16" s="314">
        <f>+SUM([3]DHL_Mesa!$IT$64:$IW$64)</f>
        <v>22802</v>
      </c>
      <c r="P16" s="209">
        <f>+SUM([3]DHL_Mesa!$IF$64:$II$64)</f>
        <v>2287846</v>
      </c>
      <c r="Q16" s="315">
        <f t="shared" ref="Q16" si="12">(O16-P16)/P16</f>
        <v>-0.99003342008159645</v>
      </c>
      <c r="R16" s="316">
        <f t="shared" ref="R16" si="13">O16/$O$34</f>
        <v>2.0433518210582273E-4</v>
      </c>
      <c r="T16" s="383"/>
    </row>
    <row r="17" spans="1:20" x14ac:dyDescent="0.2">
      <c r="A17" s="250"/>
      <c r="B17" s="37" t="s">
        <v>227</v>
      </c>
      <c r="C17" s="314">
        <f>+[3]DHL_Amerijet!$IW$19</f>
        <v>0</v>
      </c>
      <c r="D17" s="209">
        <f>+[3]DHL_Amerijet!$II$19</f>
        <v>18</v>
      </c>
      <c r="E17" s="316">
        <f t="shared" si="4"/>
        <v>-1</v>
      </c>
      <c r="F17" s="314">
        <f>+SUM([3]DHL_Amerijet!$IT$19:$IW$19)</f>
        <v>0</v>
      </c>
      <c r="G17" s="209">
        <f>+SUM([3]DHL_Amerijet!$IF$19:$II$19)</f>
        <v>72</v>
      </c>
      <c r="H17" s="315">
        <f t="shared" si="5"/>
        <v>-1</v>
      </c>
      <c r="I17" s="316">
        <f t="shared" si="0"/>
        <v>0</v>
      </c>
      <c r="J17" s="250"/>
      <c r="K17" s="37" t="s">
        <v>227</v>
      </c>
      <c r="L17" s="314">
        <f>+[3]DHL_Amerijet!$IW$64</f>
        <v>0</v>
      </c>
      <c r="M17" s="209">
        <f>+[3]DHL_Amerijet!$II$64</f>
        <v>550400</v>
      </c>
      <c r="N17" s="316">
        <f t="shared" si="1"/>
        <v>-1</v>
      </c>
      <c r="O17" s="314">
        <f>+SUM([3]DHL_Amerijet!$IT$64:$IW$64)</f>
        <v>0</v>
      </c>
      <c r="P17" s="209">
        <f>+SUM([3]DHL_Amerijet!$IF$64:$II$64)</f>
        <v>2038261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206</v>
      </c>
      <c r="C18" s="314">
        <f>+[3]DHL_Swift!$IW$19</f>
        <v>0</v>
      </c>
      <c r="D18" s="209">
        <f>+[3]DHL_Swift!$II$19</f>
        <v>4</v>
      </c>
      <c r="E18" s="316">
        <f t="shared" si="4"/>
        <v>-1</v>
      </c>
      <c r="F18" s="314">
        <f>+SUM([3]DHL_Swift!$IT$19:$IW$19)</f>
        <v>2</v>
      </c>
      <c r="G18" s="209">
        <f>+SUM([3]DHL_Swift!$IF$19:$II$19)</f>
        <v>30</v>
      </c>
      <c r="H18" s="315">
        <f t="shared" si="5"/>
        <v>-0.93333333333333335</v>
      </c>
      <c r="I18" s="316">
        <f t="shared" si="0"/>
        <v>4.4843049327354261E-4</v>
      </c>
      <c r="J18" s="250"/>
      <c r="K18" s="37" t="s">
        <v>206</v>
      </c>
      <c r="L18" s="314">
        <f>+[3]DHL_Swift!$IW$64</f>
        <v>0</v>
      </c>
      <c r="M18" s="209">
        <f>+[3]DHL_Swift!$II$64</f>
        <v>52006</v>
      </c>
      <c r="N18" s="316">
        <f t="shared" si="1"/>
        <v>-1</v>
      </c>
      <c r="O18" s="314">
        <f>+SUM([3]DHL_Swift!$IT$64:$IW$64)</f>
        <v>53345</v>
      </c>
      <c r="P18" s="209">
        <f>+SUM([3]DHL_Swift!$IF$64:$II$64)</f>
        <v>434203</v>
      </c>
      <c r="Q18" s="315">
        <f t="shared" si="2"/>
        <v>-0.87714271895864382</v>
      </c>
      <c r="R18" s="316">
        <f t="shared" si="3"/>
        <v>4.7803965833852788E-4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250</v>
      </c>
      <c r="D20" s="374">
        <f>SUM(D21:D24)</f>
        <v>270</v>
      </c>
      <c r="E20" s="375">
        <f>(C20-D20)/D20</f>
        <v>-7.407407407407407E-2</v>
      </c>
      <c r="F20" s="378">
        <f>SUM(F21:F24)</f>
        <v>1016</v>
      </c>
      <c r="G20" s="374">
        <f>SUM(G21:G24)</f>
        <v>1058</v>
      </c>
      <c r="H20" s="376">
        <f t="shared" ref="H20:H21" si="14">(F20-G20)/G20</f>
        <v>-3.9697542533081283E-2</v>
      </c>
      <c r="I20" s="375">
        <f>+F20/$F$34</f>
        <v>0.22780269058295965</v>
      </c>
      <c r="J20" s="250" t="s">
        <v>180</v>
      </c>
      <c r="K20" s="37"/>
      <c r="L20" s="378">
        <f>SUM(L21:L24)</f>
        <v>12541716</v>
      </c>
      <c r="M20" s="374">
        <f>SUM(M21:M24)</f>
        <v>12435570</v>
      </c>
      <c r="N20" s="375">
        <f>(L20-M20)/M20</f>
        <v>8.535676289868498E-3</v>
      </c>
      <c r="O20" s="378">
        <f>SUM(O21:O24)</f>
        <v>50769179</v>
      </c>
      <c r="P20" s="374">
        <f>SUM(P21:P24)</f>
        <v>50143165</v>
      </c>
      <c r="Q20" s="376">
        <f t="shared" ref="Q20:Q22" si="15">(O20-P20)/P20</f>
        <v>1.2484533036556429E-2</v>
      </c>
      <c r="R20" s="375">
        <f>O20/$O$34</f>
        <v>0.45495699659363698</v>
      </c>
      <c r="T20" s="383"/>
    </row>
    <row r="21" spans="1:20" ht="14.1" customHeight="1" x14ac:dyDescent="0.2">
      <c r="A21" s="36"/>
      <c r="B21" s="310" t="s">
        <v>180</v>
      </c>
      <c r="C21" s="314">
        <f>+[3]FedEx!$IW$19</f>
        <v>174</v>
      </c>
      <c r="D21" s="209">
        <f>+[3]FedEx!$II$19</f>
        <v>204</v>
      </c>
      <c r="E21" s="316">
        <f>(C21-D21)/D21</f>
        <v>-0.14705882352941177</v>
      </c>
      <c r="F21" s="314">
        <f>+SUM([3]FedEx!$IT$19:$IW$19)</f>
        <v>720</v>
      </c>
      <c r="G21" s="209">
        <f>+SUM([3]FedEx!$IF$19:$II$19)</f>
        <v>792</v>
      </c>
      <c r="H21" s="315">
        <f t="shared" si="14"/>
        <v>-9.0909090909090912E-2</v>
      </c>
      <c r="I21" s="316">
        <f>+F21/$F$34</f>
        <v>0.16143497757847533</v>
      </c>
      <c r="J21" s="250"/>
      <c r="K21" s="310" t="s">
        <v>180</v>
      </c>
      <c r="L21" s="314">
        <f>+[3]FedEx!$IW$64</f>
        <v>12346416</v>
      </c>
      <c r="M21" s="209">
        <f>+[3]FedEx!$II$64</f>
        <v>12251208</v>
      </c>
      <c r="N21" s="316">
        <f>(L21-M21)/M21</f>
        <v>7.7713152858069181E-3</v>
      </c>
      <c r="O21" s="314">
        <f>+SUM([3]FedEx!$IT$64:$IW$64)</f>
        <v>50048980</v>
      </c>
      <c r="P21" s="209">
        <f>+SUM([3]FedEx!$IF$64:$II$64)</f>
        <v>49367297</v>
      </c>
      <c r="Q21" s="315">
        <f t="shared" si="15"/>
        <v>1.3808392223702263E-2</v>
      </c>
      <c r="R21" s="316">
        <f>O21/$O$34</f>
        <v>0.44850308931280936</v>
      </c>
      <c r="T21" s="383"/>
    </row>
    <row r="22" spans="1:20" ht="14.1" customHeight="1" x14ac:dyDescent="0.2">
      <c r="A22" s="36"/>
      <c r="B22" s="310" t="s">
        <v>207</v>
      </c>
      <c r="C22" s="314">
        <f>+'[3]Mountain Cargo'!$IW$19</f>
        <v>40</v>
      </c>
      <c r="D22" s="209">
        <f>+'[3]Mountain Cargo'!$II$19</f>
        <v>40</v>
      </c>
      <c r="E22" s="316">
        <f>(C22-D22)/D22</f>
        <v>0</v>
      </c>
      <c r="F22" s="314">
        <f>+SUM('[3]Mountain Cargo'!$IT$19:$IW$19)</f>
        <v>166</v>
      </c>
      <c r="G22" s="209">
        <f>+SUM('[3]Mountain Cargo'!$IF$19:$II$19)</f>
        <v>160</v>
      </c>
      <c r="H22" s="315">
        <f>(F22-G22)/G22</f>
        <v>3.7499999999999999E-2</v>
      </c>
      <c r="I22" s="316">
        <f>+F22/$F$34</f>
        <v>3.7219730941704034E-2</v>
      </c>
      <c r="J22" s="355"/>
      <c r="K22" s="310" t="s">
        <v>207</v>
      </c>
      <c r="L22" s="314">
        <f>+'[3]Mountain Cargo'!$IW$64</f>
        <v>135291</v>
      </c>
      <c r="M22" s="209">
        <f>+'[3]Mountain Cargo'!$II$64</f>
        <v>139655</v>
      </c>
      <c r="N22" s="316">
        <f>(L22-M22)/M22</f>
        <v>-3.1248433640041529E-2</v>
      </c>
      <c r="O22" s="314">
        <f>+SUM('[3]Mountain Cargo'!$IT$64:$IW$64)</f>
        <v>488480</v>
      </c>
      <c r="P22" s="209">
        <f>+SUM('[3]Mountain Cargo'!$IF$64:$II$64)</f>
        <v>555010</v>
      </c>
      <c r="Q22" s="315">
        <f t="shared" si="15"/>
        <v>-0.11987171402317075</v>
      </c>
      <c r="R22" s="316">
        <f>O22/$O$34</f>
        <v>4.3774076727941535E-3</v>
      </c>
      <c r="T22" s="383"/>
    </row>
    <row r="23" spans="1:20" ht="14.1" customHeight="1" x14ac:dyDescent="0.2">
      <c r="A23" s="36"/>
      <c r="B23" s="310" t="s">
        <v>174</v>
      </c>
      <c r="C23" s="314">
        <f>+[3]IFL!$IW$19</f>
        <v>36</v>
      </c>
      <c r="D23" s="209">
        <f>+[3]IFL!$II$19</f>
        <v>26</v>
      </c>
      <c r="E23" s="316">
        <f>(C23-D23)/D23</f>
        <v>0.38461538461538464</v>
      </c>
      <c r="F23" s="314">
        <f>+SUM([3]IFL!$IT$19:$IW$19)</f>
        <v>130</v>
      </c>
      <c r="G23" s="209">
        <f>+SUM([3]IFL!$IF$19:$II$19)</f>
        <v>106</v>
      </c>
      <c r="H23" s="315">
        <f>(F23-G23)/G23</f>
        <v>0.22641509433962265</v>
      </c>
      <c r="I23" s="316">
        <f>+F23/$F$34</f>
        <v>2.914798206278027E-2</v>
      </c>
      <c r="J23" s="355"/>
      <c r="K23" s="310" t="s">
        <v>174</v>
      </c>
      <c r="L23" s="314">
        <f>+[3]IFL!$IW$64</f>
        <v>60009</v>
      </c>
      <c r="M23" s="209">
        <f>+[3]IFL!$II$64</f>
        <v>44707</v>
      </c>
      <c r="N23" s="316">
        <f>(L23-M23)/M23</f>
        <v>0.34227302212181537</v>
      </c>
      <c r="O23" s="314">
        <f>+SUM([3]IFL!$IT$64:$IW$64)</f>
        <v>231719</v>
      </c>
      <c r="P23" s="209">
        <f>+SUM([3]IFL!$IF$64:$II$64)</f>
        <v>220858</v>
      </c>
      <c r="Q23" s="315">
        <f>(O23-P23)/P23</f>
        <v>4.9176393882041855E-2</v>
      </c>
      <c r="R23" s="316">
        <f>O23/$O$34</f>
        <v>2.0764996080334681E-3</v>
      </c>
      <c r="T23" s="383"/>
    </row>
    <row r="24" spans="1:20" ht="14.1" customHeight="1" x14ac:dyDescent="0.2">
      <c r="A24" s="250"/>
      <c r="B24" s="310" t="s">
        <v>84</v>
      </c>
      <c r="C24" s="314">
        <f>+'[3]CSA Air'!$IW$19</f>
        <v>0</v>
      </c>
      <c r="D24" s="209">
        <f>+'[3]CSA Air'!$II$19</f>
        <v>0</v>
      </c>
      <c r="E24" s="316" t="e">
        <f>(C24-D24)/D24</f>
        <v>#DIV/0!</v>
      </c>
      <c r="F24" s="314">
        <f>+SUM('[3]CSA Air'!$IT$19:$IW$19)</f>
        <v>0</v>
      </c>
      <c r="G24" s="209">
        <f>+SUM('[3]CSA Air'!$IF$19:$II$19)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Air'!$IW$64</f>
        <v>0</v>
      </c>
      <c r="M24" s="209">
        <f>+'[3]CSA Air'!$II$64</f>
        <v>0</v>
      </c>
      <c r="N24" s="316" t="e">
        <f>(L24-M24)/M24</f>
        <v>#DIV/0!</v>
      </c>
      <c r="O24" s="314">
        <f>+SUM('[3]CSA Air'!$IT$64:$IW$64)</f>
        <v>0</v>
      </c>
      <c r="P24" s="209">
        <f>+SUM('[3]CSA Air'!$IF$64:$II$64)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522</v>
      </c>
      <c r="D26" s="374">
        <f>SUM(D27:D28)</f>
        <v>546</v>
      </c>
      <c r="E26" s="375">
        <f>(C26-D26)/D26</f>
        <v>-4.3956043956043959E-2</v>
      </c>
      <c r="F26" s="374">
        <f>SUM(F27:F28)</f>
        <v>2056</v>
      </c>
      <c r="G26" s="374">
        <f>SUM(G27:G28)</f>
        <v>2350</v>
      </c>
      <c r="H26" s="376">
        <f>(F26-G26)/G26</f>
        <v>-0.1251063829787234</v>
      </c>
      <c r="I26" s="375">
        <f>+F26/$F$34</f>
        <v>0.46098654708520181</v>
      </c>
      <c r="J26" s="250" t="s">
        <v>82</v>
      </c>
      <c r="K26" s="37"/>
      <c r="L26" s="374">
        <f>SUM(L27:L28)</f>
        <v>9377892</v>
      </c>
      <c r="M26" s="374">
        <f>SUM(M27:M28)</f>
        <v>10449999</v>
      </c>
      <c r="N26" s="375">
        <f>(L26-M26)/M26</f>
        <v>-0.10259398110947188</v>
      </c>
      <c r="O26" s="374">
        <f>SUM(O27:O28)</f>
        <v>35035717</v>
      </c>
      <c r="P26" s="374">
        <f>SUM(P27:P28)</f>
        <v>41991579</v>
      </c>
      <c r="Q26" s="376">
        <f>(O26-P26)/P26</f>
        <v>-0.165648974524154</v>
      </c>
      <c r="R26" s="375">
        <f>O26/$O$34</f>
        <v>0.31396498611538765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+[3]UPS!$IW$19</f>
        <v>178</v>
      </c>
      <c r="D27" s="209">
        <f>+[3]UPS!$II$19</f>
        <v>246</v>
      </c>
      <c r="E27" s="316">
        <f>(C27-D27)/D27</f>
        <v>-0.27642276422764228</v>
      </c>
      <c r="F27" s="314">
        <f>+SUM([3]UPS!$IT$19:$IW$19)</f>
        <v>698</v>
      </c>
      <c r="G27" s="209">
        <f>+SUM([3]UPS!$IF$19:$II$19)</f>
        <v>978</v>
      </c>
      <c r="H27" s="315">
        <f>(F27-G27)/G27</f>
        <v>-0.28629856850715746</v>
      </c>
      <c r="I27" s="316">
        <f>+F27/$F$34</f>
        <v>0.15650224215246636</v>
      </c>
      <c r="J27" s="250"/>
      <c r="K27" s="310" t="s">
        <v>82</v>
      </c>
      <c r="L27" s="314">
        <f>+[3]UPS!$IW$64</f>
        <v>9377892</v>
      </c>
      <c r="M27" s="209">
        <f>+[3]UPS!$II$64</f>
        <v>10449999</v>
      </c>
      <c r="N27" s="316">
        <f>(L27-M27)/M27</f>
        <v>-0.10259398110947188</v>
      </c>
      <c r="O27" s="314">
        <f>+SUM([3]UPS!$IT$64:$IW$64)</f>
        <v>35035717</v>
      </c>
      <c r="P27" s="209">
        <f>+SUM([3]UPS!$IF$64:$II$64)</f>
        <v>41991579</v>
      </c>
      <c r="Q27" s="315">
        <f>(O27-P27)/P27</f>
        <v>-0.165648974524154</v>
      </c>
      <c r="R27" s="316">
        <f>O27/$O$34</f>
        <v>0.31396498611538765</v>
      </c>
      <c r="S27" s="332"/>
      <c r="T27" s="385"/>
    </row>
    <row r="28" spans="1:20" x14ac:dyDescent="0.2">
      <c r="A28" s="250"/>
      <c r="B28" s="310" t="s">
        <v>83</v>
      </c>
      <c r="C28" s="314">
        <f>+[3]Bemidji!$IW$19</f>
        <v>344</v>
      </c>
      <c r="D28" s="209">
        <f>+[3]Bemidji!$II$19</f>
        <v>300</v>
      </c>
      <c r="E28" s="316">
        <f>(C28-D28)/D28</f>
        <v>0.14666666666666667</v>
      </c>
      <c r="F28" s="314">
        <f>+SUM([3]Bemidji!$IT$19:$IW$19)</f>
        <v>1358</v>
      </c>
      <c r="G28" s="209">
        <f>+SUM([3]Bemidji!$IF$19:$II$19)</f>
        <v>1372</v>
      </c>
      <c r="H28" s="315">
        <f t="shared" ref="H28" si="18">(F28-G28)/G28</f>
        <v>-1.020408163265306E-2</v>
      </c>
      <c r="I28" s="316">
        <f>+F28/$F$34</f>
        <v>0.30448430493273543</v>
      </c>
      <c r="J28" s="250"/>
      <c r="K28" s="310" t="s">
        <v>83</v>
      </c>
      <c r="L28" s="473" t="s">
        <v>183</v>
      </c>
      <c r="M28" s="474"/>
      <c r="N28" s="474"/>
      <c r="O28" s="474"/>
      <c r="P28" s="474"/>
      <c r="Q28" s="474"/>
      <c r="R28" s="475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Cargo'!$IW$19</f>
        <v>0</v>
      </c>
      <c r="D30" s="374">
        <f>+'[3]Misc Cargo'!$II$19</f>
        <v>0</v>
      </c>
      <c r="E30" s="375" t="e">
        <f>(C30-D30)/D30</f>
        <v>#DIV/0!</v>
      </c>
      <c r="F30" s="378">
        <f>+SUM('[3]Misc Cargo'!$IT$19:$IW$19)</f>
        <v>0</v>
      </c>
      <c r="G30" s="374">
        <f>+SUM('[3]Misc Cargo'!$IF$19:$II$19)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Cargo'!$IW$64</f>
        <v>0</v>
      </c>
      <c r="M30" s="374">
        <f>+'[3]Misc Cargo'!$II$64</f>
        <v>0</v>
      </c>
      <c r="N30" s="375" t="e">
        <f>(L30-M30)/M30</f>
        <v>#DIV/0!</v>
      </c>
      <c r="O30" s="378">
        <f>+SUM('[3]Misc Cargo'!$IT$64:$IW$64)</f>
        <v>0</v>
      </c>
      <c r="P30" s="374">
        <f>+SUM('[3]Misc Cargo'!$IF$64:$II$64)</f>
        <v>0</v>
      </c>
      <c r="Q30" s="376" t="e">
        <f>(O30-P30)/P30</f>
        <v>#DIV/0!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1094</v>
      </c>
      <c r="D34" s="336">
        <f>+D30+D26+D20+D9+D5</f>
        <v>1122</v>
      </c>
      <c r="E34" s="337">
        <f>(C34-D34)/D34</f>
        <v>-2.4955436720142603E-2</v>
      </c>
      <c r="F34" s="336">
        <f>+F30+F26+F20+F9+F5</f>
        <v>4460</v>
      </c>
      <c r="G34" s="336">
        <f>+G30+G26+G20+G9+G5</f>
        <v>4636</v>
      </c>
      <c r="H34" s="338">
        <f>(F34-G34)/G34</f>
        <v>-3.7963761863675581E-2</v>
      </c>
      <c r="I34" s="344"/>
      <c r="K34" s="335" t="s">
        <v>181</v>
      </c>
      <c r="L34" s="336">
        <f>+L30+L26+L20+L9+L5</f>
        <v>26866207</v>
      </c>
      <c r="M34" s="336">
        <f>+M30+M26+M20+M9+M5</f>
        <v>29307065</v>
      </c>
      <c r="N34" s="339">
        <f>(L34-M34)/M34</f>
        <v>-8.3285651429100799E-2</v>
      </c>
      <c r="O34" s="336">
        <f>+O30+O26+O20+O9+O5</f>
        <v>111591160</v>
      </c>
      <c r="P34" s="336">
        <f>+P30+P26+P20+P9+P5</f>
        <v>119773156</v>
      </c>
      <c r="Q34" s="338">
        <f t="shared" ref="Q34" si="19">(O34-P34)/P34</f>
        <v>-6.8312435551084585E-2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April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2024-07-09T14:40:29Z</dcterms:modified>
</cp:coreProperties>
</file>