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L10" i="16" l="1"/>
  <c r="L9" i="16"/>
  <c r="L11" i="16" s="1"/>
  <c r="L5" i="16"/>
  <c r="L4" i="16"/>
  <c r="L22" i="16"/>
  <c r="L21" i="16"/>
  <c r="L23" i="16" s="1"/>
  <c r="L17" i="16"/>
  <c r="L16" i="16"/>
  <c r="L28" i="16"/>
  <c r="L27" i="16"/>
  <c r="L30" i="16" s="1"/>
  <c r="L35" i="16"/>
  <c r="L34" i="16"/>
  <c r="L6" i="16" l="1"/>
  <c r="L37" i="16"/>
  <c r="L18" i="16"/>
  <c r="H49" i="3"/>
  <c r="G49" i="3"/>
  <c r="H48" i="3"/>
  <c r="G48" i="3"/>
  <c r="C21" i="1" l="1"/>
  <c r="B21" i="1"/>
  <c r="J35" i="16" l="1"/>
  <c r="J34" i="16"/>
  <c r="J28" i="16"/>
  <c r="J27" i="16"/>
  <c r="J22" i="16"/>
  <c r="J21" i="16"/>
  <c r="J23" i="16" s="1"/>
  <c r="J17" i="16"/>
  <c r="J16" i="16"/>
  <c r="J10" i="16"/>
  <c r="J9" i="16"/>
  <c r="J11" i="16" s="1"/>
  <c r="J5" i="16"/>
  <c r="J4" i="16"/>
  <c r="J6" i="16" s="1"/>
  <c r="J18" i="16" l="1"/>
  <c r="J37" i="16"/>
  <c r="J30" i="16"/>
  <c r="D29" i="7"/>
  <c r="P62" i="9" l="1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8" i="9"/>
  <c r="M8" i="9"/>
  <c r="G8" i="9"/>
  <c r="D8" i="9"/>
  <c r="P7" i="9"/>
  <c r="M7" i="9"/>
  <c r="G7" i="9"/>
  <c r="D7" i="9"/>
  <c r="P6" i="9"/>
  <c r="M6" i="9"/>
  <c r="G6" i="9"/>
  <c r="D6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2" i="9"/>
  <c r="L12" i="9"/>
  <c r="F12" i="9"/>
  <c r="C12" i="9"/>
  <c r="O10" i="9"/>
  <c r="L10" i="9"/>
  <c r="F10" i="9"/>
  <c r="C10" i="9"/>
  <c r="O8" i="9"/>
  <c r="L8" i="9"/>
  <c r="F8" i="9"/>
  <c r="C8" i="9"/>
  <c r="O7" i="9"/>
  <c r="L7" i="9"/>
  <c r="F7" i="9"/>
  <c r="C7" i="9"/>
  <c r="O6" i="9"/>
  <c r="L6" i="9"/>
  <c r="F6" i="9"/>
  <c r="C6" i="9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M27" i="7"/>
  <c r="L27" i="7"/>
  <c r="E27" i="7"/>
  <c r="C27" i="7"/>
  <c r="B27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D27" i="7" l="1"/>
  <c r="N27" i="7"/>
  <c r="G21" i="17"/>
  <c r="G19" i="17"/>
  <c r="G17" i="17"/>
  <c r="G15" i="17"/>
  <c r="G13" i="17"/>
  <c r="G11" i="17"/>
  <c r="G9" i="17"/>
  <c r="G7" i="17"/>
  <c r="G5" i="17"/>
  <c r="D21" i="17"/>
  <c r="D19" i="17"/>
  <c r="D17" i="17"/>
  <c r="D15" i="17"/>
  <c r="D13" i="17"/>
  <c r="D11" i="17"/>
  <c r="D9" i="17"/>
  <c r="D7" i="17"/>
  <c r="D5" i="17"/>
  <c r="Q8" i="9" l="1"/>
  <c r="N8" i="9"/>
  <c r="H8" i="9"/>
  <c r="E8" i="9"/>
  <c r="P21" i="17"/>
  <c r="M21" i="17"/>
  <c r="P19" i="17"/>
  <c r="M19" i="17"/>
  <c r="P17" i="17"/>
  <c r="M17" i="17"/>
  <c r="P13" i="17"/>
  <c r="M13" i="17"/>
  <c r="P11" i="17"/>
  <c r="M11" i="17"/>
  <c r="P9" i="17"/>
  <c r="M9" i="17"/>
  <c r="P7" i="17"/>
  <c r="M7" i="17"/>
  <c r="P5" i="17"/>
  <c r="M5" i="17"/>
  <c r="O27" i="7"/>
  <c r="J27" i="7"/>
  <c r="M26" i="7"/>
  <c r="L26" i="7"/>
  <c r="M4" i="9"/>
  <c r="G4" i="9"/>
  <c r="D4" i="9"/>
  <c r="L4" i="9"/>
  <c r="F4" i="9"/>
  <c r="C4" i="9"/>
  <c r="B26" i="7"/>
  <c r="C26" i="7"/>
  <c r="J3" i="17"/>
  <c r="D26" i="7" l="1"/>
  <c r="G26" i="7"/>
  <c r="H26" i="7"/>
  <c r="O4" i="9"/>
  <c r="P4" i="9"/>
  <c r="N26" i="7"/>
  <c r="C66" i="9"/>
  <c r="D66" i="9"/>
  <c r="O66" i="9"/>
  <c r="P66" i="9"/>
  <c r="F66" i="9"/>
  <c r="G66" i="9"/>
  <c r="L66" i="9"/>
  <c r="M66" i="9"/>
  <c r="I26" i="7"/>
  <c r="M25" i="7"/>
  <c r="L25" i="7"/>
  <c r="E25" i="7"/>
  <c r="C25" i="7"/>
  <c r="B25" i="7"/>
  <c r="D25" i="7" l="1"/>
  <c r="N25" i="7"/>
  <c r="O25" i="7" l="1"/>
  <c r="M24" i="7"/>
  <c r="L24" i="7"/>
  <c r="J25" i="7"/>
  <c r="E24" i="7"/>
  <c r="C24" i="7"/>
  <c r="B24" i="7"/>
  <c r="J2" i="9"/>
  <c r="D24" i="7" l="1"/>
  <c r="J5" i="3"/>
  <c r="J6" i="3"/>
  <c r="J10" i="3"/>
  <c r="J11" i="3"/>
  <c r="J16" i="3"/>
  <c r="J17" i="3"/>
  <c r="J20" i="3"/>
  <c r="J21" i="3"/>
  <c r="N24" i="7"/>
  <c r="O24" i="7"/>
  <c r="O23" i="7"/>
  <c r="M23" i="7"/>
  <c r="L23" i="7"/>
  <c r="J24" i="7"/>
  <c r="C23" i="7"/>
  <c r="B23" i="7"/>
  <c r="D23" i="7" l="1"/>
  <c r="N23" i="7"/>
  <c r="Q46" i="9"/>
  <c r="H21" i="2" l="1"/>
  <c r="H44" i="2"/>
  <c r="H6" i="2"/>
  <c r="H17" i="2"/>
  <c r="H40" i="2"/>
  <c r="H43" i="2"/>
  <c r="H35" i="2"/>
  <c r="E46" i="9"/>
  <c r="N46" i="9"/>
  <c r="H11" i="2"/>
  <c r="H46" i="9"/>
  <c r="H30" i="2"/>
  <c r="H45" i="2" l="1"/>
  <c r="H23" i="2"/>
  <c r="M22" i="7"/>
  <c r="L22" i="7"/>
  <c r="J23" i="7"/>
  <c r="E23" i="7"/>
  <c r="C22" i="7"/>
  <c r="B22" i="7"/>
  <c r="D22" i="7" l="1"/>
  <c r="L47" i="15"/>
  <c r="L46" i="15"/>
  <c r="N23" i="9"/>
  <c r="G37" i="4"/>
  <c r="G7" i="4" l="1"/>
  <c r="G17" i="4"/>
  <c r="G27" i="4"/>
  <c r="G12" i="4"/>
  <c r="G32" i="4"/>
  <c r="E23" i="9"/>
  <c r="G41" i="4"/>
  <c r="G20" i="4"/>
  <c r="Q23" i="9"/>
  <c r="H23" i="9"/>
  <c r="G40" i="4"/>
  <c r="M21" i="7"/>
  <c r="L21" i="7"/>
  <c r="O22" i="7"/>
  <c r="J22" i="7"/>
  <c r="C21" i="7"/>
  <c r="B21" i="7"/>
  <c r="E22" i="7"/>
  <c r="D21" i="7" l="1"/>
  <c r="G21" i="4"/>
  <c r="P55" i="9"/>
  <c r="G42" i="4"/>
  <c r="O31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2" i="9"/>
  <c r="N22" i="9"/>
  <c r="J20" i="4"/>
  <c r="D12" i="15"/>
  <c r="D20" i="15"/>
  <c r="D21" i="15" s="1"/>
  <c r="D32" i="15"/>
  <c r="Q22" i="9"/>
  <c r="D22" i="3"/>
  <c r="D7" i="3"/>
  <c r="D40" i="3"/>
  <c r="E7" i="3"/>
  <c r="E18" i="3"/>
  <c r="E30" i="3"/>
  <c r="H27" i="9"/>
  <c r="Q27" i="9"/>
  <c r="J17" i="4"/>
  <c r="J27" i="4"/>
  <c r="J41" i="4"/>
  <c r="D41" i="15"/>
  <c r="E12" i="3"/>
  <c r="E35" i="3"/>
  <c r="I20" i="4"/>
  <c r="J37" i="4"/>
  <c r="H22" i="9"/>
  <c r="J12" i="4"/>
  <c r="D12" i="3"/>
  <c r="D35" i="3"/>
  <c r="I7" i="4"/>
  <c r="I27" i="4"/>
  <c r="N60" i="9"/>
  <c r="E27" i="9"/>
  <c r="H60" i="9"/>
  <c r="Q60" i="9"/>
  <c r="N27" i="9"/>
  <c r="E60" i="9"/>
  <c r="H10" i="9"/>
  <c r="E10" i="9"/>
  <c r="Q10" i="9"/>
  <c r="N10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8" i="9" l="1"/>
  <c r="C14" i="9"/>
  <c r="O21" i="7"/>
  <c r="J21" i="7"/>
  <c r="E21" i="7"/>
  <c r="D55" i="9" l="1"/>
  <c r="D18" i="9"/>
  <c r="D31" i="9"/>
  <c r="G31" i="9"/>
  <c r="G55" i="9"/>
  <c r="F31" i="9"/>
  <c r="L10" i="15"/>
  <c r="L18" i="15"/>
  <c r="C55" i="9"/>
  <c r="P4" i="16"/>
  <c r="C31" i="9"/>
  <c r="L5" i="15"/>
  <c r="L15" i="15"/>
  <c r="L6" i="15"/>
  <c r="L16" i="15"/>
  <c r="F55" i="9"/>
  <c r="L11" i="15"/>
  <c r="L19" i="15"/>
  <c r="G32" i="8" l="1"/>
  <c r="G18" i="8"/>
  <c r="G6" i="8"/>
  <c r="G12" i="8" s="1"/>
  <c r="G31" i="8"/>
  <c r="G10" i="8"/>
  <c r="G23" i="8" l="1"/>
  <c r="G28" i="8"/>
  <c r="G33" i="8" l="1"/>
  <c r="Q29" i="9" l="1"/>
  <c r="E29" i="9"/>
  <c r="H29" i="9"/>
  <c r="N29" i="9"/>
  <c r="F41" i="4" l="1"/>
  <c r="F20" i="4"/>
  <c r="F17" i="4"/>
  <c r="F40" i="4"/>
  <c r="F7" i="4"/>
  <c r="F27" i="4"/>
  <c r="F12" i="4"/>
  <c r="F32" i="4"/>
  <c r="F37" i="4"/>
  <c r="F21" i="4" l="1"/>
  <c r="F42" i="4"/>
  <c r="M14" i="9"/>
  <c r="D14" i="9"/>
  <c r="Q5" i="9"/>
  <c r="N5" i="9"/>
  <c r="H5" i="9"/>
  <c r="E5" i="9"/>
  <c r="E20" i="9"/>
  <c r="E19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4" i="9" l="1"/>
  <c r="F18" i="9"/>
  <c r="G18" i="9"/>
  <c r="N7" i="9"/>
  <c r="G14" i="9"/>
  <c r="O18" i="9"/>
  <c r="P18" i="9"/>
  <c r="E21" i="9"/>
  <c r="E24" i="9"/>
  <c r="E25" i="9"/>
  <c r="Q16" i="9"/>
  <c r="H21" i="9"/>
  <c r="Q21" i="9"/>
  <c r="H24" i="9"/>
  <c r="Q24" i="9"/>
  <c r="H25" i="9"/>
  <c r="Q25" i="9"/>
  <c r="L14" i="9"/>
  <c r="O14" i="9"/>
  <c r="H6" i="9"/>
  <c r="E7" i="9"/>
  <c r="F14" i="9"/>
  <c r="N6" i="9"/>
  <c r="E16" i="9"/>
  <c r="E15" i="9"/>
  <c r="Q15" i="9"/>
  <c r="H16" i="9"/>
  <c r="L18" i="9"/>
  <c r="M18" i="9"/>
  <c r="Q7" i="9"/>
  <c r="H15" i="9"/>
  <c r="E14" i="9"/>
  <c r="N16" i="9"/>
  <c r="N15" i="9"/>
  <c r="Q6" i="9"/>
  <c r="E6" i="9"/>
  <c r="N21" i="9"/>
  <c r="N24" i="9"/>
  <c r="N25" i="9"/>
  <c r="J7" i="15"/>
  <c r="M23" i="16"/>
  <c r="F11" i="2"/>
  <c r="F21" i="2"/>
  <c r="F35" i="2"/>
  <c r="G6" i="2"/>
  <c r="G17" i="2"/>
  <c r="G30" i="2"/>
  <c r="G40" i="2"/>
  <c r="J37" i="15"/>
  <c r="M30" i="16"/>
  <c r="M6" i="16"/>
  <c r="G43" i="2"/>
  <c r="M37" i="16"/>
  <c r="F6" i="2"/>
  <c r="F17" i="2"/>
  <c r="F30" i="2"/>
  <c r="F40" i="2"/>
  <c r="G11" i="2"/>
  <c r="J32" i="15"/>
  <c r="J12" i="15"/>
  <c r="J27" i="15"/>
  <c r="J17" i="15"/>
  <c r="G35" i="2"/>
  <c r="M18" i="16"/>
  <c r="G21" i="2"/>
  <c r="J40" i="15"/>
  <c r="J20" i="15"/>
  <c r="M11" i="16"/>
  <c r="J41" i="15"/>
  <c r="F43" i="2"/>
  <c r="G44" i="2"/>
  <c r="F44" i="2"/>
  <c r="E4" i="9" l="1"/>
  <c r="E18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8" i="9"/>
  <c r="Q61" i="9"/>
  <c r="N33" i="9"/>
  <c r="H49" i="9"/>
  <c r="H32" i="9"/>
  <c r="H51" i="9"/>
  <c r="E44" i="9"/>
  <c r="J47" i="2"/>
  <c r="N30" i="7"/>
  <c r="P30" i="7" s="1"/>
  <c r="N31" i="7"/>
  <c r="P31" i="7" s="1"/>
  <c r="D30" i="7"/>
  <c r="F30" i="7" s="1"/>
  <c r="D31" i="7"/>
  <c r="N29" i="7"/>
  <c r="F29" i="7"/>
  <c r="N32" i="7"/>
  <c r="P32" i="7"/>
  <c r="I32" i="7"/>
  <c r="K32" i="7"/>
  <c r="D32" i="7"/>
  <c r="F32" i="7"/>
  <c r="I31" i="7"/>
  <c r="K31" i="7"/>
  <c r="F31" i="7"/>
  <c r="I30" i="7"/>
  <c r="K30" i="7" s="1"/>
  <c r="P29" i="7"/>
  <c r="I29" i="7"/>
  <c r="K29" i="7"/>
  <c r="L45" i="15"/>
  <c r="L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2" i="9"/>
  <c r="B18" i="3"/>
  <c r="E17" i="15"/>
  <c r="B37" i="16"/>
  <c r="F37" i="16"/>
  <c r="G48" i="9"/>
  <c r="G67" i="9" s="1"/>
  <c r="H44" i="3"/>
  <c r="J48" i="3"/>
  <c r="I50" i="2" s="1"/>
  <c r="J50" i="2" s="1"/>
  <c r="D30" i="16"/>
  <c r="I30" i="16"/>
  <c r="E35" i="9"/>
  <c r="N59" i="9"/>
  <c r="E61" i="9"/>
  <c r="E33" i="9"/>
  <c r="O11" i="16"/>
  <c r="E41" i="15"/>
  <c r="K41" i="4"/>
  <c r="N32" i="9"/>
  <c r="C23" i="16"/>
  <c r="K28" i="8"/>
  <c r="B22" i="3"/>
  <c r="K20" i="4"/>
  <c r="K17" i="4"/>
  <c r="B46" i="4"/>
  <c r="B47" i="4" s="1"/>
  <c r="M48" i="9"/>
  <c r="B44" i="3"/>
  <c r="D44" i="2"/>
  <c r="B18" i="8"/>
  <c r="N20" i="9"/>
  <c r="N18" i="16"/>
  <c r="N36" i="9"/>
  <c r="Q14" i="9"/>
  <c r="Q56" i="9"/>
  <c r="D6" i="16"/>
  <c r="C7" i="7"/>
  <c r="G18" i="3"/>
  <c r="H20" i="15"/>
  <c r="H17" i="4"/>
  <c r="J28" i="8"/>
  <c r="B28" i="8"/>
  <c r="H37" i="15"/>
  <c r="E40" i="2"/>
  <c r="B40" i="2"/>
  <c r="G40" i="15"/>
  <c r="O18" i="16"/>
  <c r="B27" i="15"/>
  <c r="B30" i="16"/>
  <c r="F30" i="16"/>
  <c r="N30" i="16"/>
  <c r="E18" i="16"/>
  <c r="K18" i="16"/>
  <c r="N42" i="9"/>
  <c r="Q42" i="9"/>
  <c r="Q40" i="9"/>
  <c r="Q53" i="9"/>
  <c r="E40" i="9"/>
  <c r="H36" i="9"/>
  <c r="E57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6" i="9"/>
  <c r="N44" i="9"/>
  <c r="E43" i="2"/>
  <c r="B43" i="2"/>
  <c r="G32" i="15"/>
  <c r="C32" i="15"/>
  <c r="G44" i="3"/>
  <c r="B23" i="16"/>
  <c r="H19" i="9"/>
  <c r="N14" i="9"/>
  <c r="Q57" i="9"/>
  <c r="Q20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2" i="9"/>
  <c r="C48" i="9"/>
  <c r="C67" i="9" s="1"/>
  <c r="C65" i="9" s="1"/>
  <c r="H62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2" i="9"/>
  <c r="H61" i="9"/>
  <c r="H33" i="9"/>
  <c r="H6" i="16"/>
  <c r="C6" i="16"/>
  <c r="E6" i="16"/>
  <c r="F7" i="3"/>
  <c r="I7" i="3"/>
  <c r="C7" i="3"/>
  <c r="B6" i="8"/>
  <c r="B12" i="8" s="1"/>
  <c r="B40" i="4"/>
  <c r="E23" i="16"/>
  <c r="K23" i="16"/>
  <c r="H44" i="9"/>
  <c r="E38" i="9"/>
  <c r="N34" i="9"/>
  <c r="N62" i="9"/>
  <c r="N57" i="9"/>
  <c r="Q12" i="9"/>
  <c r="Q37" i="9"/>
  <c r="K7" i="4"/>
  <c r="C7" i="4"/>
  <c r="I9" i="2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9" i="9"/>
  <c r="Q44" i="9"/>
  <c r="Q51" i="9"/>
  <c r="Q49" i="9"/>
  <c r="H7" i="15"/>
  <c r="K12" i="15"/>
  <c r="D12" i="4"/>
  <c r="C12" i="3"/>
  <c r="C22" i="3"/>
  <c r="G40" i="3"/>
  <c r="C40" i="2"/>
  <c r="N38" i="9"/>
  <c r="Q35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1" i="9"/>
  <c r="L55" i="9"/>
  <c r="G6" i="7"/>
  <c r="C7" i="1" s="1"/>
  <c r="I10" i="2"/>
  <c r="J10" i="2" s="1"/>
  <c r="G11" i="7"/>
  <c r="C18" i="1" s="1"/>
  <c r="P5" i="16"/>
  <c r="L26" i="15"/>
  <c r="L26" i="4" s="1"/>
  <c r="M26" i="4" s="1"/>
  <c r="C6" i="5" s="1"/>
  <c r="C40" i="3"/>
  <c r="B23" i="8"/>
  <c r="N23" i="16"/>
  <c r="Q59" i="9"/>
  <c r="D37" i="4"/>
  <c r="B40" i="15"/>
  <c r="I19" i="2"/>
  <c r="J19" i="2" s="1"/>
  <c r="M8" i="8"/>
  <c r="G43" i="3"/>
  <c r="B27" i="4"/>
  <c r="L19" i="4"/>
  <c r="M19" i="4" s="1"/>
  <c r="D31" i="8"/>
  <c r="H42" i="9"/>
  <c r="H53" i="9"/>
  <c r="P48" i="9"/>
  <c r="H57" i="9"/>
  <c r="Q34" i="9"/>
  <c r="D7" i="4"/>
  <c r="J39" i="3"/>
  <c r="I39" i="2" s="1"/>
  <c r="J39" i="2" s="1"/>
  <c r="B16" i="5" s="1"/>
  <c r="B32" i="4"/>
  <c r="E35" i="2"/>
  <c r="B35" i="2"/>
  <c r="F23" i="8"/>
  <c r="D43" i="2"/>
  <c r="F23" i="16"/>
  <c r="O48" i="9"/>
  <c r="N11" i="16"/>
  <c r="K20" i="15"/>
  <c r="K21" i="15" s="1"/>
  <c r="C40" i="4"/>
  <c r="C31" i="8"/>
  <c r="F43" i="3"/>
  <c r="B41" i="4"/>
  <c r="C32" i="4"/>
  <c r="B18" i="16"/>
  <c r="F18" i="16"/>
  <c r="P21" i="16"/>
  <c r="H58" i="9"/>
  <c r="M31" i="9"/>
  <c r="N37" i="9"/>
  <c r="N56" i="9"/>
  <c r="E36" i="9"/>
  <c r="H7" i="3"/>
  <c r="C6" i="2"/>
  <c r="E7" i="15"/>
  <c r="G7" i="15"/>
  <c r="E7" i="4"/>
  <c r="I15" i="2"/>
  <c r="J15" i="2" s="1"/>
  <c r="H40" i="15"/>
  <c r="Q58" i="9"/>
  <c r="O55" i="9"/>
  <c r="O67" i="9" s="1"/>
  <c r="R8" i="9" s="1"/>
  <c r="D6" i="8"/>
  <c r="D12" i="8" s="1"/>
  <c r="M5" i="8"/>
  <c r="C19" i="1" s="1"/>
  <c r="M27" i="8"/>
  <c r="D16" i="5" s="1"/>
  <c r="C44" i="2"/>
  <c r="H23" i="16"/>
  <c r="Q33" i="9"/>
  <c r="P31" i="9"/>
  <c r="N49" i="9"/>
  <c r="L48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2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F48" i="9"/>
  <c r="F67" i="9" s="1"/>
  <c r="G37" i="15"/>
  <c r="L18" i="4"/>
  <c r="M18" i="4" s="1"/>
  <c r="J32" i="8"/>
  <c r="E42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3" i="9"/>
  <c r="H40" i="9"/>
  <c r="N35" i="9"/>
  <c r="N58" i="9"/>
  <c r="E59" i="9"/>
  <c r="E58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2" i="9"/>
  <c r="H37" i="16"/>
  <c r="H14" i="9"/>
  <c r="N51" i="9"/>
  <c r="Q36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6" i="9"/>
  <c r="E51" i="9"/>
  <c r="H38" i="9"/>
  <c r="N61" i="9"/>
  <c r="E34" i="9"/>
  <c r="O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I6" i="8"/>
  <c r="I12" i="8" s="1"/>
  <c r="L28" i="8"/>
  <c r="F6" i="8"/>
  <c r="F12" i="8" s="1"/>
  <c r="E62" i="9"/>
  <c r="H59" i="9"/>
  <c r="H37" i="9"/>
  <c r="H34" i="9"/>
  <c r="B6" i="2"/>
  <c r="I16" i="2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M4" i="8"/>
  <c r="B19" i="1" s="1"/>
  <c r="C6" i="8"/>
  <c r="K31" i="8"/>
  <c r="K23" i="8"/>
  <c r="C32" i="8"/>
  <c r="E12" i="9"/>
  <c r="B43" i="3"/>
  <c r="C11" i="16"/>
  <c r="P9" i="16"/>
  <c r="B28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P35" i="16"/>
  <c r="N19" i="9"/>
  <c r="N40" i="9"/>
  <c r="N53" i="9"/>
  <c r="L11" i="4"/>
  <c r="M11" i="4" s="1"/>
  <c r="E37" i="9"/>
  <c r="Q19" i="9"/>
  <c r="L15" i="4"/>
  <c r="M15" i="4" s="1"/>
  <c r="D48" i="9"/>
  <c r="D67" i="9" s="1"/>
  <c r="M55" i="9"/>
  <c r="N6" i="16"/>
  <c r="B7" i="7"/>
  <c r="F32" i="15"/>
  <c r="C43" i="2"/>
  <c r="C35" i="2"/>
  <c r="D21" i="4"/>
  <c r="C18" i="16"/>
  <c r="H35" i="9"/>
  <c r="H20" i="9"/>
  <c r="B7" i="4"/>
  <c r="C12" i="4"/>
  <c r="H12" i="3"/>
  <c r="C18" i="3"/>
  <c r="G10" i="7"/>
  <c r="B18" i="1" s="1"/>
  <c r="C37" i="4"/>
  <c r="H43" i="3"/>
  <c r="H30" i="3"/>
  <c r="C30" i="3"/>
  <c r="C43" i="3"/>
  <c r="I8" i="9" l="1"/>
  <c r="I31" i="9"/>
  <c r="C28" i="7"/>
  <c r="F27" i="7"/>
  <c r="M67" i="9"/>
  <c r="M65" i="9" s="1"/>
  <c r="P67" i="9"/>
  <c r="P65" i="9" s="1"/>
  <c r="L67" i="9"/>
  <c r="L65" i="9" s="1"/>
  <c r="J22" i="3"/>
  <c r="F25" i="7"/>
  <c r="G65" i="9"/>
  <c r="D65" i="9"/>
  <c r="J5" i="2"/>
  <c r="C5" i="1" s="1"/>
  <c r="F22" i="7"/>
  <c r="I46" i="9"/>
  <c r="R46" i="9"/>
  <c r="L20" i="15"/>
  <c r="L7" i="15"/>
  <c r="B21" i="15"/>
  <c r="L17" i="15"/>
  <c r="L12" i="15"/>
  <c r="M6" i="4"/>
  <c r="C6" i="1" s="1"/>
  <c r="B6" i="1"/>
  <c r="H21" i="4"/>
  <c r="N31" i="9"/>
  <c r="E55" i="9"/>
  <c r="G21" i="15"/>
  <c r="B23" i="3"/>
  <c r="B42" i="15"/>
  <c r="K42" i="4"/>
  <c r="K42" i="15"/>
  <c r="H48" i="9"/>
  <c r="N48" i="9"/>
  <c r="L7" i="4"/>
  <c r="M7" i="4" s="1"/>
  <c r="K21" i="4"/>
  <c r="I45" i="3"/>
  <c r="N55" i="9"/>
  <c r="Q18" i="9"/>
  <c r="E48" i="9"/>
  <c r="C21" i="4"/>
  <c r="B23" i="2"/>
  <c r="B33" i="1"/>
  <c r="M10" i="8"/>
  <c r="H45" i="3"/>
  <c r="H18" i="9"/>
  <c r="J33" i="8"/>
  <c r="E21" i="15"/>
  <c r="G45" i="3"/>
  <c r="D45" i="2"/>
  <c r="C45" i="3"/>
  <c r="L12" i="8"/>
  <c r="G23" i="3"/>
  <c r="B33" i="8"/>
  <c r="G42" i="15"/>
  <c r="H21" i="15"/>
  <c r="E42" i="15"/>
  <c r="Q48" i="9"/>
  <c r="B42" i="4"/>
  <c r="D7" i="1"/>
  <c r="I17" i="2"/>
  <c r="J17" i="2" s="1"/>
  <c r="Q31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P6" i="16"/>
  <c r="J7" i="3"/>
  <c r="M23" i="8"/>
  <c r="B21" i="4"/>
  <c r="M18" i="8"/>
  <c r="M31" i="8"/>
  <c r="G12" i="7"/>
  <c r="P11" i="16"/>
  <c r="J29" i="2"/>
  <c r="B6" i="5" s="1"/>
  <c r="B7" i="5" s="1"/>
  <c r="I21" i="2"/>
  <c r="J21" i="2" s="1"/>
  <c r="H42" i="4"/>
  <c r="P23" i="16"/>
  <c r="L32" i="4"/>
  <c r="M32" i="4" s="1"/>
  <c r="H42" i="15"/>
  <c r="Q55" i="9"/>
  <c r="E23" i="2"/>
  <c r="L27" i="15"/>
  <c r="B16" i="1"/>
  <c r="C17" i="1"/>
  <c r="P37" i="16"/>
  <c r="L41" i="4"/>
  <c r="M41" i="4" s="1"/>
  <c r="P18" i="16"/>
  <c r="D19" i="1"/>
  <c r="I6" i="2"/>
  <c r="J6" i="2" s="1"/>
  <c r="H31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C45" i="2"/>
  <c r="E31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8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5" i="9"/>
  <c r="D28" i="7" l="1"/>
  <c r="B8" i="1"/>
  <c r="F23" i="7"/>
  <c r="D5" i="1"/>
  <c r="R31" i="9"/>
  <c r="R23" i="9"/>
  <c r="I48" i="9"/>
  <c r="I23" i="9"/>
  <c r="R48" i="9"/>
  <c r="O65" i="9"/>
  <c r="R67" i="9"/>
  <c r="R52" i="9"/>
  <c r="R5" i="9"/>
  <c r="R10" i="9"/>
  <c r="R27" i="9"/>
  <c r="R60" i="9"/>
  <c r="R22" i="9"/>
  <c r="R7" i="9"/>
  <c r="R25" i="9"/>
  <c r="R38" i="9"/>
  <c r="R6" i="9"/>
  <c r="R24" i="9"/>
  <c r="R37" i="9"/>
  <c r="R56" i="9"/>
  <c r="R61" i="9"/>
  <c r="R12" i="9"/>
  <c r="R62" i="9"/>
  <c r="R16" i="9"/>
  <c r="R21" i="9"/>
  <c r="R35" i="9"/>
  <c r="R53" i="9"/>
  <c r="R20" i="9"/>
  <c r="R36" i="9"/>
  <c r="R51" i="9"/>
  <c r="R59" i="9"/>
  <c r="R15" i="9"/>
  <c r="R29" i="9"/>
  <c r="R42" i="9"/>
  <c r="R32" i="9"/>
  <c r="R40" i="9"/>
  <c r="R57" i="9"/>
  <c r="R19" i="9"/>
  <c r="R33" i="9"/>
  <c r="R49" i="9"/>
  <c r="R34" i="9"/>
  <c r="R44" i="9"/>
  <c r="R58" i="9"/>
  <c r="R66" i="9"/>
  <c r="R4" i="9"/>
  <c r="R14" i="9"/>
  <c r="R18" i="9"/>
  <c r="R55" i="9"/>
  <c r="F65" i="9"/>
  <c r="I5" i="9"/>
  <c r="I7" i="9"/>
  <c r="I10" i="9"/>
  <c r="I56" i="9"/>
  <c r="I27" i="9"/>
  <c r="I60" i="9"/>
  <c r="I22" i="9"/>
  <c r="I15" i="9"/>
  <c r="I21" i="9"/>
  <c r="I32" i="9"/>
  <c r="I36" i="9"/>
  <c r="I42" i="9"/>
  <c r="I53" i="9"/>
  <c r="I57" i="9"/>
  <c r="I33" i="9"/>
  <c r="I59" i="9"/>
  <c r="I61" i="9"/>
  <c r="I38" i="9"/>
  <c r="I62" i="9"/>
  <c r="I12" i="9"/>
  <c r="I20" i="9"/>
  <c r="I29" i="9"/>
  <c r="I35" i="9"/>
  <c r="I40" i="9"/>
  <c r="I51" i="9"/>
  <c r="I6" i="9"/>
  <c r="I58" i="9"/>
  <c r="I16" i="9"/>
  <c r="I24" i="9"/>
  <c r="I37" i="9"/>
  <c r="I44" i="9"/>
  <c r="I19" i="9"/>
  <c r="I25" i="9"/>
  <c r="I34" i="9"/>
  <c r="I49" i="9"/>
  <c r="I66" i="9"/>
  <c r="I55" i="9"/>
  <c r="I18" i="9"/>
  <c r="I4" i="9"/>
  <c r="I14" i="9"/>
  <c r="L21" i="15"/>
  <c r="D6" i="1"/>
  <c r="C8" i="1"/>
  <c r="C33" i="1" s="1"/>
  <c r="C33" i="7"/>
  <c r="M12" i="8"/>
  <c r="B10" i="1"/>
  <c r="F21" i="7"/>
  <c r="I45" i="2"/>
  <c r="J45" i="2" s="1"/>
  <c r="J45" i="3"/>
  <c r="I23" i="2"/>
  <c r="J23" i="2" s="1"/>
  <c r="B27" i="1"/>
  <c r="B21" i="5"/>
  <c r="B28" i="1"/>
  <c r="B33" i="7"/>
  <c r="L42" i="4"/>
  <c r="M42" i="4" s="1"/>
  <c r="L42" i="15"/>
  <c r="J23" i="3"/>
  <c r="B17" i="1"/>
  <c r="J43" i="2"/>
  <c r="C11" i="5"/>
  <c r="C28" i="1"/>
  <c r="C27" i="1"/>
  <c r="M33" i="8"/>
  <c r="M37" i="4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F24" i="7" l="1"/>
  <c r="D10" i="1"/>
  <c r="D17" i="1"/>
  <c r="R65" i="9"/>
  <c r="I65" i="9"/>
  <c r="D8" i="1"/>
  <c r="C11" i="1"/>
  <c r="B32" i="1"/>
  <c r="B11" i="1"/>
  <c r="D33" i="7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D22" i="5"/>
  <c r="F15" i="5"/>
  <c r="E17" i="5"/>
  <c r="D27" i="1" s="1"/>
  <c r="B22" i="5"/>
  <c r="E20" i="5"/>
  <c r="F10" i="5"/>
  <c r="H27" i="7" l="1"/>
  <c r="M28" i="7"/>
  <c r="L28" i="7"/>
  <c r="G27" i="7"/>
  <c r="P27" i="7"/>
  <c r="H24" i="7"/>
  <c r="H25" i="7"/>
  <c r="G25" i="7"/>
  <c r="D22" i="1"/>
  <c r="G23" i="7"/>
  <c r="P23" i="7"/>
  <c r="H23" i="7"/>
  <c r="H22" i="7"/>
  <c r="G22" i="7"/>
  <c r="C32" i="1"/>
  <c r="D11" i="1"/>
  <c r="H21" i="7"/>
  <c r="N21" i="7"/>
  <c r="G21" i="7"/>
  <c r="E12" i="5"/>
  <c r="C22" i="5"/>
  <c r="D29" i="1"/>
  <c r="F7" i="5"/>
  <c r="F17" i="5"/>
  <c r="F20" i="5"/>
  <c r="E22" i="5"/>
  <c r="F12" i="5"/>
  <c r="L33" i="7" l="1"/>
  <c r="H28" i="7"/>
  <c r="I27" i="7"/>
  <c r="K27" i="7" s="1"/>
  <c r="N28" i="7"/>
  <c r="G28" i="7"/>
  <c r="P25" i="7"/>
  <c r="I25" i="7"/>
  <c r="K25" i="7" s="1"/>
  <c r="P24" i="7"/>
  <c r="G24" i="7"/>
  <c r="I23" i="7"/>
  <c r="K23" i="7" s="1"/>
  <c r="H33" i="7"/>
  <c r="I22" i="7"/>
  <c r="K22" i="7" s="1"/>
  <c r="M33" i="7"/>
  <c r="N22" i="7"/>
  <c r="P22" i="7" s="1"/>
  <c r="P21" i="7"/>
  <c r="I21" i="7"/>
  <c r="F22" i="5"/>
  <c r="I28" i="7" l="1"/>
  <c r="I24" i="7"/>
  <c r="G33" i="7"/>
  <c r="N33" i="7"/>
  <c r="K21" i="7"/>
  <c r="I33" i="7" l="1"/>
  <c r="K24" i="7"/>
  <c r="Q66" i="9"/>
  <c r="Q4" i="9"/>
  <c r="N4" i="9"/>
  <c r="N67" i="9" l="1"/>
  <c r="N66" i="9"/>
  <c r="Q65" i="9"/>
  <c r="Q67" i="9"/>
  <c r="H66" i="9"/>
  <c r="H4" i="9"/>
  <c r="N65" i="9" l="1"/>
  <c r="H67" i="9"/>
  <c r="I67" i="9" s="1"/>
  <c r="H65" i="9"/>
  <c r="E67" i="9"/>
  <c r="E66" i="9"/>
  <c r="E65" i="9" l="1"/>
  <c r="E20" i="1" l="1"/>
  <c r="F20" i="1" s="1"/>
  <c r="E21" i="1"/>
  <c r="F21" i="1" s="1"/>
  <c r="B37" i="1" l="1"/>
  <c r="E7" i="1"/>
  <c r="F7" i="1" s="1"/>
  <c r="E18" i="1"/>
  <c r="F18" i="1" s="1"/>
  <c r="E6" i="1"/>
  <c r="F6" i="1" s="1"/>
  <c r="E19" i="1"/>
  <c r="F19" i="1" s="1"/>
  <c r="E5" i="1"/>
  <c r="G16" i="5"/>
  <c r="H16" i="5" s="1"/>
  <c r="E8" i="1" l="1"/>
  <c r="F5" i="1"/>
  <c r="B36" i="1"/>
  <c r="B38" i="1" s="1"/>
  <c r="C36" i="1" s="1"/>
  <c r="E17" i="1"/>
  <c r="F17" i="1" s="1"/>
  <c r="E16" i="1"/>
  <c r="G6" i="5"/>
  <c r="H6" i="5" s="1"/>
  <c r="E28" i="7" l="1"/>
  <c r="F28" i="7" s="1"/>
  <c r="C37" i="1"/>
  <c r="E22" i="1"/>
  <c r="F22" i="1" s="1"/>
  <c r="F16" i="1"/>
  <c r="F8" i="1"/>
  <c r="E10" i="1"/>
  <c r="F10" i="1" s="1"/>
  <c r="E28" i="1"/>
  <c r="F28" i="1" s="1"/>
  <c r="G11" i="5"/>
  <c r="H11" i="5" s="1"/>
  <c r="G5" i="5"/>
  <c r="G15" i="5"/>
  <c r="G10" i="5"/>
  <c r="E11" i="1" l="1"/>
  <c r="F11" i="1" s="1"/>
  <c r="G17" i="5"/>
  <c r="H17" i="5" s="1"/>
  <c r="H15" i="5"/>
  <c r="G21" i="5"/>
  <c r="H21" i="5" s="1"/>
  <c r="G12" i="5"/>
  <c r="H12" i="5" s="1"/>
  <c r="H10" i="5"/>
  <c r="G7" i="5"/>
  <c r="H7" i="5" s="1"/>
  <c r="H5" i="5"/>
  <c r="E27" i="1"/>
  <c r="G20" i="5"/>
  <c r="O28" i="7" l="1"/>
  <c r="P28" i="7" s="1"/>
  <c r="G22" i="5"/>
  <c r="H22" i="5" s="1"/>
  <c r="H20" i="5"/>
  <c r="J28" i="7"/>
  <c r="K28" i="7" s="1"/>
  <c r="E29" i="1"/>
  <c r="F29" i="1" s="1"/>
  <c r="F27" i="1"/>
  <c r="D37" i="1" l="1"/>
  <c r="J16" i="5" l="1"/>
  <c r="H20" i="1" l="1"/>
  <c r="H21" i="1" l="1"/>
  <c r="H5" i="1" l="1"/>
  <c r="J6" i="5"/>
  <c r="H17" i="1"/>
  <c r="H7" i="1"/>
  <c r="H19" i="1"/>
  <c r="D36" i="1"/>
  <c r="H18" i="1"/>
  <c r="D38" i="1" l="1"/>
  <c r="E37" i="1" s="1"/>
  <c r="H16" i="1"/>
  <c r="H28" i="1"/>
  <c r="H27" i="1"/>
  <c r="J15" i="5"/>
  <c r="J5" i="5"/>
  <c r="H6" i="1"/>
  <c r="J10" i="5"/>
  <c r="E36" i="1" l="1"/>
  <c r="J11" i="5"/>
  <c r="J20" i="5"/>
  <c r="J7" i="5"/>
  <c r="J17" i="5"/>
  <c r="H29" i="1"/>
  <c r="H22" i="1"/>
  <c r="H8" i="1"/>
  <c r="H10" i="1"/>
  <c r="J21" i="5" l="1"/>
  <c r="H11" i="1"/>
  <c r="J12" i="5"/>
  <c r="J22" i="5" l="1"/>
  <c r="E26" i="7" l="1"/>
  <c r="E33" i="7" s="1"/>
  <c r="F33" i="7" s="1"/>
  <c r="F26" i="7" l="1"/>
  <c r="J26" i="7"/>
  <c r="J33" i="7" s="1"/>
  <c r="K33" i="7" s="1"/>
  <c r="O26" i="7"/>
  <c r="K26" i="7" l="1"/>
  <c r="O33" i="7"/>
  <c r="P33" i="7" s="1"/>
  <c r="P26" i="7"/>
  <c r="D33" i="1" l="1"/>
  <c r="G5" i="1"/>
  <c r="I16" i="5" l="1"/>
  <c r="I5" i="1"/>
  <c r="G16" i="1"/>
  <c r="I16" i="1" l="1"/>
  <c r="G6" i="1"/>
  <c r="G27" i="1"/>
  <c r="I15" i="5" l="1"/>
  <c r="I17" i="5" s="1"/>
  <c r="K17" i="5" s="1"/>
  <c r="I10" i="5"/>
  <c r="K10" i="5" s="1"/>
  <c r="I6" i="1"/>
  <c r="I27" i="1"/>
  <c r="G17" i="1"/>
  <c r="D32" i="1"/>
  <c r="K15" i="5" l="1"/>
  <c r="I17" i="1"/>
  <c r="I20" i="5"/>
  <c r="K20" i="5" s="1"/>
  <c r="D34" i="1"/>
  <c r="E33" i="1" s="1"/>
  <c r="I6" i="5"/>
  <c r="K6" i="5" s="1"/>
  <c r="G7" i="1"/>
  <c r="G28" i="1"/>
  <c r="E32" i="1" l="1"/>
  <c r="I11" i="5"/>
  <c r="K11" i="5" s="1"/>
  <c r="I5" i="5"/>
  <c r="I7" i="5" s="1"/>
  <c r="K7" i="5" s="1"/>
  <c r="I28" i="1"/>
  <c r="G29" i="1"/>
  <c r="I29" i="1" s="1"/>
  <c r="G19" i="1"/>
  <c r="G20" i="1"/>
  <c r="I7" i="1"/>
  <c r="G8" i="1"/>
  <c r="G21" i="1"/>
  <c r="G18" i="1"/>
  <c r="I12" i="5" l="1"/>
  <c r="K12" i="5" s="1"/>
  <c r="K5" i="5"/>
  <c r="I19" i="1"/>
  <c r="I21" i="5"/>
  <c r="I22" i="5" s="1"/>
  <c r="K22" i="5" s="1"/>
  <c r="I21" i="1"/>
  <c r="I20" i="1"/>
  <c r="I8" i="1"/>
  <c r="G10" i="1"/>
  <c r="G11" i="1" s="1"/>
  <c r="I11" i="1" s="1"/>
  <c r="G22" i="1"/>
  <c r="I22" i="1" s="1"/>
  <c r="I18" i="1"/>
  <c r="K21" i="5" l="1"/>
  <c r="I10" i="1"/>
</calcChain>
</file>

<file path=xl/sharedStrings.xml><?xml version="1.0" encoding="utf-8"?>
<sst xmlns="http://schemas.openxmlformats.org/spreadsheetml/2006/main" count="597" uniqueCount="229">
  <si>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</si>
  <si>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</si>
  <si>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</si>
  <si>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</si>
  <si>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</si>
  <si>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</si>
  <si>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</si>
  <si>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</si>
  <si>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</si>
  <si>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</si>
  <si>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</si>
  <si>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</si>
  <si>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</si>
  <si>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</si>
  <si>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</si>
  <si>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</si>
  <si>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</si>
  <si>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</si>
  <si>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</si>
  <si>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</si>
  <si>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</si>
  <si>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</si>
  <si>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</si>
  <si>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</si>
  <si>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</si>
  <si>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</si>
  <si>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</si>
  <si>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</si>
  <si>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</si>
  <si>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</si>
  <si>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</si>
  <si>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</si>
  <si>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</si>
  <si>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</si>
  <si>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</si>
  <si>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</si>
  <si>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</si>
  <si>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</si>
  <si>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</si>
  <si>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</si>
  <si>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</si>
  <si>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</si>
  <si>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</si>
  <si>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</si>
  <si>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</si>
  <si>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</si>
  <si>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</si>
  <si>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</si>
  <si>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</si>
  <si>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</si>
  <si>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</si>
  <si>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</si>
  <si>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</si>
  <si>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</si>
  <si>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</si>
  <si>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</si>
  <si>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</si>
  <si>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</si>
  <si>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</si>
  <si>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</si>
  <si>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</si>
  <si>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</si>
  <si>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</si>
  <si>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</si>
  <si>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</si>
  <si>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</si>
  <si>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</si>
  <si>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</si>
  <si>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</si>
  <si>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</si>
  <si>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</si>
  <si>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</si>
  <si>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</si>
  <si>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</si>
  <si>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</si>
  <si>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</si>
  <si>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</si>
  <si>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</si>
  <si>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</si>
  <si>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</si>
  <si>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</si>
  <si>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</si>
  <si>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</si>
  <si>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</si>
  <si>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</si>
  <si>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</si>
  <si>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</si>
  <si>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</si>
  <si>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</si>
  <si>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</si>
  <si>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</si>
  <si>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</si>
  <si>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</si>
  <si>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</si>
  <si>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</si>
  <si>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</si>
  <si>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</si>
  <si>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</si>
  <si>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</si>
  <si>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</si>
  <si>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</si>
  <si>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</si>
  <si>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</si>
  <si>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</si>
  <si>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</si>
  <si>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</si>
  <si>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</si>
  <si>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</si>
  <si>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</si>
  <si>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</si>
  <si>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</si>
  <si>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</si>
  <si>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</si>
  <si>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</si>
  <si>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</si>
  <si>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</si>
  <si>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</si>
  <si>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</si>
  <si>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</si>
  <si>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</si>
  <si>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</si>
  <si>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</si>
  <si>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</si>
  <si>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</si>
  <si>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</si>
  <si>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</si>
  <si>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</si>
  <si>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</si>
  <si>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</si>
  <si>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</si>
  <si>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</si>
  <si>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</si>
  <si>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</si>
  <si>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</si>
  <si>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</si>
  <si>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</si>
  <si>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</si>
  <si>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</si>
  <si>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</si>
  <si>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</si>
  <si>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</si>
  <si>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</si>
  <si>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</si>
  <si>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</si>
  <si>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</si>
  <si>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</si>
  <si>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</si>
  <si>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</si>
  <si>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</si>
  <si>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</si>
  <si>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</si>
  <si>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</si>
  <si>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</si>
  <si>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</si>
  <si>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</si>
  <si>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</si>
  <si>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</si>
  <si>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</si>
  <si>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</si>
  <si>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</si>
  <si>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</si>
  <si>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</si>
  <si>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</si>
  <si>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</si>
  <si>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</si>
  <si>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</si>
  <si>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</si>
  <si>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</si>
  <si>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</si>
  <si>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</si>
  <si>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</si>
  <si>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</si>
  <si>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</si>
  <si>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</si>
  <si>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</si>
  <si>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</si>
  <si>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</si>
  <si>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</si>
  <si>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</si>
  <si>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</si>
  <si>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</si>
  <si>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</si>
  <si>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</si>
  <si>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</si>
  <si>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</si>
  <si>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</si>
  <si>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</si>
  <si>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</si>
  <si>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</si>
  <si>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</si>
  <si>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</si>
  <si>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</si>
  <si>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</si>
  <si>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</si>
  <si>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</si>
  <si>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</si>
  <si>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</si>
  <si>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</si>
  <si>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</si>
  <si>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</si>
  <si>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</si>
  <si>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</si>
  <si>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</si>
  <si>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</si>
  <si>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</si>
  <si>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</si>
  <si>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</si>
  <si>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</si>
  <si>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</si>
  <si>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</si>
  <si>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</si>
  <si>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</si>
  <si>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</si>
  <si>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</si>
  <si>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</si>
  <si>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</si>
  <si>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</si>
  <si>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</si>
  <si>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</si>
  <si>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</si>
  <si>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</si>
  <si>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</si>
  <si>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</si>
  <si>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</si>
  <si>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Sky Regional</t>
  </si>
  <si>
    <t>Sky Regional - Air Canada</t>
  </si>
  <si>
    <t>August 2016</t>
  </si>
  <si>
    <t>Air Georgian- Air Canada</t>
  </si>
  <si>
    <t>Sky Regional-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</si>
</sst>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9" xfId="0" applyNumberFormat="1" applyFont="1" applyBorder="1"/>
    <xf numFmtId="165" fontId="29" fillId="0" borderId="57" xfId="1" applyNumberFormat="1" applyFont="1" applyBorder="1"/>
    <xf numFmtId="10" fontId="29" fillId="0" borderId="79" xfId="0" applyNumberFormat="1" applyFont="1" applyBorder="1"/>
    <xf numFmtId="10" fontId="29" fillId="0" borderId="58" xfId="3" applyNumberFormat="1" applyFont="1" applyBorder="1"/>
    <xf numFmtId="165" fontId="29" fillId="0" borderId="79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80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1" xfId="0" applyNumberFormat="1" applyBorder="1"/>
    <xf numFmtId="3" fontId="0" fillId="0" borderId="80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1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80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1" xfId="3" applyNumberFormat="1" applyFont="1" applyBorder="1"/>
    <xf numFmtId="0" fontId="4" fillId="0" borderId="0" xfId="0" applyFont="1" applyBorder="1" applyAlignment="1">
      <alignment horizontal="center" wrapText="1"/>
    </xf>
    <xf numFmtId="41" fontId="3" fillId="5" borderId="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5" xfId="0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82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25" fillId="8" borderId="82" xfId="0" applyFont="1" applyFill="1" applyBorder="1" applyAlignment="1">
      <alignment horizontal="center"/>
    </xf>
    <xf numFmtId="0" fontId="25" fillId="8" borderId="83" xfId="0" applyFont="1" applyFill="1" applyBorder="1" applyAlignment="1">
      <alignment horizontal="center"/>
    </xf>
    <xf numFmtId="0" fontId="25" fillId="8" borderId="84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25" fillId="9" borderId="82" xfId="0" applyFont="1" applyFill="1" applyBorder="1" applyAlignment="1">
      <alignment horizontal="center"/>
    </xf>
    <xf numFmtId="0" fontId="25" fillId="9" borderId="83" xfId="0" applyFont="1" applyFill="1" applyBorder="1" applyAlignment="1">
      <alignment horizontal="center"/>
    </xf>
    <xf numFmtId="0" fontId="25" fillId="9" borderId="84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ugust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2701907</v>
          </cell>
          <cell r="G5">
            <v>19031946</v>
          </cell>
        </row>
        <row r="6">
          <cell r="D6">
            <v>732599</v>
          </cell>
          <cell r="G6">
            <v>5649395</v>
          </cell>
        </row>
        <row r="7">
          <cell r="D7">
            <v>472</v>
          </cell>
          <cell r="G7">
            <v>3352</v>
          </cell>
        </row>
        <row r="10">
          <cell r="D10">
            <v>110578</v>
          </cell>
          <cell r="G10">
            <v>787289</v>
          </cell>
        </row>
        <row r="16">
          <cell r="D16">
            <v>20281</v>
          </cell>
          <cell r="G16">
            <v>143539</v>
          </cell>
        </row>
        <row r="17">
          <cell r="D17">
            <v>14259</v>
          </cell>
          <cell r="G17">
            <v>109427</v>
          </cell>
        </row>
        <row r="18">
          <cell r="D18">
            <v>6</v>
          </cell>
          <cell r="G18">
            <v>46</v>
          </cell>
        </row>
        <row r="19">
          <cell r="D19">
            <v>1258</v>
          </cell>
          <cell r="G19">
            <v>9140</v>
          </cell>
        </row>
        <row r="20">
          <cell r="D20">
            <v>2232</v>
          </cell>
          <cell r="G20">
            <v>15216.5</v>
          </cell>
        </row>
        <row r="21">
          <cell r="D21">
            <v>122</v>
          </cell>
          <cell r="G21">
            <v>871</v>
          </cell>
        </row>
        <row r="27">
          <cell r="D27">
            <v>16862.353960980989</v>
          </cell>
          <cell r="G27">
            <v>121754.77124284551</v>
          </cell>
        </row>
        <row r="28">
          <cell r="D28">
            <v>1636.4378938353598</v>
          </cell>
          <cell r="G28">
            <v>8779.4288937164238</v>
          </cell>
        </row>
        <row r="32">
          <cell r="B32">
            <v>963025</v>
          </cell>
          <cell r="D32">
            <v>7042848</v>
          </cell>
        </row>
        <row r="33">
          <cell r="B33">
            <v>750693</v>
          </cell>
          <cell r="D33">
            <v>5264961</v>
          </cell>
        </row>
      </sheetData>
      <sheetData sheetId="1"/>
      <sheetData sheetId="2"/>
      <sheetData sheetId="3"/>
      <sheetData sheetId="4"/>
      <sheetData sheetId="5">
        <row r="28">
          <cell r="D28">
            <v>254609</v>
          </cell>
          <cell r="I28">
            <v>3290947</v>
          </cell>
          <cell r="N28">
            <v>3545556</v>
          </cell>
        </row>
      </sheetData>
      <sheetData sheetId="6"/>
      <sheetData sheetId="7">
        <row r="5">
          <cell r="F5">
            <v>9480.7749829184704</v>
          </cell>
          <cell r="I5">
            <v>64442.777005009477</v>
          </cell>
        </row>
        <row r="6">
          <cell r="F6">
            <v>660.68268807771994</v>
          </cell>
          <cell r="I6">
            <v>4020.7695676126636</v>
          </cell>
        </row>
        <row r="10">
          <cell r="F10">
            <v>7381.57897806252</v>
          </cell>
          <cell r="I10">
            <v>57311.994237836028</v>
          </cell>
        </row>
        <row r="11">
          <cell r="F11">
            <v>975.75520575763994</v>
          </cell>
          <cell r="I11">
            <v>4758.6593261037597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16862.353960980989</v>
          </cell>
        </row>
        <row r="21">
          <cell r="F21">
            <v>1636.43789383536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16986918</v>
          </cell>
        </row>
        <row r="6">
          <cell r="G6">
            <v>4474367</v>
          </cell>
        </row>
        <row r="7">
          <cell r="G7">
            <v>3239</v>
          </cell>
        </row>
        <row r="10">
          <cell r="G10">
            <v>727919</v>
          </cell>
        </row>
        <row r="16">
          <cell r="G16">
            <v>132257</v>
          </cell>
        </row>
        <row r="17">
          <cell r="G17">
            <v>88822</v>
          </cell>
        </row>
        <row r="18">
          <cell r="G18">
            <v>24</v>
          </cell>
        </row>
        <row r="19">
          <cell r="G19">
            <v>8368</v>
          </cell>
        </row>
        <row r="20">
          <cell r="G20">
            <v>12990</v>
          </cell>
        </row>
        <row r="21">
          <cell r="G21">
            <v>375</v>
          </cell>
        </row>
        <row r="27">
          <cell r="G27">
            <v>116279.52714420811</v>
          </cell>
        </row>
        <row r="28">
          <cell r="G28">
            <v>14636.266397802279</v>
          </cell>
        </row>
        <row r="32">
          <cell r="D32">
            <v>6463916</v>
          </cell>
        </row>
        <row r="33">
          <cell r="D33">
            <v>4237587</v>
          </cell>
        </row>
      </sheetData>
      <sheetData sheetId="1"/>
      <sheetData sheetId="2"/>
      <sheetData sheetId="3"/>
      <sheetData sheetId="4"/>
      <sheetData sheetId="5">
        <row r="27">
          <cell r="B27">
            <v>138487</v>
          </cell>
          <cell r="C27">
            <v>125223</v>
          </cell>
          <cell r="L27">
            <v>1830047</v>
          </cell>
          <cell r="M27">
            <v>1831523</v>
          </cell>
        </row>
      </sheetData>
      <sheetData sheetId="6"/>
      <sheetData sheetId="7">
        <row r="5">
          <cell r="I5">
            <v>63767.411531914862</v>
          </cell>
        </row>
        <row r="6">
          <cell r="I6">
            <v>6289.7163725788696</v>
          </cell>
        </row>
        <row r="10">
          <cell r="I10">
            <v>52512.115612293259</v>
          </cell>
        </row>
        <row r="11">
          <cell r="I11">
            <v>8346.5500252234087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116279.52714420811</v>
          </cell>
        </row>
        <row r="21">
          <cell r="I21">
            <v>14636.266397802279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G4">
            <v>127</v>
          </cell>
        </row>
        <row r="5">
          <cell r="FG5">
            <v>127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</row>
        <row r="22">
          <cell r="FG22">
            <v>473</v>
          </cell>
        </row>
        <row r="23">
          <cell r="FG23">
            <v>468</v>
          </cell>
        </row>
        <row r="27">
          <cell r="FG27"/>
        </row>
        <row r="28">
          <cell r="FG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3"/>
      <sheetData sheetId="4">
        <row r="8">
          <cell r="FG8"/>
        </row>
        <row r="9">
          <cell r="FG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</row>
        <row r="47">
          <cell r="FG47">
            <v>500992</v>
          </cell>
        </row>
        <row r="48">
          <cell r="FG48"/>
        </row>
        <row r="52">
          <cell r="FG52">
            <v>60557</v>
          </cell>
        </row>
        <row r="53">
          <cell r="FG53"/>
        </row>
        <row r="57">
          <cell r="FG57"/>
        </row>
        <row r="58">
          <cell r="FG58"/>
        </row>
      </sheetData>
      <sheetData sheetId="5">
        <row r="4">
          <cell r="FG4">
            <v>88</v>
          </cell>
        </row>
        <row r="5">
          <cell r="FG5">
            <v>88</v>
          </cell>
        </row>
        <row r="8">
          <cell r="FG8"/>
        </row>
        <row r="9">
          <cell r="FG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</row>
        <row r="22">
          <cell r="FG22">
            <v>13846</v>
          </cell>
        </row>
        <row r="23">
          <cell r="FG23">
            <v>13039</v>
          </cell>
        </row>
        <row r="27">
          <cell r="FG27">
            <v>475</v>
          </cell>
        </row>
        <row r="28">
          <cell r="FG28">
            <v>584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</row>
        <row r="47">
          <cell r="FG47">
            <v>26122</v>
          </cell>
        </row>
        <row r="48">
          <cell r="FG48">
            <v>44322</v>
          </cell>
        </row>
        <row r="52">
          <cell r="FG52">
            <v>7999</v>
          </cell>
        </row>
        <row r="53">
          <cell r="FG53"/>
        </row>
        <row r="57">
          <cell r="FG57"/>
        </row>
        <row r="58">
          <cell r="FG58"/>
        </row>
      </sheetData>
      <sheetData sheetId="6"/>
      <sheetData sheetId="7">
        <row r="4">
          <cell r="FG4">
            <v>768</v>
          </cell>
        </row>
        <row r="5">
          <cell r="FG5">
            <v>768</v>
          </cell>
        </row>
        <row r="8">
          <cell r="FG8">
            <v>2</v>
          </cell>
        </row>
        <row r="9">
          <cell r="FG9">
            <v>2</v>
          </cell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</row>
        <row r="22">
          <cell r="FG22">
            <v>96960</v>
          </cell>
        </row>
        <row r="23">
          <cell r="FG23">
            <v>96017</v>
          </cell>
        </row>
        <row r="27">
          <cell r="FG27">
            <v>3821</v>
          </cell>
        </row>
        <row r="28">
          <cell r="FG28">
            <v>4255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</row>
        <row r="47">
          <cell r="FG47">
            <v>44544</v>
          </cell>
        </row>
        <row r="48">
          <cell r="FG48">
            <v>41563</v>
          </cell>
        </row>
        <row r="52">
          <cell r="FG52">
            <v>13138</v>
          </cell>
        </row>
        <row r="53">
          <cell r="FG53">
            <v>47150</v>
          </cell>
        </row>
        <row r="57">
          <cell r="FG57"/>
        </row>
        <row r="58">
          <cell r="FG58"/>
        </row>
      </sheetData>
      <sheetData sheetId="8"/>
      <sheetData sheetId="9">
        <row r="4">
          <cell r="FG4">
            <v>82</v>
          </cell>
        </row>
        <row r="5">
          <cell r="FG5">
            <v>82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</row>
        <row r="22">
          <cell r="FG22">
            <v>471</v>
          </cell>
        </row>
        <row r="23">
          <cell r="FG23">
            <v>495</v>
          </cell>
        </row>
        <row r="27">
          <cell r="FG27"/>
        </row>
        <row r="28">
          <cell r="FG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10">
        <row r="8">
          <cell r="FG8"/>
        </row>
        <row r="9">
          <cell r="FG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</row>
        <row r="47">
          <cell r="FG47">
            <v>96207</v>
          </cell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11">
        <row r="4">
          <cell r="FG4">
            <v>6764</v>
          </cell>
        </row>
        <row r="5">
          <cell r="FG5">
            <v>6750</v>
          </cell>
        </row>
        <row r="8">
          <cell r="FG8">
            <v>1</v>
          </cell>
        </row>
        <row r="9">
          <cell r="FG9">
            <v>10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</row>
        <row r="22">
          <cell r="FG22">
            <v>903693</v>
          </cell>
        </row>
        <row r="23">
          <cell r="FG23">
            <v>903655</v>
          </cell>
        </row>
        <row r="27">
          <cell r="FG27">
            <v>33625</v>
          </cell>
        </row>
        <row r="28">
          <cell r="FG28">
            <v>32463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</row>
        <row r="47">
          <cell r="FG47">
            <v>4788218</v>
          </cell>
        </row>
        <row r="48">
          <cell r="FG48">
            <v>1515155</v>
          </cell>
        </row>
        <row r="52">
          <cell r="FG52">
            <v>2627204</v>
          </cell>
        </row>
        <row r="53">
          <cell r="FG53">
            <v>1792477</v>
          </cell>
        </row>
        <row r="57">
          <cell r="FG57"/>
        </row>
        <row r="58">
          <cell r="FG58"/>
        </row>
        <row r="70">
          <cell r="FG70">
            <v>394897</v>
          </cell>
        </row>
        <row r="71">
          <cell r="FG71">
            <v>508758</v>
          </cell>
        </row>
        <row r="73">
          <cell r="FG73">
            <v>34368</v>
          </cell>
        </row>
        <row r="74">
          <cell r="FG74">
            <v>44278</v>
          </cell>
        </row>
      </sheetData>
      <sheetData sheetId="12">
        <row r="4">
          <cell r="FG4">
            <v>93</v>
          </cell>
        </row>
        <row r="5">
          <cell r="FG5">
            <v>94</v>
          </cell>
        </row>
        <row r="8">
          <cell r="FG8"/>
        </row>
        <row r="9">
          <cell r="FG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</row>
        <row r="22">
          <cell r="FG22">
            <v>12419</v>
          </cell>
        </row>
        <row r="23">
          <cell r="FG23">
            <v>12739</v>
          </cell>
        </row>
        <row r="27">
          <cell r="FG27">
            <v>146</v>
          </cell>
        </row>
        <row r="28">
          <cell r="FG28">
            <v>156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13">
        <row r="4">
          <cell r="FG4"/>
        </row>
        <row r="5">
          <cell r="FG5"/>
        </row>
        <row r="8">
          <cell r="FG8"/>
        </row>
        <row r="9">
          <cell r="FG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14">
        <row r="8">
          <cell r="FG8"/>
        </row>
        <row r="9">
          <cell r="FG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</row>
        <row r="47">
          <cell r="FG47">
            <v>143008</v>
          </cell>
        </row>
        <row r="48">
          <cell r="FG48"/>
        </row>
        <row r="52">
          <cell r="FG52">
            <v>6124</v>
          </cell>
        </row>
        <row r="53">
          <cell r="FG53"/>
        </row>
        <row r="57">
          <cell r="FG57"/>
        </row>
        <row r="58">
          <cell r="FG58"/>
        </row>
      </sheetData>
      <sheetData sheetId="15"/>
      <sheetData sheetId="16">
        <row r="4">
          <cell r="FG4"/>
        </row>
        <row r="5">
          <cell r="FG5"/>
        </row>
        <row r="8">
          <cell r="FG8"/>
        </row>
        <row r="9">
          <cell r="FG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</row>
        <row r="47">
          <cell r="FG47">
            <v>236062</v>
          </cell>
        </row>
        <row r="48">
          <cell r="FG48"/>
        </row>
        <row r="52">
          <cell r="FG52">
            <v>154259</v>
          </cell>
        </row>
        <row r="53">
          <cell r="FG53"/>
        </row>
        <row r="57">
          <cell r="FG57"/>
        </row>
        <row r="58">
          <cell r="FG58"/>
        </row>
      </sheetData>
      <sheetData sheetId="17"/>
      <sheetData sheetId="18">
        <row r="4">
          <cell r="FG4">
            <v>796</v>
          </cell>
        </row>
        <row r="5">
          <cell r="FG5">
            <v>798</v>
          </cell>
        </row>
        <row r="8">
          <cell r="FG8">
            <v>4</v>
          </cell>
        </row>
        <row r="9">
          <cell r="FG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</row>
        <row r="22">
          <cell r="FG22">
            <v>96117</v>
          </cell>
        </row>
        <row r="23">
          <cell r="FG23">
            <v>97090</v>
          </cell>
        </row>
        <row r="27">
          <cell r="FG27">
            <v>1737</v>
          </cell>
        </row>
        <row r="28">
          <cell r="FG28">
            <v>1855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</row>
        <row r="47">
          <cell r="FG47">
            <v>198409</v>
          </cell>
        </row>
        <row r="48">
          <cell r="FG48"/>
        </row>
        <row r="52">
          <cell r="FG52">
            <v>119288</v>
          </cell>
        </row>
        <row r="53">
          <cell r="FG53"/>
        </row>
        <row r="57">
          <cell r="FG57"/>
        </row>
        <row r="58">
          <cell r="FG58"/>
        </row>
        <row r="70">
          <cell r="FG70">
            <v>96147</v>
          </cell>
        </row>
        <row r="71">
          <cell r="FG71">
            <v>943</v>
          </cell>
        </row>
        <row r="73">
          <cell r="FG73"/>
        </row>
        <row r="74">
          <cell r="FG74"/>
        </row>
      </sheetData>
      <sheetData sheetId="19">
        <row r="4">
          <cell r="FG4">
            <v>391</v>
          </cell>
        </row>
        <row r="5">
          <cell r="FG5">
            <v>389</v>
          </cell>
        </row>
        <row r="8">
          <cell r="FG8"/>
        </row>
        <row r="9">
          <cell r="FG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</row>
        <row r="22">
          <cell r="FG22">
            <v>57687</v>
          </cell>
        </row>
        <row r="23">
          <cell r="FG23">
            <v>57212</v>
          </cell>
        </row>
        <row r="27">
          <cell r="FG27">
            <v>457</v>
          </cell>
        </row>
        <row r="28">
          <cell r="FG28">
            <v>431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  <row r="70">
          <cell r="FG70"/>
        </row>
        <row r="71">
          <cell r="FG71"/>
        </row>
        <row r="73">
          <cell r="FG73"/>
        </row>
        <row r="74">
          <cell r="FG74"/>
        </row>
      </sheetData>
      <sheetData sheetId="20">
        <row r="4">
          <cell r="FG4">
            <v>789</v>
          </cell>
        </row>
        <row r="5">
          <cell r="FG5">
            <v>791</v>
          </cell>
        </row>
        <row r="8">
          <cell r="FG8">
            <v>59</v>
          </cell>
        </row>
        <row r="9">
          <cell r="FG9">
            <v>62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</row>
        <row r="22">
          <cell r="FG22">
            <v>101632</v>
          </cell>
        </row>
        <row r="23">
          <cell r="FG23">
            <v>99372</v>
          </cell>
        </row>
        <row r="27">
          <cell r="FG27">
            <v>2325</v>
          </cell>
        </row>
        <row r="28">
          <cell r="FG28">
            <v>2118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</row>
        <row r="47">
          <cell r="FG47">
            <v>347805</v>
          </cell>
        </row>
        <row r="48">
          <cell r="FG48">
            <v>689326</v>
          </cell>
        </row>
        <row r="52">
          <cell r="FG52">
            <v>200010</v>
          </cell>
        </row>
        <row r="53">
          <cell r="FG53">
            <v>346014</v>
          </cell>
        </row>
        <row r="57">
          <cell r="FG57"/>
        </row>
        <row r="58">
          <cell r="FG58"/>
        </row>
        <row r="70">
          <cell r="FG70">
            <v>89580</v>
          </cell>
        </row>
        <row r="71">
          <cell r="FG71">
            <v>9792</v>
          </cell>
        </row>
        <row r="73">
          <cell r="FG73">
            <v>994</v>
          </cell>
        </row>
        <row r="74">
          <cell r="FG74">
            <v>114</v>
          </cell>
        </row>
      </sheetData>
      <sheetData sheetId="21">
        <row r="4">
          <cell r="FG4">
            <v>463</v>
          </cell>
        </row>
        <row r="5">
          <cell r="FG5">
            <v>463</v>
          </cell>
        </row>
        <row r="8">
          <cell r="FG8"/>
        </row>
        <row r="9">
          <cell r="FG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</row>
        <row r="22">
          <cell r="FG22">
            <v>55656</v>
          </cell>
        </row>
        <row r="23">
          <cell r="FG23">
            <v>53383</v>
          </cell>
        </row>
        <row r="27">
          <cell r="FG27">
            <v>1926</v>
          </cell>
        </row>
        <row r="28">
          <cell r="FG28">
            <v>2052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</row>
        <row r="47">
          <cell r="FG47">
            <v>86210</v>
          </cell>
        </row>
        <row r="48">
          <cell r="FG48">
            <v>212567</v>
          </cell>
        </row>
        <row r="52">
          <cell r="FG52">
            <v>57111</v>
          </cell>
        </row>
        <row r="53">
          <cell r="FG53">
            <v>168359</v>
          </cell>
        </row>
        <row r="57">
          <cell r="FG57"/>
        </row>
        <row r="58">
          <cell r="FG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</row>
        <row r="37">
          <cell r="EZ37"/>
          <cell r="FA37"/>
          <cell r="FB37"/>
          <cell r="FC37"/>
          <cell r="FD37"/>
          <cell r="FE37"/>
          <cell r="FF37"/>
          <cell r="FG37"/>
        </row>
        <row r="38">
          <cell r="EZ38"/>
          <cell r="FA38"/>
          <cell r="FB38"/>
          <cell r="FC38"/>
          <cell r="FD38"/>
          <cell r="FE38"/>
          <cell r="FF38"/>
          <cell r="FG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</row>
      </sheetData>
      <sheetData sheetId="26">
        <row r="4">
          <cell r="FG4"/>
        </row>
        <row r="5">
          <cell r="FG5"/>
        </row>
        <row r="8">
          <cell r="FG8"/>
        </row>
        <row r="9">
          <cell r="FG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  <row r="47">
          <cell r="FG47"/>
        </row>
        <row r="48">
          <cell r="FG48"/>
        </row>
        <row r="52">
          <cell r="BH52"/>
        </row>
        <row r="53">
          <cell r="FG53"/>
        </row>
        <row r="57">
          <cell r="BG57"/>
        </row>
        <row r="58">
          <cell r="BG58"/>
        </row>
      </sheetData>
      <sheetData sheetId="27">
        <row r="4">
          <cell r="FG4">
            <v>3</v>
          </cell>
        </row>
        <row r="5">
          <cell r="FG5">
            <v>3</v>
          </cell>
        </row>
        <row r="8">
          <cell r="FG8">
            <v>1</v>
          </cell>
        </row>
        <row r="9">
          <cell r="FG9">
            <v>1</v>
          </cell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</row>
        <row r="22">
          <cell r="FG22">
            <v>180</v>
          </cell>
        </row>
        <row r="23">
          <cell r="FG23">
            <v>212</v>
          </cell>
        </row>
        <row r="27">
          <cell r="FG27">
            <v>11</v>
          </cell>
        </row>
        <row r="28">
          <cell r="FG28">
            <v>8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28">
        <row r="4">
          <cell r="FG4">
            <v>110</v>
          </cell>
        </row>
        <row r="5">
          <cell r="FG5">
            <v>108</v>
          </cell>
        </row>
        <row r="8">
          <cell r="FG8"/>
        </row>
        <row r="9">
          <cell r="FG9">
            <v>1</v>
          </cell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</row>
        <row r="22">
          <cell r="FG22">
            <v>5328</v>
          </cell>
        </row>
        <row r="23">
          <cell r="FG23">
            <v>5077</v>
          </cell>
        </row>
        <row r="27">
          <cell r="FG27">
            <v>187</v>
          </cell>
        </row>
        <row r="28">
          <cell r="FG28">
            <v>167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G58"/>
        </row>
        <row r="70">
          <cell r="FG70">
            <v>1787</v>
          </cell>
        </row>
        <row r="71">
          <cell r="FG71">
            <v>3290</v>
          </cell>
        </row>
        <row r="73">
          <cell r="FG73">
            <v>23</v>
          </cell>
        </row>
        <row r="74">
          <cell r="FG74">
            <v>42</v>
          </cell>
        </row>
      </sheetData>
      <sheetData sheetId="29"/>
      <sheetData sheetId="30"/>
      <sheetData sheetId="31"/>
      <sheetData sheetId="32">
        <row r="4">
          <cell r="FG4">
            <v>399</v>
          </cell>
        </row>
        <row r="5">
          <cell r="FG5">
            <v>396</v>
          </cell>
        </row>
        <row r="8">
          <cell r="FG8"/>
        </row>
        <row r="9">
          <cell r="FG9">
            <v>3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</row>
        <row r="22">
          <cell r="FG22">
            <v>23232</v>
          </cell>
        </row>
        <row r="23">
          <cell r="FG23">
            <v>23628</v>
          </cell>
        </row>
        <row r="27">
          <cell r="FG27">
            <v>965</v>
          </cell>
        </row>
        <row r="28">
          <cell r="FG28">
            <v>996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G58"/>
        </row>
        <row r="70">
          <cell r="BG70">
            <v>26242</v>
          </cell>
          <cell r="FG70">
            <v>8671</v>
          </cell>
        </row>
        <row r="71">
          <cell r="BG71">
            <v>44562</v>
          </cell>
          <cell r="FG71">
            <v>14957</v>
          </cell>
        </row>
        <row r="73">
          <cell r="BG73">
            <v>1540</v>
          </cell>
          <cell r="FG73">
            <v>2780</v>
          </cell>
        </row>
        <row r="74">
          <cell r="BG74">
            <v>2614</v>
          </cell>
          <cell r="FG74">
            <v>4796</v>
          </cell>
        </row>
      </sheetData>
      <sheetData sheetId="33"/>
      <sheetData sheetId="34">
        <row r="4">
          <cell r="FG4">
            <v>2</v>
          </cell>
        </row>
        <row r="5">
          <cell r="FG5">
            <v>2</v>
          </cell>
        </row>
        <row r="8">
          <cell r="FG8"/>
        </row>
        <row r="9">
          <cell r="FG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</row>
        <row r="22">
          <cell r="FG22">
            <v>98</v>
          </cell>
        </row>
        <row r="23">
          <cell r="FG23">
            <v>100</v>
          </cell>
        </row>
        <row r="27">
          <cell r="FG27"/>
        </row>
        <row r="28">
          <cell r="FG28"/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G58"/>
        </row>
      </sheetData>
      <sheetData sheetId="35"/>
      <sheetData sheetId="36">
        <row r="4">
          <cell r="FG4">
            <v>190</v>
          </cell>
        </row>
        <row r="5">
          <cell r="FG5">
            <v>188</v>
          </cell>
        </row>
        <row r="8">
          <cell r="FG8"/>
        </row>
        <row r="9">
          <cell r="FG9">
            <v>2</v>
          </cell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</row>
        <row r="22">
          <cell r="FG22">
            <v>10502</v>
          </cell>
        </row>
        <row r="23">
          <cell r="FG23">
            <v>10909</v>
          </cell>
        </row>
        <row r="27">
          <cell r="FG27">
            <v>430</v>
          </cell>
        </row>
        <row r="28">
          <cell r="FG28">
            <v>437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</row>
        <row r="47">
          <cell r="FG47">
            <v>81</v>
          </cell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K58"/>
        </row>
        <row r="70">
          <cell r="FG70">
            <v>4396</v>
          </cell>
        </row>
        <row r="71">
          <cell r="FG71">
            <v>6513</v>
          </cell>
        </row>
        <row r="73">
          <cell r="FG73">
            <v>345</v>
          </cell>
        </row>
        <row r="74">
          <cell r="FG74">
            <v>511</v>
          </cell>
        </row>
      </sheetData>
      <sheetData sheetId="37">
        <row r="4">
          <cell r="FG4">
            <v>20</v>
          </cell>
        </row>
        <row r="5">
          <cell r="FG5">
            <v>20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</row>
        <row r="22">
          <cell r="FG22">
            <v>1300</v>
          </cell>
        </row>
        <row r="23">
          <cell r="FG23">
            <v>1369</v>
          </cell>
        </row>
        <row r="27">
          <cell r="FG27">
            <v>51</v>
          </cell>
        </row>
        <row r="28">
          <cell r="FG28">
            <v>14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AJ57"/>
        </row>
        <row r="58">
          <cell r="AJ58"/>
        </row>
      </sheetData>
      <sheetData sheetId="38"/>
      <sheetData sheetId="39">
        <row r="4">
          <cell r="FG4">
            <v>145</v>
          </cell>
        </row>
        <row r="5">
          <cell r="FG5">
            <v>145</v>
          </cell>
        </row>
        <row r="8">
          <cell r="FG8"/>
        </row>
        <row r="9">
          <cell r="FG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</row>
        <row r="22">
          <cell r="FG22">
            <v>8304</v>
          </cell>
        </row>
        <row r="23">
          <cell r="FG23">
            <v>8333</v>
          </cell>
        </row>
        <row r="27">
          <cell r="FG27">
            <v>379</v>
          </cell>
        </row>
        <row r="28">
          <cell r="FG28">
            <v>369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40">
        <row r="4">
          <cell r="FG4"/>
        </row>
        <row r="5">
          <cell r="FG5"/>
        </row>
        <row r="8">
          <cell r="FG8"/>
        </row>
        <row r="9">
          <cell r="FG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AJ57"/>
        </row>
        <row r="58">
          <cell r="AJ58"/>
        </row>
      </sheetData>
      <sheetData sheetId="41"/>
      <sheetData sheetId="42">
        <row r="4">
          <cell r="FG4">
            <v>1564</v>
          </cell>
        </row>
        <row r="5">
          <cell r="FG5">
            <v>1553</v>
          </cell>
        </row>
        <row r="8">
          <cell r="FG8"/>
        </row>
        <row r="9">
          <cell r="FG9">
            <v>2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</row>
        <row r="22">
          <cell r="FG22">
            <v>74825</v>
          </cell>
        </row>
        <row r="23">
          <cell r="FG23">
            <v>74613</v>
          </cell>
        </row>
        <row r="27">
          <cell r="FG27">
            <v>3143</v>
          </cell>
        </row>
        <row r="28">
          <cell r="FG28">
            <v>3156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  <row r="70">
          <cell r="FG70">
            <v>22608</v>
          </cell>
        </row>
        <row r="71">
          <cell r="FG71">
            <v>52005</v>
          </cell>
        </row>
        <row r="73">
          <cell r="FG73">
            <v>1307</v>
          </cell>
        </row>
        <row r="74">
          <cell r="FG74">
            <v>3006</v>
          </cell>
        </row>
      </sheetData>
      <sheetData sheetId="43">
        <row r="4">
          <cell r="FG4">
            <v>25</v>
          </cell>
        </row>
        <row r="5">
          <cell r="FG5">
            <v>25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</row>
        <row r="22">
          <cell r="FG22">
            <v>1271</v>
          </cell>
        </row>
        <row r="23">
          <cell r="FG23">
            <v>1309</v>
          </cell>
        </row>
        <row r="27">
          <cell r="FG27">
            <v>47</v>
          </cell>
        </row>
        <row r="28">
          <cell r="FG28">
            <v>44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G58"/>
        </row>
      </sheetData>
      <sheetData sheetId="44">
        <row r="4">
          <cell r="FG4">
            <v>219</v>
          </cell>
        </row>
        <row r="5">
          <cell r="FG5">
            <v>219</v>
          </cell>
        </row>
        <row r="8">
          <cell r="FG8">
            <v>3</v>
          </cell>
        </row>
        <row r="9">
          <cell r="FG9">
            <v>3</v>
          </cell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</row>
        <row r="22">
          <cell r="FG22">
            <v>12324</v>
          </cell>
        </row>
        <row r="23">
          <cell r="FG23">
            <v>11794</v>
          </cell>
        </row>
        <row r="27">
          <cell r="FG27">
            <v>517</v>
          </cell>
        </row>
        <row r="28">
          <cell r="FG28">
            <v>641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</row>
        <row r="47">
          <cell r="FG47"/>
        </row>
        <row r="48">
          <cell r="FG48"/>
        </row>
        <row r="52">
          <cell r="FG52">
            <v>1410</v>
          </cell>
        </row>
        <row r="53">
          <cell r="FG53"/>
        </row>
        <row r="57">
          <cell r="FG57"/>
        </row>
        <row r="58">
          <cell r="FG58"/>
        </row>
      </sheetData>
      <sheetData sheetId="45">
        <row r="4">
          <cell r="FG4">
            <v>209</v>
          </cell>
        </row>
        <row r="5">
          <cell r="FG5">
            <v>209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</row>
        <row r="22">
          <cell r="FG22">
            <v>12073</v>
          </cell>
        </row>
        <row r="23">
          <cell r="FG23">
            <v>13226</v>
          </cell>
        </row>
        <row r="27">
          <cell r="FG27"/>
        </row>
        <row r="28">
          <cell r="FG28"/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</sheetData>
      <sheetData sheetId="46">
        <row r="8">
          <cell r="FG8"/>
        </row>
        <row r="9">
          <cell r="FG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</sheetData>
      <sheetData sheetId="47">
        <row r="4">
          <cell r="FG4">
            <v>3131</v>
          </cell>
        </row>
        <row r="5">
          <cell r="FG5">
            <v>3137</v>
          </cell>
        </row>
        <row r="8">
          <cell r="FG8"/>
        </row>
        <row r="9">
          <cell r="FG9">
            <v>5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</row>
        <row r="22">
          <cell r="FG22">
            <v>144729</v>
          </cell>
        </row>
        <row r="23">
          <cell r="FG23">
            <v>147014</v>
          </cell>
        </row>
        <row r="27">
          <cell r="FG27">
            <v>5595</v>
          </cell>
        </row>
        <row r="28">
          <cell r="FG28">
            <v>5888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  <row r="70">
          <cell r="FG70">
            <v>38959</v>
          </cell>
        </row>
        <row r="71">
          <cell r="FG71">
            <v>108055</v>
          </cell>
        </row>
        <row r="73">
          <cell r="FG73">
            <v>2215</v>
          </cell>
        </row>
        <row r="74">
          <cell r="FG74">
            <v>6143</v>
          </cell>
        </row>
      </sheetData>
      <sheetData sheetId="48">
        <row r="4">
          <cell r="FG4">
            <v>96</v>
          </cell>
        </row>
        <row r="5">
          <cell r="FG5">
            <v>96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</row>
        <row r="22">
          <cell r="FG22">
            <v>6687</v>
          </cell>
        </row>
        <row r="23">
          <cell r="FG23">
            <v>6666</v>
          </cell>
        </row>
        <row r="27">
          <cell r="FG27">
            <v>112</v>
          </cell>
        </row>
        <row r="28">
          <cell r="FG28">
            <v>124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</row>
      </sheetData>
      <sheetData sheetId="50">
        <row r="4">
          <cell r="FG4">
            <v>3</v>
          </cell>
        </row>
        <row r="5">
          <cell r="FG5">
            <v>3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</row>
        <row r="22">
          <cell r="FG22">
            <v>188</v>
          </cell>
        </row>
        <row r="23">
          <cell r="FG23">
            <v>187</v>
          </cell>
        </row>
        <row r="27">
          <cell r="FG27">
            <v>11</v>
          </cell>
        </row>
        <row r="28">
          <cell r="FG28">
            <v>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51">
        <row r="4">
          <cell r="FG4">
            <v>93</v>
          </cell>
        </row>
        <row r="5">
          <cell r="FG5">
            <v>93</v>
          </cell>
        </row>
        <row r="8">
          <cell r="FG8"/>
        </row>
        <row r="9">
          <cell r="FG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</row>
        <row r="22">
          <cell r="FG22">
            <v>5368</v>
          </cell>
        </row>
        <row r="23">
          <cell r="FG23">
            <v>5389</v>
          </cell>
        </row>
        <row r="27">
          <cell r="FG27">
            <v>156</v>
          </cell>
        </row>
        <row r="28">
          <cell r="FG28">
            <v>138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</row>
        <row r="47">
          <cell r="FG47">
            <v>294</v>
          </cell>
        </row>
        <row r="48">
          <cell r="FG48">
            <v>242</v>
          </cell>
        </row>
        <row r="52">
          <cell r="FG52"/>
        </row>
        <row r="53">
          <cell r="FG53"/>
        </row>
        <row r="57">
          <cell r="FG57"/>
        </row>
        <row r="58">
          <cell r="FG58"/>
        </row>
      </sheetData>
      <sheetData sheetId="52">
        <row r="4">
          <cell r="FG4"/>
        </row>
        <row r="5">
          <cell r="FG5"/>
        </row>
        <row r="8">
          <cell r="FG8"/>
        </row>
        <row r="9">
          <cell r="FG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H58"/>
        </row>
        <row r="70">
          <cell r="FG70"/>
        </row>
        <row r="71">
          <cell r="FG71"/>
        </row>
        <row r="73">
          <cell r="FG73"/>
        </row>
        <row r="74">
          <cell r="FG74"/>
        </row>
      </sheetData>
      <sheetData sheetId="53">
        <row r="4">
          <cell r="FG4"/>
        </row>
        <row r="5">
          <cell r="FG5"/>
        </row>
        <row r="8">
          <cell r="FG8"/>
        </row>
        <row r="9">
          <cell r="FG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22">
          <cell r="FG22"/>
        </row>
        <row r="23">
          <cell r="FG23"/>
        </row>
        <row r="27">
          <cell r="FG27"/>
        </row>
        <row r="28">
          <cell r="FG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BG58"/>
        </row>
      </sheetData>
      <sheetData sheetId="54"/>
      <sheetData sheetId="55"/>
      <sheetData sheetId="56"/>
      <sheetData sheetId="57">
        <row r="4">
          <cell r="FG4"/>
        </row>
        <row r="5">
          <cell r="FG5"/>
        </row>
        <row r="15">
          <cell r="EZ15"/>
          <cell r="FA15"/>
          <cell r="FB15"/>
          <cell r="FC15"/>
          <cell r="FD15"/>
          <cell r="FF15"/>
          <cell r="FG15"/>
        </row>
        <row r="16">
          <cell r="EZ16"/>
          <cell r="FA16"/>
          <cell r="FB16"/>
          <cell r="FC16"/>
          <cell r="FD16"/>
          <cell r="FF16"/>
          <cell r="FG16"/>
        </row>
        <row r="22">
          <cell r="FG22"/>
        </row>
        <row r="23">
          <cell r="FG23"/>
        </row>
        <row r="32">
          <cell r="EZ32"/>
          <cell r="FA32"/>
          <cell r="FB32"/>
          <cell r="FC32"/>
          <cell r="FD32"/>
          <cell r="FE32"/>
          <cell r="FF32"/>
          <cell r="FG32"/>
        </row>
        <row r="33">
          <cell r="EZ33"/>
          <cell r="FA33"/>
          <cell r="FB33"/>
          <cell r="FC33"/>
          <cell r="FD33"/>
          <cell r="FE33"/>
          <cell r="FF33"/>
          <cell r="FG33"/>
        </row>
        <row r="37">
          <cell r="EZ37"/>
          <cell r="FA37"/>
          <cell r="FB37"/>
          <cell r="FC37"/>
          <cell r="FD37"/>
          <cell r="FE37"/>
          <cell r="FF37"/>
          <cell r="FG37"/>
        </row>
        <row r="38">
          <cell r="EZ38"/>
          <cell r="FA38"/>
          <cell r="FB38"/>
          <cell r="FC38"/>
          <cell r="FD38"/>
          <cell r="FE38"/>
          <cell r="FF38"/>
          <cell r="FG38"/>
        </row>
      </sheetData>
      <sheetData sheetId="58">
        <row r="4">
          <cell r="FG4"/>
        </row>
        <row r="5">
          <cell r="FG5"/>
        </row>
        <row r="15">
          <cell r="FG15"/>
        </row>
        <row r="16">
          <cell r="FG16"/>
        </row>
        <row r="22">
          <cell r="FG22"/>
        </row>
        <row r="23">
          <cell r="FG23"/>
        </row>
        <row r="32">
          <cell r="FG32"/>
        </row>
        <row r="33">
          <cell r="FG33"/>
        </row>
      </sheetData>
      <sheetData sheetId="59">
        <row r="15">
          <cell r="EZ15"/>
          <cell r="FA15">
            <v>1</v>
          </cell>
          <cell r="FB15"/>
          <cell r="FC15"/>
          <cell r="FD15"/>
          <cell r="FF15"/>
          <cell r="FG15"/>
        </row>
        <row r="16">
          <cell r="EZ16"/>
          <cell r="FA16">
            <v>1</v>
          </cell>
          <cell r="FB16"/>
          <cell r="FC16"/>
          <cell r="FD16"/>
          <cell r="FF16"/>
          <cell r="FG16"/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</row>
        <row r="37">
          <cell r="EZ37"/>
          <cell r="FA37"/>
          <cell r="FB37"/>
          <cell r="FC37"/>
          <cell r="FD37"/>
          <cell r="FE37"/>
          <cell r="FF37"/>
          <cell r="FG37"/>
        </row>
        <row r="38">
          <cell r="EZ38"/>
          <cell r="FA38"/>
          <cell r="FB38"/>
          <cell r="FC38"/>
          <cell r="FD38"/>
          <cell r="FE38"/>
          <cell r="FF38"/>
          <cell r="FG38"/>
        </row>
      </sheetData>
      <sheetData sheetId="60"/>
      <sheetData sheetId="61">
        <row r="4">
          <cell r="FG4">
            <v>3</v>
          </cell>
        </row>
        <row r="5">
          <cell r="FG5">
            <v>2</v>
          </cell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</row>
        <row r="22">
          <cell r="FG22">
            <v>181</v>
          </cell>
        </row>
        <row r="23">
          <cell r="FG23">
            <v>181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</row>
        <row r="37">
          <cell r="EZ37"/>
          <cell r="FA37"/>
          <cell r="FB37"/>
          <cell r="FC37"/>
          <cell r="FD37"/>
          <cell r="FE37"/>
          <cell r="FF37"/>
          <cell r="FG37"/>
        </row>
        <row r="38">
          <cell r="EZ38"/>
          <cell r="FA38"/>
          <cell r="FB38"/>
          <cell r="FC38"/>
          <cell r="FD38"/>
          <cell r="FE38"/>
          <cell r="FF38"/>
          <cell r="FG38"/>
        </row>
      </sheetData>
      <sheetData sheetId="62"/>
      <sheetData sheetId="63">
        <row r="4">
          <cell r="FG4">
            <v>22</v>
          </cell>
        </row>
        <row r="5">
          <cell r="FG5">
            <v>22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</row>
        <row r="47">
          <cell r="FG47">
            <v>773396</v>
          </cell>
        </row>
        <row r="48">
          <cell r="FG48"/>
        </row>
        <row r="52">
          <cell r="FG52">
            <v>618860</v>
          </cell>
        </row>
        <row r="53">
          <cell r="FG53"/>
        </row>
        <row r="57">
          <cell r="FG57"/>
        </row>
        <row r="58">
          <cell r="FG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</row>
      </sheetData>
      <sheetData sheetId="64">
        <row r="4">
          <cell r="FG4">
            <v>19</v>
          </cell>
        </row>
        <row r="5">
          <cell r="FG5">
            <v>19</v>
          </cell>
        </row>
        <row r="15">
          <cell r="FG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</row>
        <row r="47">
          <cell r="FG47">
            <v>21020</v>
          </cell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</row>
      </sheetData>
      <sheetData sheetId="65">
        <row r="15">
          <cell r="FG15">
            <v>23</v>
          </cell>
        </row>
        <row r="16">
          <cell r="FG16">
            <v>23</v>
          </cell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</row>
        <row r="47">
          <cell r="FG47">
            <v>21493</v>
          </cell>
        </row>
        <row r="48">
          <cell r="FG48"/>
        </row>
        <row r="52">
          <cell r="FG52">
            <v>78258</v>
          </cell>
        </row>
        <row r="53">
          <cell r="FG53"/>
        </row>
        <row r="57">
          <cell r="FG57"/>
        </row>
        <row r="58">
          <cell r="FG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</row>
      </sheetData>
      <sheetData sheetId="66">
        <row r="4">
          <cell r="FG4">
            <v>140</v>
          </cell>
        </row>
        <row r="5">
          <cell r="FG5">
            <v>140</v>
          </cell>
        </row>
        <row r="15">
          <cell r="FG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</row>
        <row r="47">
          <cell r="FG47">
            <v>9175456</v>
          </cell>
        </row>
        <row r="48">
          <cell r="FG48"/>
        </row>
        <row r="52">
          <cell r="FG52">
            <v>8857107</v>
          </cell>
        </row>
        <row r="53">
          <cell r="FG53"/>
        </row>
        <row r="57">
          <cell r="FG57"/>
        </row>
        <row r="58">
          <cell r="FG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</row>
      </sheetData>
      <sheetData sheetId="67">
        <row r="4">
          <cell r="FG4">
            <v>106</v>
          </cell>
        </row>
        <row r="5">
          <cell r="FG5">
            <v>106</v>
          </cell>
        </row>
        <row r="15">
          <cell r="FG15">
            <v>18</v>
          </cell>
        </row>
        <row r="16">
          <cell r="FG16">
            <v>18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</row>
        <row r="47">
          <cell r="FG47">
            <v>6694499</v>
          </cell>
        </row>
        <row r="48">
          <cell r="FG48">
            <v>313</v>
          </cell>
        </row>
        <row r="52">
          <cell r="FG52">
            <v>5682762</v>
          </cell>
        </row>
        <row r="53">
          <cell r="FG53">
            <v>744698</v>
          </cell>
        </row>
        <row r="57">
          <cell r="FG57"/>
        </row>
        <row r="58">
          <cell r="FG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</row>
      </sheetData>
      <sheetData sheetId="68"/>
      <sheetData sheetId="69"/>
      <sheetData sheetId="70"/>
      <sheetData sheetId="71">
        <row r="4">
          <cell r="FG4">
            <v>299</v>
          </cell>
        </row>
        <row r="5">
          <cell r="FG5">
            <v>299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</row>
      </sheetData>
      <sheetData sheetId="72">
        <row r="4">
          <cell r="FG4"/>
        </row>
        <row r="5">
          <cell r="FG5"/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</row>
        <row r="47">
          <cell r="FG47"/>
        </row>
        <row r="48">
          <cell r="FG48"/>
        </row>
        <row r="52">
          <cell r="FG52"/>
        </row>
        <row r="53">
          <cell r="FG53"/>
        </row>
        <row r="57">
          <cell r="FG57"/>
        </row>
        <row r="58">
          <cell r="FG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</row>
      </sheetData>
      <sheetData sheetId="73">
        <row r="4">
          <cell r="FG4">
            <v>23</v>
          </cell>
        </row>
        <row r="5">
          <cell r="FG5">
            <v>23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</row>
        <row r="47">
          <cell r="FG47">
            <v>63078</v>
          </cell>
        </row>
        <row r="48">
          <cell r="FG48"/>
        </row>
        <row r="52">
          <cell r="FG52">
            <v>141968</v>
          </cell>
        </row>
        <row r="53">
          <cell r="FG53"/>
        </row>
        <row r="57">
          <cell r="FG57"/>
        </row>
        <row r="58">
          <cell r="FG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</row>
      </sheetData>
      <sheetData sheetId="74">
        <row r="4">
          <cell r="FG4">
            <v>25</v>
          </cell>
        </row>
        <row r="5">
          <cell r="FG5">
            <v>25</v>
          </cell>
        </row>
        <row r="8">
          <cell r="FG8"/>
        </row>
        <row r="9">
          <cell r="FG9"/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</row>
        <row r="47">
          <cell r="FG47">
            <v>62441</v>
          </cell>
        </row>
        <row r="48">
          <cell r="FG48"/>
        </row>
        <row r="52">
          <cell r="FG52">
            <v>40303</v>
          </cell>
        </row>
        <row r="53">
          <cell r="FG53"/>
        </row>
        <row r="57">
          <cell r="FG57"/>
        </row>
        <row r="58">
          <cell r="FG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</row>
      </sheetData>
      <sheetData sheetId="75">
        <row r="4">
          <cell r="FG4">
            <v>45</v>
          </cell>
        </row>
        <row r="5">
          <cell r="FG5">
            <v>45</v>
          </cell>
        </row>
      </sheetData>
      <sheetData sheetId="76">
        <row r="4">
          <cell r="FG4">
            <v>1051</v>
          </cell>
        </row>
        <row r="5">
          <cell r="FG5">
            <v>1051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4">
        <v>42948</v>
      </c>
      <c r="B2" s="17"/>
      <c r="C2" s="17"/>
      <c r="D2" s="533" t="s">
        <v>196</v>
      </c>
      <c r="E2" s="533" t="s">
        <v>171</v>
      </c>
      <c r="F2" s="8"/>
      <c r="G2" s="8"/>
      <c r="H2" s="8"/>
      <c r="I2" s="8"/>
      <c r="J2" s="22"/>
    </row>
    <row r="3" spans="1:14" ht="13.5" thickBot="1" x14ac:dyDescent="0.25">
      <c r="A3" s="380"/>
      <c r="B3" s="8" t="s">
        <v>0</v>
      </c>
      <c r="C3" s="8" t="s">
        <v>1</v>
      </c>
      <c r="D3" s="534"/>
      <c r="E3" s="535"/>
      <c r="F3" s="8" t="s">
        <v>2</v>
      </c>
      <c r="G3" s="8" t="s">
        <v>197</v>
      </c>
      <c r="H3" s="8" t="s">
        <v>172</v>
      </c>
      <c r="I3" s="8" t="s">
        <v>2</v>
      </c>
      <c r="J3" s="19"/>
    </row>
    <row r="4" spans="1:14" ht="12.75" customHeight="1" x14ac:dyDescent="0.25">
      <c r="A4" s="61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4" t="s">
        <v>4</v>
      </c>
      <c r="B5" s="284">
        <f>'Major Airline Stats'!J4</f>
        <v>1445899</v>
      </c>
      <c r="C5" s="286">
        <f>'Major Airline Stats'!J5</f>
        <v>1434234</v>
      </c>
      <c r="D5" s="5">
        <f>'Major Airline Stats'!J6</f>
        <v>2880133</v>
      </c>
      <c r="E5" s="9">
        <f>'[1]Monthly Summary'!D5</f>
        <v>2701907</v>
      </c>
      <c r="F5" s="38">
        <f>(D5-E5)/E5</f>
        <v>6.5963040178659005E-2</v>
      </c>
      <c r="G5" s="9">
        <f>+D5+'[2]Monthly Summary'!G5</f>
        <v>19867051</v>
      </c>
      <c r="H5" s="9">
        <f>'[1]Monthly Summary'!G5</f>
        <v>19031946</v>
      </c>
      <c r="I5" s="82">
        <f>(G5-H5)/H5</f>
        <v>4.3879117773873468E-2</v>
      </c>
      <c r="J5" s="9"/>
    </row>
    <row r="6" spans="1:14" x14ac:dyDescent="0.2">
      <c r="A6" s="64" t="s">
        <v>5</v>
      </c>
      <c r="B6" s="284">
        <f>'Regional Major'!M5</f>
        <v>334399</v>
      </c>
      <c r="C6" s="284">
        <f>'Regional Major'!M6</f>
        <v>336400</v>
      </c>
      <c r="D6" s="5">
        <f>B6+C6</f>
        <v>670799</v>
      </c>
      <c r="E6" s="9">
        <f>'[1]Monthly Summary'!D6</f>
        <v>732599</v>
      </c>
      <c r="F6" s="38">
        <f>(D6-E6)/E6</f>
        <v>-8.4357199504776825E-2</v>
      </c>
      <c r="G6" s="9">
        <f>+D6+'[2]Monthly Summary'!G6</f>
        <v>5145166</v>
      </c>
      <c r="H6" s="9">
        <f>'[1]Monthly Summary'!G6</f>
        <v>5649395</v>
      </c>
      <c r="I6" s="82">
        <f>(G6-H6)/H6</f>
        <v>-8.9253628043356861E-2</v>
      </c>
      <c r="J6" s="19"/>
      <c r="K6" s="2"/>
    </row>
    <row r="7" spans="1:14" x14ac:dyDescent="0.2">
      <c r="A7" s="64" t="s">
        <v>6</v>
      </c>
      <c r="B7" s="9">
        <f>Charter!G5</f>
        <v>286</v>
      </c>
      <c r="C7" s="285">
        <f>Charter!G6</f>
        <v>181</v>
      </c>
      <c r="D7" s="5">
        <f>B7+C7</f>
        <v>467</v>
      </c>
      <c r="E7" s="9">
        <f>'[1]Monthly Summary'!D7</f>
        <v>472</v>
      </c>
      <c r="F7" s="38">
        <f>(D7-E7)/E7</f>
        <v>-1.059322033898305E-2</v>
      </c>
      <c r="G7" s="9">
        <f>+D7+'[2]Monthly Summary'!G7</f>
        <v>3706</v>
      </c>
      <c r="H7" s="9">
        <f>'[1]Monthly Summary'!G7</f>
        <v>3352</v>
      </c>
      <c r="I7" s="82">
        <f>(G7-H7)/H7</f>
        <v>0.10560859188544153</v>
      </c>
      <c r="J7" s="19"/>
      <c r="K7" s="2"/>
    </row>
    <row r="8" spans="1:14" x14ac:dyDescent="0.2">
      <c r="A8" s="67" t="s">
        <v>7</v>
      </c>
      <c r="B8" s="141">
        <f>SUM(B5:B7)</f>
        <v>1780584</v>
      </c>
      <c r="C8" s="141">
        <f>SUM(C5:C7)</f>
        <v>1770815</v>
      </c>
      <c r="D8" s="141">
        <f>SUM(D5:D7)</f>
        <v>3551399</v>
      </c>
      <c r="E8" s="141">
        <f>SUM(E5:E7)</f>
        <v>3434978</v>
      </c>
      <c r="F8" s="89">
        <f>(D8-E8)/E8</f>
        <v>3.3892793490962678E-2</v>
      </c>
      <c r="G8" s="141">
        <f>SUM(G5:G7)</f>
        <v>25015923</v>
      </c>
      <c r="H8" s="141">
        <f>SUM(H5:H7)</f>
        <v>24684693</v>
      </c>
      <c r="I8" s="88">
        <f>(G8-H8)/H8</f>
        <v>1.3418437085687069E-2</v>
      </c>
      <c r="J8" s="19"/>
    </row>
    <row r="9" spans="1:14" x14ac:dyDescent="0.2">
      <c r="A9" s="64"/>
      <c r="B9" s="111"/>
      <c r="C9" s="111"/>
      <c r="D9" s="111"/>
      <c r="E9" s="139"/>
      <c r="F9" s="6"/>
      <c r="G9" s="139"/>
      <c r="H9" s="139"/>
      <c r="I9" s="82"/>
      <c r="J9" s="19"/>
    </row>
    <row r="10" spans="1:14" x14ac:dyDescent="0.2">
      <c r="A10" s="64" t="s">
        <v>8</v>
      </c>
      <c r="B10" s="503">
        <f>'Major Airline Stats'!J9+'Regional Major'!M10</f>
        <v>58473</v>
      </c>
      <c r="C10" s="504">
        <f>'Major Airline Stats'!J10+'Regional Major'!M11</f>
        <v>58327</v>
      </c>
      <c r="D10" s="505">
        <f>SUM(B10:C10)</f>
        <v>116800</v>
      </c>
      <c r="E10" s="505">
        <f>'[1]Monthly Summary'!D10</f>
        <v>110578</v>
      </c>
      <c r="F10" s="506">
        <f>(D10-E10)/E10</f>
        <v>5.62679737379949E-2</v>
      </c>
      <c r="G10" s="507">
        <f>+D10+'[2]Monthly Summary'!G10</f>
        <v>844719</v>
      </c>
      <c r="H10" s="505">
        <f>'[1]Monthly Summary'!G10</f>
        <v>787289</v>
      </c>
      <c r="I10" s="508">
        <f>(G10-H10)/H10</f>
        <v>7.2946529165274762E-2</v>
      </c>
      <c r="J10" s="255"/>
    </row>
    <row r="11" spans="1:14" ht="15.75" thickBot="1" x14ac:dyDescent="0.3">
      <c r="A11" s="66" t="s">
        <v>13</v>
      </c>
      <c r="B11" s="264">
        <f>B10+B8</f>
        <v>1839057</v>
      </c>
      <c r="C11" s="264">
        <f>C10+C8</f>
        <v>1829142</v>
      </c>
      <c r="D11" s="264">
        <f>D10+D8</f>
        <v>3668199</v>
      </c>
      <c r="E11" s="264">
        <f>E10+E8</f>
        <v>3545556</v>
      </c>
      <c r="F11" s="90">
        <f>(D11-E11)/E11</f>
        <v>3.4590625560560882E-2</v>
      </c>
      <c r="G11" s="264">
        <f>G8+G10</f>
        <v>25860642</v>
      </c>
      <c r="H11" s="264">
        <f>H8+H10</f>
        <v>25471982</v>
      </c>
      <c r="I11" s="92">
        <f>(G11-H11)/H11</f>
        <v>1.5258333646749594E-2</v>
      </c>
      <c r="J11" s="7"/>
      <c r="K11" s="123"/>
      <c r="L11" s="123"/>
    </row>
    <row r="12" spans="1:14" ht="15" x14ac:dyDescent="0.25">
      <c r="A12" s="15"/>
      <c r="B12" s="117"/>
      <c r="C12" s="117"/>
      <c r="D12" s="117"/>
      <c r="E12" s="117"/>
      <c r="F12" s="266"/>
      <c r="G12" s="117"/>
      <c r="H12" s="117"/>
      <c r="I12" s="267"/>
      <c r="J12" s="7"/>
      <c r="K12" s="123"/>
    </row>
    <row r="13" spans="1:14" ht="16.5" customHeight="1" x14ac:dyDescent="0.2">
      <c r="B13" s="17"/>
      <c r="C13" s="17"/>
      <c r="D13" s="533" t="s">
        <v>196</v>
      </c>
      <c r="E13" s="533" t="s">
        <v>171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222</v>
      </c>
      <c r="C14" s="449" t="s">
        <v>223</v>
      </c>
      <c r="D14" s="534"/>
      <c r="E14" s="535"/>
      <c r="F14" s="449" t="s">
        <v>2</v>
      </c>
      <c r="G14" s="449" t="s">
        <v>197</v>
      </c>
      <c r="H14" s="449" t="s">
        <v>172</v>
      </c>
      <c r="I14" s="449" t="s">
        <v>2</v>
      </c>
    </row>
    <row r="15" spans="1:14" ht="15" x14ac:dyDescent="0.25">
      <c r="A15" s="58" t="s">
        <v>9</v>
      </c>
      <c r="B15" s="44"/>
      <c r="C15" s="44"/>
      <c r="D15" s="44"/>
      <c r="E15" s="44"/>
      <c r="F15" s="45"/>
      <c r="G15" s="44"/>
      <c r="H15" s="44"/>
      <c r="I15" s="253"/>
    </row>
    <row r="16" spans="1:14" x14ac:dyDescent="0.2">
      <c r="A16" s="65" t="s">
        <v>4</v>
      </c>
      <c r="B16" s="295">
        <f>'Major Airline Stats'!J15+'Major Airline Stats'!J19</f>
        <v>10973</v>
      </c>
      <c r="C16" s="295">
        <f>'Major Airline Stats'!J16+'Major Airline Stats'!J20</f>
        <v>10974</v>
      </c>
      <c r="D16" s="46">
        <f t="shared" ref="D16:D21" si="0">SUM(B16:C16)</f>
        <v>21947</v>
      </c>
      <c r="E16" s="9">
        <f>'[1]Monthly Summary'!D16</f>
        <v>20281</v>
      </c>
      <c r="F16" s="91">
        <f t="shared" ref="F16:F22" si="1">(D16-E16)/E16</f>
        <v>8.2145850796311815E-2</v>
      </c>
      <c r="G16" s="9">
        <f>+D16+'[2]Monthly Summary'!G16</f>
        <v>154204</v>
      </c>
      <c r="H16" s="9">
        <f>'[1]Monthly Summary'!G16</f>
        <v>143539</v>
      </c>
      <c r="I16" s="254">
        <f t="shared" ref="I16:I22" si="2">(G16-H16)/H16</f>
        <v>7.4300364360905397E-2</v>
      </c>
      <c r="N16" s="123"/>
    </row>
    <row r="17" spans="1:12" x14ac:dyDescent="0.2">
      <c r="A17" s="65" t="s">
        <v>5</v>
      </c>
      <c r="B17" s="46">
        <f>'Regional Major'!M15+'Regional Major'!M18</f>
        <v>6625</v>
      </c>
      <c r="C17" s="46">
        <f>'Regional Major'!M16+'Regional Major'!M19</f>
        <v>6624</v>
      </c>
      <c r="D17" s="46">
        <f>SUM(B17:C17)</f>
        <v>13249</v>
      </c>
      <c r="E17" s="9">
        <f>'[1]Monthly Summary'!D17</f>
        <v>14259</v>
      </c>
      <c r="F17" s="91">
        <f t="shared" si="1"/>
        <v>-7.0832456694017817E-2</v>
      </c>
      <c r="G17" s="9">
        <f>+D17+'[2]Monthly Summary'!G17</f>
        <v>102071</v>
      </c>
      <c r="H17" s="9">
        <f>'[1]Monthly Summary'!G17</f>
        <v>109427</v>
      </c>
      <c r="I17" s="254">
        <f t="shared" si="2"/>
        <v>-6.7222897456751987E-2</v>
      </c>
    </row>
    <row r="18" spans="1:12" x14ac:dyDescent="0.2">
      <c r="A18" s="65" t="s">
        <v>10</v>
      </c>
      <c r="B18" s="46">
        <f>Charter!G10</f>
        <v>3</v>
      </c>
      <c r="C18" s="46">
        <f>Charter!G11</f>
        <v>2</v>
      </c>
      <c r="D18" s="46">
        <f t="shared" si="0"/>
        <v>5</v>
      </c>
      <c r="E18" s="9">
        <f>'[1]Monthly Summary'!D18</f>
        <v>6</v>
      </c>
      <c r="F18" s="91">
        <f t="shared" si="1"/>
        <v>-0.16666666666666666</v>
      </c>
      <c r="G18" s="9">
        <f>+D18+'[2]Monthly Summary'!G18</f>
        <v>29</v>
      </c>
      <c r="H18" s="9">
        <f>'[1]Monthly Summary'!G18</f>
        <v>46</v>
      </c>
      <c r="I18" s="254">
        <f t="shared" si="2"/>
        <v>-0.36956521739130432</v>
      </c>
    </row>
    <row r="19" spans="1:12" x14ac:dyDescent="0.2">
      <c r="A19" s="65" t="s">
        <v>11</v>
      </c>
      <c r="B19" s="46">
        <f>Cargo!M4</f>
        <v>675</v>
      </c>
      <c r="C19" s="46">
        <f>Cargo!M5</f>
        <v>675</v>
      </c>
      <c r="D19" s="46">
        <f t="shared" si="0"/>
        <v>1350</v>
      </c>
      <c r="E19" s="9">
        <f>'[1]Monthly Summary'!D19</f>
        <v>1258</v>
      </c>
      <c r="F19" s="91">
        <f t="shared" si="1"/>
        <v>7.3131955484896663E-2</v>
      </c>
      <c r="G19" s="9">
        <f>+D19+'[2]Monthly Summary'!G19</f>
        <v>9718</v>
      </c>
      <c r="H19" s="9">
        <f>'[1]Monthly Summary'!G19</f>
        <v>9140</v>
      </c>
      <c r="I19" s="254">
        <f t="shared" si="2"/>
        <v>6.3238512035010935E-2</v>
      </c>
    </row>
    <row r="20" spans="1:12" x14ac:dyDescent="0.2">
      <c r="A20" s="65" t="s">
        <v>152</v>
      </c>
      <c r="B20" s="46">
        <f>'[3]General Avation'!$FG$4</f>
        <v>1051</v>
      </c>
      <c r="C20" s="46">
        <f>'[3]General Avation'!$FG$5</f>
        <v>1051</v>
      </c>
      <c r="D20" s="46">
        <f t="shared" si="0"/>
        <v>2102</v>
      </c>
      <c r="E20" s="9">
        <f>'[1]Monthly Summary'!D20</f>
        <v>2232</v>
      </c>
      <c r="F20" s="91">
        <f t="shared" si="1"/>
        <v>-5.824372759856631E-2</v>
      </c>
      <c r="G20" s="9">
        <f>+D20+'[2]Monthly Summary'!G20</f>
        <v>15092</v>
      </c>
      <c r="H20" s="9">
        <f>'[1]Monthly Summary'!G20</f>
        <v>15216.5</v>
      </c>
      <c r="I20" s="254">
        <f t="shared" si="2"/>
        <v>-8.1819077974567087E-3</v>
      </c>
    </row>
    <row r="21" spans="1:12" ht="12.75" customHeight="1" x14ac:dyDescent="0.2">
      <c r="A21" s="65" t="s">
        <v>12</v>
      </c>
      <c r="B21" s="509">
        <f>'[3]Military '!$FG$4</f>
        <v>45</v>
      </c>
      <c r="C21" s="510">
        <f>'[3]Military '!$FG$5</f>
        <v>45</v>
      </c>
      <c r="D21" s="510">
        <f t="shared" si="0"/>
        <v>90</v>
      </c>
      <c r="E21" s="505">
        <f>'[1]Monthly Summary'!D21</f>
        <v>122</v>
      </c>
      <c r="F21" s="511">
        <f t="shared" si="1"/>
        <v>-0.26229508196721313</v>
      </c>
      <c r="G21" s="507">
        <f>+D21+'[2]Monthly Summary'!G21</f>
        <v>465</v>
      </c>
      <c r="H21" s="505">
        <f>'[1]Monthly Summary'!G21</f>
        <v>871</v>
      </c>
      <c r="I21" s="512">
        <f t="shared" si="2"/>
        <v>-0.46613088404133179</v>
      </c>
    </row>
    <row r="22" spans="1:12" ht="15.75" thickBot="1" x14ac:dyDescent="0.3">
      <c r="A22" s="66" t="s">
        <v>28</v>
      </c>
      <c r="B22" s="265">
        <f>SUM(B16:B21)</f>
        <v>19372</v>
      </c>
      <c r="C22" s="265">
        <f>SUM(C16:C21)</f>
        <v>19371</v>
      </c>
      <c r="D22" s="265">
        <f>SUM(D16:D21)</f>
        <v>38743</v>
      </c>
      <c r="E22" s="265">
        <f>SUM(E16:E21)</f>
        <v>38158</v>
      </c>
      <c r="F22" s="261">
        <f t="shared" si="1"/>
        <v>1.5330992190366372E-2</v>
      </c>
      <c r="G22" s="265">
        <f>SUM(G16:G21)</f>
        <v>281579</v>
      </c>
      <c r="H22" s="265">
        <f>SUM(H16:H21)</f>
        <v>278239.5</v>
      </c>
      <c r="I22" s="262">
        <f t="shared" si="2"/>
        <v>1.2002249860282239E-2</v>
      </c>
    </row>
    <row r="23" spans="1:12" x14ac:dyDescent="0.2">
      <c r="B23" s="123"/>
      <c r="C23" s="123"/>
      <c r="D23" s="7"/>
      <c r="L23" s="2"/>
    </row>
    <row r="24" spans="1:12" ht="12.75" customHeight="1" x14ac:dyDescent="0.2">
      <c r="B24" s="17"/>
      <c r="C24" s="17"/>
      <c r="D24" s="533" t="s">
        <v>196</v>
      </c>
      <c r="E24" s="533" t="s">
        <v>171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34"/>
      <c r="E25" s="535"/>
      <c r="F25" s="449" t="s">
        <v>2</v>
      </c>
      <c r="G25" s="449" t="s">
        <v>197</v>
      </c>
      <c r="H25" s="449" t="s">
        <v>172</v>
      </c>
      <c r="I25" s="449" t="s">
        <v>2</v>
      </c>
    </row>
    <row r="26" spans="1:12" ht="15" x14ac:dyDescent="0.25">
      <c r="A26" s="62" t="s">
        <v>129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59" t="s">
        <v>15</v>
      </c>
      <c r="B27" s="21">
        <f>(Cargo!M16+'Major Airline Stats'!J28+'Regional Major'!M25)*0.00045359237</f>
        <v>10559.328734673949</v>
      </c>
      <c r="C27" s="21">
        <f>(Cargo!M21+'Major Airline Stats'!J33+'Regional Major'!M30)*0.00045359237</f>
        <v>8466.9175644884599</v>
      </c>
      <c r="D27" s="21">
        <f>(SUM(B27:C27)+('Cargo Summary'!E17*0.00045359237))</f>
        <v>19026.246299162409</v>
      </c>
      <c r="E27" s="9">
        <f>'[1]Monthly Summary'!D27</f>
        <v>16862.353960980989</v>
      </c>
      <c r="F27" s="93">
        <f>(D27-E27)/E27</f>
        <v>0.12832682454588523</v>
      </c>
      <c r="G27" s="9">
        <f>+D27+'[2]Monthly Summary'!G27</f>
        <v>135305.77344337053</v>
      </c>
      <c r="H27" s="9">
        <f>'[1]Monthly Summary'!G27</f>
        <v>121754.77124284551</v>
      </c>
      <c r="I27" s="94">
        <f>(G27-H27)/H27</f>
        <v>0.11129750450187223</v>
      </c>
    </row>
    <row r="28" spans="1:12" x14ac:dyDescent="0.2">
      <c r="A28" s="59" t="s">
        <v>16</v>
      </c>
      <c r="B28" s="515">
        <f>(Cargo!M17+'Major Airline Stats'!J29+'Regional Major'!M26)*0.00045359237</f>
        <v>1135.56305518656</v>
      </c>
      <c r="C28" s="516">
        <f>(Cargo!M22+'Major Airline Stats'!J34+'Regional Major'!M31)*0.00045359237</f>
        <v>1405.5457697342599</v>
      </c>
      <c r="D28" s="516">
        <f>SUM(B28:C28)</f>
        <v>2541.1088249208196</v>
      </c>
      <c r="E28" s="507">
        <f>'[1]Monthly Summary'!D28</f>
        <v>1636.4378938353598</v>
      </c>
      <c r="F28" s="517">
        <f>(D28-E28)/E28</f>
        <v>0.55282937072861371</v>
      </c>
      <c r="G28" s="507">
        <f>+D28+'[2]Monthly Summary'!G28</f>
        <v>17177.375222723098</v>
      </c>
      <c r="H28" s="507">
        <f>'[1]Monthly Summary'!G28</f>
        <v>8779.4288937164238</v>
      </c>
      <c r="I28" s="518">
        <f>(G28-H28)/H28</f>
        <v>0.95654813435726072</v>
      </c>
    </row>
    <row r="29" spans="1:12" ht="15.75" thickBot="1" x14ac:dyDescent="0.3">
      <c r="A29" s="60" t="s">
        <v>62</v>
      </c>
      <c r="B29" s="513">
        <f>SUM(B27:B28)</f>
        <v>11694.891789860509</v>
      </c>
      <c r="C29" s="513">
        <f>SUM(C27:C28)</f>
        <v>9872.4633342227207</v>
      </c>
      <c r="D29" s="513">
        <f>SUM(D27:D28)</f>
        <v>21567.355124083228</v>
      </c>
      <c r="E29" s="513">
        <f>SUM(E27:E28)</f>
        <v>18498.791854816347</v>
      </c>
      <c r="F29" s="90">
        <f>(D29-E29)/E29</f>
        <v>0.16587911758507348</v>
      </c>
      <c r="G29" s="513">
        <f>SUM(G27:G28)</f>
        <v>152483.14866609362</v>
      </c>
      <c r="H29" s="513">
        <f>SUM(H27:H28)</f>
        <v>130534.20013656194</v>
      </c>
      <c r="I29" s="514">
        <f>(G29-H29)/H29</f>
        <v>0.16814711015633596</v>
      </c>
    </row>
    <row r="30" spans="1:12" s="7" customFormat="1" ht="4.5" customHeight="1" thickBot="1" x14ac:dyDescent="0.3">
      <c r="A30" s="56"/>
      <c r="B30" s="382"/>
      <c r="C30" s="382"/>
      <c r="D30" s="382"/>
      <c r="E30" s="382"/>
      <c r="F30" s="266"/>
      <c r="G30" s="382"/>
      <c r="H30" s="382"/>
      <c r="I30" s="266"/>
    </row>
    <row r="31" spans="1:12" ht="13.5" thickBot="1" x14ac:dyDescent="0.25">
      <c r="B31" s="532" t="s">
        <v>148</v>
      </c>
      <c r="C31" s="531"/>
      <c r="D31" s="532" t="s">
        <v>155</v>
      </c>
      <c r="E31" s="531"/>
      <c r="F31" s="405"/>
      <c r="G31" s="406"/>
      <c r="H31" s="404"/>
      <c r="I31" s="404"/>
    </row>
    <row r="32" spans="1:12" x14ac:dyDescent="0.2">
      <c r="A32" s="386" t="s">
        <v>149</v>
      </c>
      <c r="B32" s="387">
        <f>C8-B33</f>
        <v>1007612</v>
      </c>
      <c r="C32" s="388">
        <f>B32/C8</f>
        <v>0.56901031445972616</v>
      </c>
      <c r="D32" s="389">
        <f>+B32+'[2]Monthly Summary'!D32</f>
        <v>7471528</v>
      </c>
      <c r="E32" s="390">
        <f>+D32/D34</f>
        <v>0.59904886966480486</v>
      </c>
      <c r="G32" s="412"/>
      <c r="H32" s="404"/>
      <c r="I32" s="403"/>
    </row>
    <row r="33" spans="1:14" ht="13.5" thickBot="1" x14ac:dyDescent="0.25">
      <c r="A33" s="391" t="s">
        <v>150</v>
      </c>
      <c r="B33" s="392">
        <f>'Major Airline Stats'!J51+'Regional Major'!M45</f>
        <v>763203</v>
      </c>
      <c r="C33" s="393">
        <f>+B33/C8</f>
        <v>0.43098968554027384</v>
      </c>
      <c r="D33" s="394">
        <f>+B33+'[2]Monthly Summary'!D33</f>
        <v>5000790</v>
      </c>
      <c r="E33" s="395">
        <f>+D33/D34</f>
        <v>0.40095113033519508</v>
      </c>
      <c r="G33" s="404"/>
      <c r="H33" s="404"/>
      <c r="I33" s="403"/>
    </row>
    <row r="34" spans="1:14" ht="13.5" thickBot="1" x14ac:dyDescent="0.25">
      <c r="B34" s="299"/>
      <c r="D34" s="396">
        <f>SUM(D32:D33)</f>
        <v>12472318</v>
      </c>
    </row>
    <row r="35" spans="1:14" ht="13.5" thickBot="1" x14ac:dyDescent="0.25">
      <c r="B35" s="530" t="s">
        <v>226</v>
      </c>
      <c r="C35" s="531"/>
      <c r="D35" s="532" t="s">
        <v>198</v>
      </c>
      <c r="E35" s="531"/>
    </row>
    <row r="36" spans="1:14" x14ac:dyDescent="0.2">
      <c r="A36" s="386" t="s">
        <v>149</v>
      </c>
      <c r="B36" s="387">
        <f>'[1]Monthly Summary'!$B$32</f>
        <v>963025</v>
      </c>
      <c r="C36" s="388">
        <f>+B36/B38</f>
        <v>0.56195068266774351</v>
      </c>
      <c r="D36" s="389">
        <f>'[1]Monthly Summary'!$D$32</f>
        <v>7042848</v>
      </c>
      <c r="E36" s="390">
        <f>+D36/D38</f>
        <v>0.57222597458247848</v>
      </c>
    </row>
    <row r="37" spans="1:14" ht="13.5" thickBot="1" x14ac:dyDescent="0.25">
      <c r="A37" s="391" t="s">
        <v>150</v>
      </c>
      <c r="B37" s="392">
        <f>'[1]Monthly Summary'!$B$33</f>
        <v>750693</v>
      </c>
      <c r="C37" s="395">
        <f>+B37/B38</f>
        <v>0.43804931733225655</v>
      </c>
      <c r="D37" s="394">
        <f>'[1]Monthly Summary'!$D$33</f>
        <v>5264961</v>
      </c>
      <c r="E37" s="395">
        <f>+D37/D38</f>
        <v>0.42777402541752152</v>
      </c>
    </row>
    <row r="38" spans="1:14" x14ac:dyDescent="0.2">
      <c r="B38" s="411">
        <f>+SUM(B36:B37)</f>
        <v>1713718</v>
      </c>
      <c r="D38" s="396">
        <f>SUM(D36:D37)</f>
        <v>12307809</v>
      </c>
    </row>
    <row r="39" spans="1:14" x14ac:dyDescent="0.2">
      <c r="A39" s="400" t="s">
        <v>151</v>
      </c>
    </row>
    <row r="40" spans="1:14" x14ac:dyDescent="0.2">
      <c r="A40" s="222" t="s">
        <v>153</v>
      </c>
      <c r="I40" s="2"/>
    </row>
    <row r="41" spans="1:14" x14ac:dyDescent="0.2">
      <c r="N41" s="401"/>
    </row>
    <row r="42" spans="1:14" x14ac:dyDescent="0.2">
      <c r="G42" s="2"/>
      <c r="N42" s="401"/>
    </row>
    <row r="43" spans="1:14" x14ac:dyDescent="0.2">
      <c r="J43" s="2"/>
      <c r="N43" s="401"/>
    </row>
    <row r="44" spans="1:14" x14ac:dyDescent="0.2">
      <c r="N44" s="401"/>
    </row>
    <row r="45" spans="1:14" x14ac:dyDescent="0.2">
      <c r="J45" s="2"/>
      <c r="N45" s="401"/>
    </row>
    <row r="46" spans="1:14" x14ac:dyDescent="0.2">
      <c r="B46" s="2"/>
      <c r="F46" s="299"/>
    </row>
    <row r="47" spans="1:14" x14ac:dyDescent="0.2">
      <c r="N47" s="401"/>
    </row>
    <row r="51" spans="12:12" x14ac:dyDescent="0.2">
      <c r="L51" s="40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M23" sqref="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  <col min="19" max="19" width="10.85546875" bestFit="1" customWidth="1"/>
  </cols>
  <sheetData>
    <row r="1" spans="1:16" ht="39" thickBot="1" x14ac:dyDescent="0.25">
      <c r="A1" s="374">
        <v>42948</v>
      </c>
      <c r="B1" s="12" t="s">
        <v>18</v>
      </c>
      <c r="C1" s="263" t="s">
        <v>192</v>
      </c>
      <c r="D1" s="526" t="s">
        <v>162</v>
      </c>
      <c r="E1" s="263" t="s">
        <v>169</v>
      </c>
      <c r="F1" s="263" t="s">
        <v>170</v>
      </c>
      <c r="G1" s="263" t="s">
        <v>168</v>
      </c>
      <c r="H1" s="263" t="s">
        <v>49</v>
      </c>
      <c r="I1" s="263" t="s">
        <v>116</v>
      </c>
      <c r="J1" s="263" t="s">
        <v>221</v>
      </c>
      <c r="K1" s="263" t="s">
        <v>227</v>
      </c>
      <c r="L1" s="263" t="s">
        <v>228</v>
      </c>
      <c r="M1" s="263" t="s">
        <v>167</v>
      </c>
      <c r="N1" s="263" t="s">
        <v>161</v>
      </c>
      <c r="O1" s="263" t="s">
        <v>142</v>
      </c>
      <c r="P1" s="263" t="s">
        <v>21</v>
      </c>
    </row>
    <row r="2" spans="1:16" ht="16.5" thickTop="1" thickBot="1" x14ac:dyDescent="0.3">
      <c r="A2" s="567" t="s">
        <v>143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</row>
    <row r="3" spans="1:16" ht="13.5" thickTop="1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59" t="s">
        <v>30</v>
      </c>
      <c r="B4" s="20">
        <f>[3]Delta!$FG$32</f>
        <v>83915</v>
      </c>
      <c r="C4" s="20">
        <f>'[3]Atlantic Southeast'!$FG$32</f>
        <v>0</v>
      </c>
      <c r="D4" s="20">
        <f>[3]Pinnacle!$FG$32</f>
        <v>3854</v>
      </c>
      <c r="E4" s="20">
        <f>[3]Compass!$FG$32</f>
        <v>7825</v>
      </c>
      <c r="F4" s="20">
        <f>'[3]Sky West'!$FG$32</f>
        <v>9716</v>
      </c>
      <c r="G4" s="20">
        <f>'[3]Go Jet'!$FG$32</f>
        <v>887</v>
      </c>
      <c r="H4" s="20">
        <f>'[3]Sun Country'!$FG$32</f>
        <v>847</v>
      </c>
      <c r="I4" s="20">
        <f>[3]Icelandair!$FG$32</f>
        <v>6906</v>
      </c>
      <c r="J4" s="20">
        <f>[3]KLM!$FG$32</f>
        <v>3166</v>
      </c>
      <c r="K4" s="20">
        <f>'[3]Air Georgian'!$FG$32</f>
        <v>0</v>
      </c>
      <c r="L4" s="20">
        <f>'[3]Sky Regional'!$FG$32</f>
        <v>5708</v>
      </c>
      <c r="M4" s="20">
        <f>[3]Condor!$FG$32</f>
        <v>4531</v>
      </c>
      <c r="N4" s="20">
        <f>'[3]Air France'!$FG$32</f>
        <v>7580</v>
      </c>
      <c r="O4" s="20">
        <f>'[3]Charter Misc'!$FG$32+[3]Ryan!$FG$32+[3]Omni!$FG$32</f>
        <v>105</v>
      </c>
      <c r="P4" s="271">
        <f>SUM(B4:O4)</f>
        <v>135040</v>
      </c>
    </row>
    <row r="5" spans="1:16" x14ac:dyDescent="0.2">
      <c r="A5" s="59" t="s">
        <v>31</v>
      </c>
      <c r="B5" s="14">
        <f>[3]Delta!$FG$33</f>
        <v>78646</v>
      </c>
      <c r="C5" s="14">
        <f>'[3]Atlantic Southeast'!$FG$33</f>
        <v>65</v>
      </c>
      <c r="D5" s="14">
        <f>[3]Pinnacle!$FG$33</f>
        <v>4313</v>
      </c>
      <c r="E5" s="14">
        <f>[3]Compass!$FG$33</f>
        <v>7576</v>
      </c>
      <c r="F5" s="14">
        <f>'[3]Sky West'!$FG$33</f>
        <v>8358</v>
      </c>
      <c r="G5" s="14">
        <f>'[3]Go Jet'!$FG$33</f>
        <v>856</v>
      </c>
      <c r="H5" s="14">
        <f>'[3]Sun Country'!$FG$33</f>
        <v>1108</v>
      </c>
      <c r="I5" s="14">
        <f>[3]Icelandair!$FG$33</f>
        <v>6878</v>
      </c>
      <c r="J5" s="14">
        <f>[3]KLM!$FG$33</f>
        <v>3097</v>
      </c>
      <c r="K5" s="14">
        <f>'[3]Air Georgian'!$FG$33</f>
        <v>0</v>
      </c>
      <c r="L5" s="14">
        <f>'[3]Sky Regional'!$FG$33</f>
        <v>5406</v>
      </c>
      <c r="M5" s="14">
        <f>[3]Condor!$FG$33</f>
        <v>4114</v>
      </c>
      <c r="N5" s="14">
        <f>'[3]Air France'!$FG$33</f>
        <v>6921</v>
      </c>
      <c r="O5" s="14">
        <f>'[3]Charter Misc'!$FG$33++[3]Ryan!$FG$33+[3]Omni!$FG$33</f>
        <v>0</v>
      </c>
      <c r="P5" s="272">
        <f>SUM(B5:O5)</f>
        <v>127338</v>
      </c>
    </row>
    <row r="6" spans="1:16" ht="15" x14ac:dyDescent="0.25">
      <c r="A6" s="57" t="s">
        <v>7</v>
      </c>
      <c r="B6" s="33">
        <f t="shared" ref="B6:O6" si="0">SUM(B4:B5)</f>
        <v>162561</v>
      </c>
      <c r="C6" s="33">
        <f t="shared" si="0"/>
        <v>65</v>
      </c>
      <c r="D6" s="33">
        <f t="shared" si="0"/>
        <v>8167</v>
      </c>
      <c r="E6" s="33">
        <f t="shared" si="0"/>
        <v>15401</v>
      </c>
      <c r="F6" s="33">
        <f t="shared" si="0"/>
        <v>18074</v>
      </c>
      <c r="G6" s="33">
        <f t="shared" ref="G6" si="1">SUM(G4:G5)</f>
        <v>1743</v>
      </c>
      <c r="H6" s="33">
        <f t="shared" si="0"/>
        <v>1955</v>
      </c>
      <c r="I6" s="33">
        <f t="shared" si="0"/>
        <v>13784</v>
      </c>
      <c r="J6" s="33">
        <f t="shared" ref="J6:M6" si="2">SUM(J4:J5)</f>
        <v>6263</v>
      </c>
      <c r="K6" s="33">
        <f t="shared" si="0"/>
        <v>0</v>
      </c>
      <c r="L6" s="33">
        <f t="shared" si="0"/>
        <v>11114</v>
      </c>
      <c r="M6" s="33">
        <f t="shared" si="2"/>
        <v>8645</v>
      </c>
      <c r="N6" s="33">
        <f t="shared" si="0"/>
        <v>14501</v>
      </c>
      <c r="O6" s="33">
        <f t="shared" si="0"/>
        <v>105</v>
      </c>
      <c r="P6" s="273">
        <f>SUM(B6:O6)</f>
        <v>262378</v>
      </c>
    </row>
    <row r="7" spans="1:16" x14ac:dyDescent="0.2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1"/>
    </row>
    <row r="8" spans="1:16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1">
        <f>SUM(B8:O8)</f>
        <v>0</v>
      </c>
    </row>
    <row r="9" spans="1:16" x14ac:dyDescent="0.2">
      <c r="A9" s="59" t="s">
        <v>30</v>
      </c>
      <c r="B9" s="20">
        <f>[3]Delta!$FG$37</f>
        <v>1873</v>
      </c>
      <c r="C9" s="20">
        <f>'[3]Atlantic Southeast'!$FG$37</f>
        <v>0</v>
      </c>
      <c r="D9" s="20">
        <f>[3]Pinnacle!$FG$37</f>
        <v>66</v>
      </c>
      <c r="E9" s="20">
        <f>[3]Compass!$FG$37</f>
        <v>108</v>
      </c>
      <c r="F9" s="20">
        <f>'[3]Sky West'!$FG$37</f>
        <v>113</v>
      </c>
      <c r="G9" s="20">
        <f>'[3]Go Jet'!$FG$37</f>
        <v>7</v>
      </c>
      <c r="H9" s="20">
        <f>'[3]Sun Country'!$FG$37</f>
        <v>9</v>
      </c>
      <c r="I9" s="20">
        <f>[3]Icelandair!$FG$37</f>
        <v>36</v>
      </c>
      <c r="J9" s="20">
        <f>[3]KLM!$FG$37</f>
        <v>38</v>
      </c>
      <c r="K9" s="20">
        <f>'[3]Air Georgian'!$FG$37</f>
        <v>0</v>
      </c>
      <c r="L9" s="20">
        <f>'[3]Sky Regional'!$FG$37</f>
        <v>60</v>
      </c>
      <c r="M9" s="20">
        <f>[3]Condor!$FG$37</f>
        <v>12</v>
      </c>
      <c r="N9" s="20">
        <f>'[3]Air France'!$FG$37</f>
        <v>35</v>
      </c>
      <c r="O9" s="20">
        <f>'[3]Charter Misc'!$FG$37+[3]Ryan!$FG$37+[3]Omni!$FG$37</f>
        <v>0</v>
      </c>
      <c r="P9" s="271">
        <f>SUM(B9:O9)</f>
        <v>2357</v>
      </c>
    </row>
    <row r="10" spans="1:16" x14ac:dyDescent="0.2">
      <c r="A10" s="59" t="s">
        <v>33</v>
      </c>
      <c r="B10" s="14">
        <f>[3]Delta!$FG$38</f>
        <v>1950</v>
      </c>
      <c r="C10" s="14">
        <f>'[3]Atlantic Southeast'!$FG$38</f>
        <v>1</v>
      </c>
      <c r="D10" s="14">
        <f>[3]Pinnacle!$FG$38</f>
        <v>91</v>
      </c>
      <c r="E10" s="14">
        <f>[3]Compass!$FG$38</f>
        <v>112</v>
      </c>
      <c r="F10" s="14">
        <f>'[3]Sky West'!$FG$38</f>
        <v>105</v>
      </c>
      <c r="G10" s="14">
        <f>'[3]Go Jet'!$FG$38</f>
        <v>9</v>
      </c>
      <c r="H10" s="14">
        <f>'[3]Sun Country'!$FG$38</f>
        <v>7</v>
      </c>
      <c r="I10" s="14">
        <f>[3]Icelandair!$FG$38</f>
        <v>45</v>
      </c>
      <c r="J10" s="14">
        <f>[3]KLM!$FG$38</f>
        <v>28</v>
      </c>
      <c r="K10" s="14">
        <f>'[3]Air Georgian'!$FG$38</f>
        <v>0</v>
      </c>
      <c r="L10" s="14">
        <f>'[3]Sky Regional'!$FG$38</f>
        <v>62</v>
      </c>
      <c r="M10" s="14">
        <f>[3]Condor!$FG$38</f>
        <v>5</v>
      </c>
      <c r="N10" s="14">
        <f>'[3]Air France'!$FG$38</f>
        <v>8</v>
      </c>
      <c r="O10" s="14">
        <f>'[3]Charter Misc'!$FG$38+[3]Ryan!$FG$38+[3]Omni!$FG$38</f>
        <v>0</v>
      </c>
      <c r="P10" s="272">
        <f>SUM(B10:O10)</f>
        <v>2423</v>
      </c>
    </row>
    <row r="11" spans="1:16" ht="15.75" thickBot="1" x14ac:dyDescent="0.3">
      <c r="A11" s="60" t="s">
        <v>34</v>
      </c>
      <c r="B11" s="274">
        <f t="shared" ref="B11:H11" si="3">SUM(B9:B10)</f>
        <v>3823</v>
      </c>
      <c r="C11" s="274">
        <f t="shared" si="3"/>
        <v>1</v>
      </c>
      <c r="D11" s="274">
        <f t="shared" si="3"/>
        <v>157</v>
      </c>
      <c r="E11" s="274">
        <f t="shared" si="3"/>
        <v>220</v>
      </c>
      <c r="F11" s="274">
        <f t="shared" si="3"/>
        <v>218</v>
      </c>
      <c r="G11" s="274">
        <f t="shared" ref="G11" si="4">SUM(G9:G10)</f>
        <v>16</v>
      </c>
      <c r="H11" s="274">
        <f t="shared" si="3"/>
        <v>16</v>
      </c>
      <c r="I11" s="274">
        <f t="shared" ref="I11:O11" si="5">SUM(I9:I10)</f>
        <v>81</v>
      </c>
      <c r="J11" s="274">
        <f t="shared" ref="J11" si="6">SUM(J9:J10)</f>
        <v>66</v>
      </c>
      <c r="K11" s="274">
        <f t="shared" si="5"/>
        <v>0</v>
      </c>
      <c r="L11" s="274">
        <f t="shared" ref="L11" si="7">SUM(L9:L10)</f>
        <v>122</v>
      </c>
      <c r="M11" s="274">
        <f t="shared" si="5"/>
        <v>17</v>
      </c>
      <c r="N11" s="274">
        <f t="shared" si="5"/>
        <v>43</v>
      </c>
      <c r="O11" s="274">
        <f t="shared" si="5"/>
        <v>0</v>
      </c>
      <c r="P11" s="275">
        <f>SUM(B11:O11)</f>
        <v>4780</v>
      </c>
    </row>
    <row r="12" spans="1:16" ht="15" x14ac:dyDescent="0.25">
      <c r="A12" s="379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6"/>
    </row>
    <row r="13" spans="1:16" ht="39" thickBot="1" x14ac:dyDescent="0.25">
      <c r="B13" s="12" t="s">
        <v>18</v>
      </c>
      <c r="C13" s="263" t="s">
        <v>192</v>
      </c>
      <c r="D13" s="526" t="s">
        <v>162</v>
      </c>
      <c r="E13" s="263" t="s">
        <v>169</v>
      </c>
      <c r="F13" s="263" t="s">
        <v>170</v>
      </c>
      <c r="G13" s="263" t="s">
        <v>168</v>
      </c>
      <c r="H13" s="263" t="s">
        <v>49</v>
      </c>
      <c r="I13" s="263" t="s">
        <v>116</v>
      </c>
      <c r="J13" s="263" t="s">
        <v>221</v>
      </c>
      <c r="K13" s="263" t="s">
        <v>227</v>
      </c>
      <c r="L13" s="263" t="s">
        <v>228</v>
      </c>
      <c r="M13" s="263" t="s">
        <v>167</v>
      </c>
      <c r="N13" s="263" t="s">
        <v>161</v>
      </c>
      <c r="O13" s="263" t="s">
        <v>142</v>
      </c>
      <c r="P13" s="519" t="s">
        <v>144</v>
      </c>
    </row>
    <row r="14" spans="1:16" ht="16.5" thickTop="1" thickBot="1" x14ac:dyDescent="0.3">
      <c r="A14" s="570" t="s">
        <v>145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2"/>
    </row>
    <row r="15" spans="1:16" ht="13.5" thickTop="1" x14ac:dyDescent="0.2">
      <c r="A15" s="59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59" t="s">
        <v>30</v>
      </c>
      <c r="B16" s="20">
        <f>SUM([3]Delta!$EZ$32:$FG$32)</f>
        <v>629234</v>
      </c>
      <c r="C16" s="20">
        <f>SUM('[3]Atlantic Southeast'!$EZ$32:$FG$32)</f>
        <v>10536</v>
      </c>
      <c r="D16" s="20">
        <f>SUM([3]Pinnacle!$EZ$32:$FG$32)</f>
        <v>37006</v>
      </c>
      <c r="E16" s="20">
        <f>SUM([3]Compass!$EZ$32:$FG$32)</f>
        <v>47910</v>
      </c>
      <c r="F16" s="20">
        <f>SUM('[3]Sky West'!$EZ$32:$FG$32)</f>
        <v>71761</v>
      </c>
      <c r="G16" s="20">
        <f>SUM('[3]Go Jet'!$EZ$32:$FG$32)</f>
        <v>10397</v>
      </c>
      <c r="H16" s="20">
        <f>SUM('[3]Sun Country'!$EZ$32:$FG$32)</f>
        <v>124390</v>
      </c>
      <c r="I16" s="20">
        <f>SUM([3]Icelandair!$EZ$32:$FG$32)</f>
        <v>35524</v>
      </c>
      <c r="J16" s="20">
        <f>SUM([3]KLM!$EZ$32:$FG$32)</f>
        <v>16198</v>
      </c>
      <c r="K16" s="20">
        <f>SUM('[3]Air Georgian'!$EZ$32:$FG$32)</f>
        <v>18847</v>
      </c>
      <c r="L16" s="20">
        <f>SUM('[3]Sky Regional'!$EZ$32:$FG$32)</f>
        <v>15038</v>
      </c>
      <c r="M16" s="20">
        <f>SUM([3]Condor!$EZ$32:$FG$32)</f>
        <v>13473</v>
      </c>
      <c r="N16" s="20">
        <f>SUM('[3]Air France'!$EZ$32:$FG$32)</f>
        <v>27619</v>
      </c>
      <c r="O16" s="20">
        <f>SUM('[3]Charter Misc'!$EZ$32:$FG$32)+SUM([3]Ryan!$EZ$32:$FG$32)+SUM([3]Omni!$EZ$32:$FG$32)</f>
        <v>548</v>
      </c>
      <c r="P16" s="271">
        <f>SUM(B16:O16)</f>
        <v>1058481</v>
      </c>
    </row>
    <row r="17" spans="1:19" x14ac:dyDescent="0.2">
      <c r="A17" s="59" t="s">
        <v>31</v>
      </c>
      <c r="B17" s="14">
        <f>SUM([3]Delta!$EZ$33:$FG$33)</f>
        <v>612914</v>
      </c>
      <c r="C17" s="14">
        <f>SUM('[3]Atlantic Southeast'!$EZ$33:$FG$33)</f>
        <v>10476</v>
      </c>
      <c r="D17" s="14">
        <f>SUM([3]Pinnacle!$EZ$33:$FG$33)</f>
        <v>37784</v>
      </c>
      <c r="E17" s="14">
        <f>SUM([3]Compass!$EZ$33:$FG$33)</f>
        <v>48102</v>
      </c>
      <c r="F17" s="14">
        <f>SUM('[3]Sky West'!$EZ$33:$FG$33)</f>
        <v>70605</v>
      </c>
      <c r="G17" s="14">
        <f>SUM('[3]Go Jet'!$EZ$33:$FG$33)</f>
        <v>10345</v>
      </c>
      <c r="H17" s="14">
        <f>SUM('[3]Sun Country'!$EZ$33:$FG$33)</f>
        <v>118934</v>
      </c>
      <c r="I17" s="14">
        <f>SUM([3]Icelandair!$EZ$33:$FG$33)</f>
        <v>36993</v>
      </c>
      <c r="J17" s="14">
        <f>SUM([3]KLM!$EZ$33:$FG$33)</f>
        <v>15020</v>
      </c>
      <c r="K17" s="14">
        <f>SUM('[3]Air Georgian'!$EZ$33:$FG$33)</f>
        <v>18302</v>
      </c>
      <c r="L17" s="14">
        <f>SUM('[3]Sky Regional'!$EZ$33:$FG$33)</f>
        <v>14075</v>
      </c>
      <c r="M17" s="14">
        <f>SUM([3]Condor!$EZ$33:$FG$33)</f>
        <v>13937</v>
      </c>
      <c r="N17" s="14">
        <f>SUM('[3]Air France'!$EZ$33:$FG$33)</f>
        <v>25420</v>
      </c>
      <c r="O17" s="14">
        <f>SUM('[3]Charter Misc'!$EZ$33:$FG$33)++SUM([3]Ryan!$EZ$33:$FG$33)+SUM([3]Omni!$EZ$33:$FG$33)</f>
        <v>678</v>
      </c>
      <c r="P17" s="272">
        <f>SUM(B17:O17)</f>
        <v>1033585</v>
      </c>
    </row>
    <row r="18" spans="1:19" ht="15" x14ac:dyDescent="0.25">
      <c r="A18" s="57" t="s">
        <v>7</v>
      </c>
      <c r="B18" s="33">
        <f t="shared" ref="B18:O18" si="8">SUM(B16:B17)</f>
        <v>1242148</v>
      </c>
      <c r="C18" s="33">
        <f t="shared" si="8"/>
        <v>21012</v>
      </c>
      <c r="D18" s="33">
        <f t="shared" si="8"/>
        <v>74790</v>
      </c>
      <c r="E18" s="33">
        <f t="shared" si="8"/>
        <v>96012</v>
      </c>
      <c r="F18" s="33">
        <f t="shared" si="8"/>
        <v>142366</v>
      </c>
      <c r="G18" s="33">
        <f t="shared" ref="G18" si="9">SUM(G16:G17)</f>
        <v>20742</v>
      </c>
      <c r="H18" s="33">
        <f t="shared" si="8"/>
        <v>243324</v>
      </c>
      <c r="I18" s="33">
        <f t="shared" si="8"/>
        <v>72517</v>
      </c>
      <c r="J18" s="33">
        <f t="shared" ref="J18:M18" si="10">SUM(J16:J17)</f>
        <v>31218</v>
      </c>
      <c r="K18" s="33">
        <f t="shared" si="8"/>
        <v>37149</v>
      </c>
      <c r="L18" s="33">
        <f t="shared" si="8"/>
        <v>29113</v>
      </c>
      <c r="M18" s="33">
        <f t="shared" si="10"/>
        <v>27410</v>
      </c>
      <c r="N18" s="33">
        <f t="shared" si="8"/>
        <v>53039</v>
      </c>
      <c r="O18" s="33">
        <f t="shared" si="8"/>
        <v>1226</v>
      </c>
      <c r="P18" s="273">
        <f>SUM(B18:O18)</f>
        <v>2092066</v>
      </c>
    </row>
    <row r="19" spans="1:19" x14ac:dyDescent="0.2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1"/>
    </row>
    <row r="20" spans="1:19" x14ac:dyDescent="0.2">
      <c r="A20" s="59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1">
        <f>SUM(B20:O20)</f>
        <v>0</v>
      </c>
    </row>
    <row r="21" spans="1:19" x14ac:dyDescent="0.2">
      <c r="A21" s="59" t="s">
        <v>30</v>
      </c>
      <c r="B21" s="20">
        <f>SUM([3]Delta!$EZ$37:$FG$37)</f>
        <v>16653</v>
      </c>
      <c r="C21" s="20">
        <f>SUM('[3]Atlantic Southeast'!$EZ$37:$FG$37)</f>
        <v>184</v>
      </c>
      <c r="D21" s="20">
        <f>SUM([3]Pinnacle!$EZ$37:$FG$37)</f>
        <v>632</v>
      </c>
      <c r="E21" s="20">
        <f>SUM([3]Compass!$EZ$37:$FG$37)</f>
        <v>685</v>
      </c>
      <c r="F21" s="20">
        <f>SUM('[3]Sky West'!$EZ$37:$FG$37)</f>
        <v>844</v>
      </c>
      <c r="G21" s="20">
        <f>SUM('[3]Go Jet'!$EZ$37:$FG$37)</f>
        <v>154</v>
      </c>
      <c r="H21" s="20">
        <f>SUM('[3]Sun Country'!$EZ$37:$FG$37)</f>
        <v>845</v>
      </c>
      <c r="I21" s="20">
        <f>SUM([3]Icelandair!$EZ$37:$FG$37)</f>
        <v>355</v>
      </c>
      <c r="J21" s="20">
        <f>SUM([3]KLM!$EZ$37:$FG$37)</f>
        <v>100</v>
      </c>
      <c r="K21" s="20">
        <f>SUM('[3]Air Georgian'!$EZ$37:$FG$37)</f>
        <v>0</v>
      </c>
      <c r="L21" s="20">
        <f>SUM('[3]Sky Regional'!$EZ$37:$FG$37)</f>
        <v>150</v>
      </c>
      <c r="M21" s="20">
        <f>SUM([3]Condor!$EZ$37:$FG$37)</f>
        <v>118</v>
      </c>
      <c r="N21" s="20">
        <f>SUM('[3]Air France'!$EZ$37:$FG$37)</f>
        <v>79</v>
      </c>
      <c r="O21" s="20">
        <f>SUM('[3]Charter Misc'!$EZ$37:$FG$37)++SUM([3]Ryan!$EZ$37:$FG$37)+SUM([3]Omni!$EZ$37:$FG$37)</f>
        <v>0</v>
      </c>
      <c r="P21" s="271">
        <f>SUM(B21:O21)</f>
        <v>20799</v>
      </c>
    </row>
    <row r="22" spans="1:19" x14ac:dyDescent="0.2">
      <c r="A22" s="59" t="s">
        <v>33</v>
      </c>
      <c r="B22" s="14">
        <f>SUM([3]Delta!$EZ$38:$FG$38)</f>
        <v>16678</v>
      </c>
      <c r="C22" s="14">
        <f>SUM('[3]Atlantic Southeast'!$EZ$38:$FG$38)</f>
        <v>141</v>
      </c>
      <c r="D22" s="14">
        <f>SUM([3]Pinnacle!$EZ$38:$FG$38)</f>
        <v>692</v>
      </c>
      <c r="E22" s="14">
        <f>SUM([3]Compass!$EZ$38:$FG$38)</f>
        <v>741</v>
      </c>
      <c r="F22" s="14">
        <f>SUM('[3]Sky West'!$EZ$38:$FG$38)</f>
        <v>689</v>
      </c>
      <c r="G22" s="14">
        <f>SUM('[3]Go Jet'!$EZ$38:$FG$38)</f>
        <v>131</v>
      </c>
      <c r="H22" s="14">
        <f>SUM('[3]Sun Country'!$EZ$38:$FG$38)</f>
        <v>1023</v>
      </c>
      <c r="I22" s="14">
        <f>SUM([3]Icelandair!$EZ$38:$FG$38)</f>
        <v>439</v>
      </c>
      <c r="J22" s="14">
        <f>SUM([3]KLM!$EZ$38:$FG$38)</f>
        <v>105</v>
      </c>
      <c r="K22" s="14">
        <f>SUM('[3]Air Georgian'!$EZ$38:$FG$38)</f>
        <v>0</v>
      </c>
      <c r="L22" s="14">
        <f>SUM('[3]Sky Regional'!$EZ$38:$FG$38)</f>
        <v>156</v>
      </c>
      <c r="M22" s="14">
        <f>SUM([3]Condor!$EZ$38:$FG$38)</f>
        <v>115</v>
      </c>
      <c r="N22" s="14">
        <f>SUM('[3]Air France'!$EZ$38:$FG$38)</f>
        <v>38</v>
      </c>
      <c r="O22" s="14">
        <f>SUM('[3]Charter Misc'!$EZ$38:$FG$38)++SUM([3]Ryan!$EZ$38:$FG$38)+SUM([3]Omni!$EZ$38:$FG$38)</f>
        <v>0</v>
      </c>
      <c r="P22" s="272">
        <f>SUM(B22:O22)</f>
        <v>20948</v>
      </c>
    </row>
    <row r="23" spans="1:19" ht="15.75" thickBot="1" x14ac:dyDescent="0.3">
      <c r="A23" s="60" t="s">
        <v>34</v>
      </c>
      <c r="B23" s="274">
        <f t="shared" ref="B23:O23" si="11">SUM(B21:B22)</f>
        <v>33331</v>
      </c>
      <c r="C23" s="274">
        <f t="shared" si="11"/>
        <v>325</v>
      </c>
      <c r="D23" s="274">
        <f t="shared" si="11"/>
        <v>1324</v>
      </c>
      <c r="E23" s="274">
        <f t="shared" si="11"/>
        <v>1426</v>
      </c>
      <c r="F23" s="274">
        <f t="shared" si="11"/>
        <v>1533</v>
      </c>
      <c r="G23" s="274">
        <f t="shared" ref="G23" si="12">SUM(G21:G22)</f>
        <v>285</v>
      </c>
      <c r="H23" s="274">
        <f t="shared" si="11"/>
        <v>1868</v>
      </c>
      <c r="I23" s="274">
        <f t="shared" si="11"/>
        <v>794</v>
      </c>
      <c r="J23" s="274">
        <f t="shared" ref="J23:M23" si="13">SUM(J21:J22)</f>
        <v>205</v>
      </c>
      <c r="K23" s="274">
        <f t="shared" si="11"/>
        <v>0</v>
      </c>
      <c r="L23" s="274">
        <f t="shared" si="11"/>
        <v>306</v>
      </c>
      <c r="M23" s="274">
        <f t="shared" si="13"/>
        <v>233</v>
      </c>
      <c r="N23" s="274">
        <f t="shared" si="11"/>
        <v>117</v>
      </c>
      <c r="O23" s="274">
        <f t="shared" si="11"/>
        <v>0</v>
      </c>
      <c r="P23" s="275">
        <f>SUM(B23:O23)</f>
        <v>41747</v>
      </c>
    </row>
    <row r="25" spans="1:19" ht="39" thickBot="1" x14ac:dyDescent="0.25">
      <c r="B25" s="12" t="s">
        <v>18</v>
      </c>
      <c r="C25" s="263" t="s">
        <v>192</v>
      </c>
      <c r="D25" s="526" t="s">
        <v>162</v>
      </c>
      <c r="E25" s="263" t="s">
        <v>169</v>
      </c>
      <c r="F25" s="263" t="s">
        <v>170</v>
      </c>
      <c r="G25" s="263" t="s">
        <v>168</v>
      </c>
      <c r="H25" s="263" t="s">
        <v>49</v>
      </c>
      <c r="I25" s="263" t="s">
        <v>116</v>
      </c>
      <c r="J25" s="263" t="s">
        <v>221</v>
      </c>
      <c r="K25" s="263" t="s">
        <v>227</v>
      </c>
      <c r="L25" s="263" t="s">
        <v>228</v>
      </c>
      <c r="M25" s="263" t="s">
        <v>167</v>
      </c>
      <c r="N25" s="263" t="s">
        <v>161</v>
      </c>
      <c r="O25" s="263" t="s">
        <v>142</v>
      </c>
      <c r="P25" s="519" t="s">
        <v>21</v>
      </c>
    </row>
    <row r="26" spans="1:19" ht="16.5" thickTop="1" thickBot="1" x14ac:dyDescent="0.3">
      <c r="A26" s="573" t="s">
        <v>146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5"/>
    </row>
    <row r="27" spans="1:19" ht="13.5" thickTop="1" x14ac:dyDescent="0.2">
      <c r="A27" s="59" t="s">
        <v>22</v>
      </c>
      <c r="B27" s="20">
        <f>[3]Delta!$FG$15</f>
        <v>449</v>
      </c>
      <c r="C27" s="20">
        <f>'[3]Atlantic Southeast'!$FG$15</f>
        <v>0</v>
      </c>
      <c r="D27" s="20">
        <f>[3]Pinnacle!$FG$15</f>
        <v>57</v>
      </c>
      <c r="E27" s="20">
        <f>[3]Compass!$FG$15</f>
        <v>111</v>
      </c>
      <c r="F27" s="20">
        <f>'[3]Sky West'!$FG$15</f>
        <v>142</v>
      </c>
      <c r="G27" s="20">
        <f>'[3]Go Jet'!$FG$15</f>
        <v>13</v>
      </c>
      <c r="H27" s="20">
        <f>'[3]Sun Country'!$FG$15</f>
        <v>5</v>
      </c>
      <c r="I27" s="20">
        <f>[3]Icelandair!$FG$15</f>
        <v>31</v>
      </c>
      <c r="J27" s="20">
        <f>[3]KLM!$FG$15</f>
        <v>13</v>
      </c>
      <c r="K27" s="20">
        <f>'[3]Air Georgian'!$FG$15</f>
        <v>0</v>
      </c>
      <c r="L27" s="20">
        <f>'[3]Sky Regional'!$FG$15</f>
        <v>89</v>
      </c>
      <c r="M27" s="20">
        <f>[3]Condor!$FG$15</f>
        <v>18</v>
      </c>
      <c r="N27" s="20">
        <f>'[3]Air France'!$FG$15</f>
        <v>30</v>
      </c>
      <c r="O27" s="20">
        <f>'[3]Charter Misc'!$FG$15+[3]Ryan!$FG$15+[3]Omni!$FG$15</f>
        <v>0</v>
      </c>
      <c r="P27" s="271">
        <f>SUM(B27:O27)</f>
        <v>958</v>
      </c>
      <c r="R27" s="502"/>
      <c r="S27" s="502"/>
    </row>
    <row r="28" spans="1:19" x14ac:dyDescent="0.2">
      <c r="A28" s="59" t="s">
        <v>23</v>
      </c>
      <c r="B28" s="20">
        <f>[3]Delta!$FG$16</f>
        <v>451</v>
      </c>
      <c r="C28" s="20">
        <f>'[3]Atlantic Southeast'!$FG$16</f>
        <v>1</v>
      </c>
      <c r="D28" s="20">
        <f>[3]Pinnacle!$FG$16</f>
        <v>67</v>
      </c>
      <c r="E28" s="20">
        <f>[3]Compass!$FG$16</f>
        <v>112</v>
      </c>
      <c r="F28" s="20">
        <f>'[3]Sky West'!$FG$16</f>
        <v>128</v>
      </c>
      <c r="G28" s="20">
        <f>'[3]Go Jet'!$FG$16</f>
        <v>13</v>
      </c>
      <c r="H28" s="20">
        <f>'[3]Sun Country'!$FG$16</f>
        <v>7</v>
      </c>
      <c r="I28" s="20">
        <f>[3]Icelandair!$FG$16</f>
        <v>31</v>
      </c>
      <c r="J28" s="20">
        <f>[3]KLM!$FG$16</f>
        <v>13</v>
      </c>
      <c r="K28" s="20">
        <f>'[3]Air Georgian'!$FG$16</f>
        <v>0</v>
      </c>
      <c r="L28" s="20">
        <f>'[3]Sky Regional'!$FG$16</f>
        <v>89</v>
      </c>
      <c r="M28" s="20">
        <f>[3]Condor!$FG$16</f>
        <v>18</v>
      </c>
      <c r="N28" s="20">
        <f>'[3]Air France'!$FG$16</f>
        <v>30</v>
      </c>
      <c r="O28" s="20">
        <f>'[3]Charter Misc'!$FG$16+[3]Ryan!$FG$16+[3]Omni!$FG$16</f>
        <v>0</v>
      </c>
      <c r="P28" s="271">
        <f>SUM(B28:O28)</f>
        <v>960</v>
      </c>
      <c r="R28" s="501"/>
      <c r="S28" s="501"/>
    </row>
    <row r="29" spans="1:19" x14ac:dyDescent="0.2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1"/>
    </row>
    <row r="30" spans="1:19" ht="15.75" thickBot="1" x14ac:dyDescent="0.3">
      <c r="A30" s="60" t="s">
        <v>28</v>
      </c>
      <c r="B30" s="377">
        <f t="shared" ref="B30:K30" si="14">SUM(B27:B28)</f>
        <v>900</v>
      </c>
      <c r="C30" s="377">
        <f t="shared" si="14"/>
        <v>1</v>
      </c>
      <c r="D30" s="377">
        <f t="shared" si="14"/>
        <v>124</v>
      </c>
      <c r="E30" s="377">
        <f t="shared" si="14"/>
        <v>223</v>
      </c>
      <c r="F30" s="377">
        <f>SUM(F27:F28)</f>
        <v>270</v>
      </c>
      <c r="G30" s="377">
        <f>SUM(G27:G28)</f>
        <v>26</v>
      </c>
      <c r="H30" s="377">
        <f t="shared" si="14"/>
        <v>12</v>
      </c>
      <c r="I30" s="377">
        <f t="shared" si="14"/>
        <v>62</v>
      </c>
      <c r="J30" s="377">
        <f>SUM(J27:J28)</f>
        <v>26</v>
      </c>
      <c r="K30" s="377">
        <f t="shared" si="14"/>
        <v>0</v>
      </c>
      <c r="L30" s="377">
        <f>SUM(L27:L28)</f>
        <v>178</v>
      </c>
      <c r="M30" s="377">
        <f>SUM(M27:M28)</f>
        <v>36</v>
      </c>
      <c r="N30" s="377">
        <f>SUM(N27:N28)</f>
        <v>60</v>
      </c>
      <c r="O30" s="377">
        <f>SUM(O27:O28)</f>
        <v>0</v>
      </c>
      <c r="P30" s="378">
        <f>SUM(B30:O30)</f>
        <v>1918</v>
      </c>
    </row>
    <row r="31" spans="1:19" ht="15" x14ac:dyDescent="0.25">
      <c r="A31" s="379"/>
    </row>
    <row r="32" spans="1:19" ht="39" thickBot="1" x14ac:dyDescent="0.25">
      <c r="B32" s="12" t="s">
        <v>18</v>
      </c>
      <c r="C32" s="263" t="s">
        <v>192</v>
      </c>
      <c r="D32" s="526" t="s">
        <v>162</v>
      </c>
      <c r="E32" s="263" t="s">
        <v>169</v>
      </c>
      <c r="F32" s="263" t="s">
        <v>170</v>
      </c>
      <c r="G32" s="263" t="s">
        <v>168</v>
      </c>
      <c r="H32" s="263" t="s">
        <v>49</v>
      </c>
      <c r="I32" s="263" t="s">
        <v>116</v>
      </c>
      <c r="J32" s="263" t="s">
        <v>221</v>
      </c>
      <c r="K32" s="263" t="s">
        <v>227</v>
      </c>
      <c r="L32" s="263" t="s">
        <v>228</v>
      </c>
      <c r="M32" s="263" t="s">
        <v>167</v>
      </c>
      <c r="N32" s="263" t="s">
        <v>161</v>
      </c>
      <c r="O32" s="263" t="s">
        <v>142</v>
      </c>
      <c r="P32" s="263" t="s">
        <v>144</v>
      </c>
    </row>
    <row r="33" spans="1:16" ht="16.5" thickTop="1" thickBot="1" x14ac:dyDescent="0.3">
      <c r="A33" s="576" t="s">
        <v>147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8"/>
    </row>
    <row r="34" spans="1:16" ht="13.5" thickTop="1" x14ac:dyDescent="0.2">
      <c r="A34" s="59" t="s">
        <v>22</v>
      </c>
      <c r="B34" s="20">
        <f>SUM([3]Delta!$EZ$15:$FG$15)</f>
        <v>3626</v>
      </c>
      <c r="C34" s="20">
        <f>SUM('[3]Atlantic Southeast'!$EZ$15:$FG$15)</f>
        <v>166</v>
      </c>
      <c r="D34" s="20">
        <f>SUM([3]Pinnacle!$EZ$15:$FG$15)</f>
        <v>596</v>
      </c>
      <c r="E34" s="20">
        <f>SUM([3]Compass!$EZ$15:$FG$15)</f>
        <v>749</v>
      </c>
      <c r="F34" s="20">
        <f>SUM('[3]Sky West'!$EZ$15:$FG$15)</f>
        <v>1160</v>
      </c>
      <c r="G34" s="20">
        <f>SUM('[3]Go Jet'!$EZ$15:$FG$15)</f>
        <v>186</v>
      </c>
      <c r="H34" s="20">
        <f>SUM('[3]Sun Country'!$EZ$15:$FG$15)</f>
        <v>1052</v>
      </c>
      <c r="I34" s="20">
        <f>SUM([3]Icelandair!$EZ$15:$FG$15)</f>
        <v>191</v>
      </c>
      <c r="J34" s="20">
        <f>SUM([3]KLM!$EZ$15:$FG$15)</f>
        <v>66</v>
      </c>
      <c r="K34" s="20">
        <f>SUM('[3]Air Georgian'!$EZ$15:$FG$15)</f>
        <v>467</v>
      </c>
      <c r="L34" s="20">
        <f>SUM('[3]Sky Regional'!$EZ$15:$FG$15)</f>
        <v>232</v>
      </c>
      <c r="M34" s="20">
        <f>SUM([3]Condor!$EZ$15:$FG$15)</f>
        <v>59</v>
      </c>
      <c r="N34" s="20">
        <f>SUM('[3]Air France'!$EZ$15:$FG$15)</f>
        <v>107</v>
      </c>
      <c r="O34" s="20">
        <f>SUM('[3]Charter Misc'!$EZ$15:$FG$15)+SUM([3]Ryan!$EZ$15:$FG$15)+SUM([3]Omni!$EZ$15:$FG$15)</f>
        <v>3</v>
      </c>
      <c r="P34" s="271">
        <f>SUM(B34:O34)</f>
        <v>8660</v>
      </c>
    </row>
    <row r="35" spans="1:16" x14ac:dyDescent="0.2">
      <c r="A35" s="59" t="s">
        <v>23</v>
      </c>
      <c r="B35" s="20">
        <f>SUM([3]Delta!$EZ$16:$FG$16)</f>
        <v>3634</v>
      </c>
      <c r="C35" s="20">
        <f>SUM('[3]Atlantic Southeast'!$EZ$16:$FG$16)</f>
        <v>164</v>
      </c>
      <c r="D35" s="20">
        <f>SUM([3]Pinnacle!$EZ$16:$FG$16)</f>
        <v>606</v>
      </c>
      <c r="E35" s="20">
        <f>SUM([3]Compass!$EZ$16:$FG$16)</f>
        <v>746</v>
      </c>
      <c r="F35" s="20">
        <f>SUM('[3]Sky West'!$EZ$16:$FG$16)</f>
        <v>1141</v>
      </c>
      <c r="G35" s="20">
        <f>SUM('[3]Go Jet'!$EZ$16:$FG$16)</f>
        <v>185</v>
      </c>
      <c r="H35" s="20">
        <f>SUM('[3]Sun Country'!$EZ$16:$FG$16)</f>
        <v>1040</v>
      </c>
      <c r="I35" s="20">
        <f>SUM([3]Icelandair!$EZ$16:$FG$16)</f>
        <v>191</v>
      </c>
      <c r="J35" s="20">
        <f>SUM([3]KLM!$EZ$16:$FG$16)</f>
        <v>66</v>
      </c>
      <c r="K35" s="20">
        <f>SUM('[3]Air Georgian'!$EZ$16:$FG$16)</f>
        <v>468</v>
      </c>
      <c r="L35" s="20">
        <f>SUM('[3]Sky Regional'!$EZ$16:$FG$16)</f>
        <v>232</v>
      </c>
      <c r="M35" s="20">
        <f>SUM([3]Condor!$EZ$16:$FG$16)</f>
        <v>59</v>
      </c>
      <c r="N35" s="20">
        <f>SUM('[3]Air France'!$EZ$16:$FG$16)</f>
        <v>107</v>
      </c>
      <c r="O35" s="20">
        <f>SUM('[3]Charter Misc'!$EZ$16:$FG$16)+SUM([3]Ryan!$EZ$16:$FG$16)+SUM([3]Omni!$EZ$16:$FG$16)</f>
        <v>5</v>
      </c>
      <c r="P35" s="271">
        <f>SUM(B35:O35)</f>
        <v>8644</v>
      </c>
    </row>
    <row r="36" spans="1:16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1"/>
    </row>
    <row r="37" spans="1:16" ht="15.75" thickBot="1" x14ac:dyDescent="0.3">
      <c r="A37" s="60" t="s">
        <v>28</v>
      </c>
      <c r="B37" s="377">
        <f t="shared" ref="B37:K37" si="15">+SUM(B34:B35)</f>
        <v>7260</v>
      </c>
      <c r="C37" s="377">
        <f t="shared" si="15"/>
        <v>330</v>
      </c>
      <c r="D37" s="377">
        <f t="shared" si="15"/>
        <v>1202</v>
      </c>
      <c r="E37" s="377">
        <f t="shared" si="15"/>
        <v>1495</v>
      </c>
      <c r="F37" s="377">
        <f>+SUM(F34:F35)</f>
        <v>2301</v>
      </c>
      <c r="G37" s="377">
        <f>+SUM(G34:G35)</f>
        <v>371</v>
      </c>
      <c r="H37" s="377">
        <f t="shared" si="15"/>
        <v>2092</v>
      </c>
      <c r="I37" s="377">
        <f t="shared" si="15"/>
        <v>382</v>
      </c>
      <c r="J37" s="377">
        <f>+SUM(J34:J35)</f>
        <v>132</v>
      </c>
      <c r="K37" s="377">
        <f t="shared" si="15"/>
        <v>935</v>
      </c>
      <c r="L37" s="377">
        <f>+SUM(L34:L35)</f>
        <v>464</v>
      </c>
      <c r="M37" s="377">
        <f>+SUM(M34:M35)</f>
        <v>118</v>
      </c>
      <c r="N37" s="377">
        <f>+SUM(N34:N35)</f>
        <v>214</v>
      </c>
      <c r="O37" s="377">
        <f>+SUM(O34:O35)</f>
        <v>8</v>
      </c>
      <c r="P37" s="378">
        <f>SUM(B37:O37)</f>
        <v>17304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&amp;"Arial,Bold"August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1"/>
  <sheetViews>
    <sheetView zoomScaleNormal="100" zoomScaleSheetLayoutView="85" workbookViewId="0">
      <selection activeCell="C19" sqref="C19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" style="2" bestFit="1" customWidth="1"/>
    <col min="5" max="5" width="8.85546875" style="3" bestFit="1" customWidth="1"/>
    <col min="6" max="6" width="8.7109375" style="218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9.85546875" style="225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7" customFormat="1" ht="26.25" thickBot="1" x14ac:dyDescent="0.25">
      <c r="A1" s="582" t="s">
        <v>135</v>
      </c>
      <c r="B1" s="583"/>
      <c r="C1" s="452" t="s">
        <v>201</v>
      </c>
      <c r="D1" s="453" t="s">
        <v>175</v>
      </c>
      <c r="E1" s="258" t="s">
        <v>98</v>
      </c>
      <c r="F1" s="257" t="s">
        <v>202</v>
      </c>
      <c r="G1" s="453" t="s">
        <v>176</v>
      </c>
      <c r="H1" s="256" t="s">
        <v>99</v>
      </c>
      <c r="I1" s="258" t="s">
        <v>140</v>
      </c>
      <c r="J1" s="588" t="s">
        <v>139</v>
      </c>
      <c r="K1" s="589"/>
      <c r="L1" s="450" t="s">
        <v>203</v>
      </c>
      <c r="M1" s="451" t="s">
        <v>177</v>
      </c>
      <c r="N1" s="335" t="s">
        <v>99</v>
      </c>
      <c r="O1" s="491" t="s">
        <v>204</v>
      </c>
      <c r="P1" s="259" t="s">
        <v>178</v>
      </c>
      <c r="Q1" s="487" t="s">
        <v>99</v>
      </c>
      <c r="R1" s="492" t="s">
        <v>215</v>
      </c>
    </row>
    <row r="2" spans="1:19" s="217" customFormat="1" ht="13.5" customHeight="1" thickBot="1" x14ac:dyDescent="0.25">
      <c r="A2" s="584">
        <v>42948</v>
      </c>
      <c r="B2" s="585"/>
      <c r="C2" s="586" t="s">
        <v>9</v>
      </c>
      <c r="D2" s="587"/>
      <c r="E2" s="587"/>
      <c r="F2" s="587"/>
      <c r="G2" s="587"/>
      <c r="H2" s="587"/>
      <c r="I2" s="454"/>
      <c r="J2" s="584">
        <f>+A2</f>
        <v>42948</v>
      </c>
      <c r="K2" s="585"/>
      <c r="L2" s="579" t="s">
        <v>141</v>
      </c>
      <c r="M2" s="580"/>
      <c r="N2" s="580"/>
      <c r="O2" s="580"/>
      <c r="P2" s="580"/>
      <c r="Q2" s="580"/>
      <c r="R2" s="581"/>
    </row>
    <row r="3" spans="1:19" x14ac:dyDescent="0.2">
      <c r="A3" s="336"/>
      <c r="B3" s="337"/>
      <c r="C3" s="338"/>
      <c r="D3" s="339"/>
      <c r="E3" s="340"/>
      <c r="F3" s="407"/>
      <c r="G3" s="408"/>
      <c r="H3" s="484"/>
      <c r="I3" s="340"/>
      <c r="J3" s="341"/>
      <c r="K3" s="337"/>
      <c r="L3" s="493"/>
      <c r="M3" s="5"/>
      <c r="N3" s="82"/>
      <c r="O3" s="336"/>
      <c r="P3" s="342"/>
      <c r="Q3" s="342"/>
      <c r="R3" s="337"/>
    </row>
    <row r="4" spans="1:19" ht="14.1" customHeight="1" x14ac:dyDescent="0.2">
      <c r="A4" s="343" t="s">
        <v>101</v>
      </c>
      <c r="B4" s="53"/>
      <c r="C4" s="344">
        <f>SUM(C5:C8)</f>
        <v>178</v>
      </c>
      <c r="D4" s="346">
        <f>SUM(D5:D8)</f>
        <v>246</v>
      </c>
      <c r="E4" s="347">
        <f>(C4-D4)/D4</f>
        <v>-0.27642276422764228</v>
      </c>
      <c r="F4" s="344">
        <f>SUM(F5:F8)</f>
        <v>1399</v>
      </c>
      <c r="G4" s="346">
        <f>SUM(G5:G8)</f>
        <v>1402</v>
      </c>
      <c r="H4" s="345">
        <f>(F4-G4)/G4</f>
        <v>-2.1398002853067048E-3</v>
      </c>
      <c r="I4" s="347">
        <f>F4/$F$67</f>
        <v>5.4589796117451954E-3</v>
      </c>
      <c r="J4" s="343" t="s">
        <v>101</v>
      </c>
      <c r="K4" s="53"/>
      <c r="L4" s="344">
        <f>SUM(L5:L8)</f>
        <v>11114</v>
      </c>
      <c r="M4" s="346">
        <f>SUM(M5:M8)</f>
        <v>10540</v>
      </c>
      <c r="N4" s="347">
        <f>(L4-M4)/M4</f>
        <v>5.445920303605313E-2</v>
      </c>
      <c r="O4" s="344">
        <f>SUM(O5:O8)</f>
        <v>66262</v>
      </c>
      <c r="P4" s="346">
        <f>SUM(P5:P8)</f>
        <v>57365</v>
      </c>
      <c r="Q4" s="345">
        <f>(O4-P4)/P4</f>
        <v>0.15509456985967054</v>
      </c>
      <c r="R4" s="347">
        <f>O4/$O$67</f>
        <v>2.6491853960806432E-3</v>
      </c>
      <c r="S4" s="19"/>
    </row>
    <row r="5" spans="1:19" ht="14.1" customHeight="1" x14ac:dyDescent="0.2">
      <c r="A5" s="343"/>
      <c r="B5" s="423" t="s">
        <v>101</v>
      </c>
      <c r="C5" s="348">
        <v>0</v>
      </c>
      <c r="D5" s="9">
        <v>0</v>
      </c>
      <c r="E5" s="83" t="e">
        <f>(C5-D5)/D5</f>
        <v>#DIV/0!</v>
      </c>
      <c r="F5" s="285">
        <v>0</v>
      </c>
      <c r="G5" s="285">
        <v>0</v>
      </c>
      <c r="H5" s="430" t="e">
        <f>(F5-G5)/G5</f>
        <v>#DIV/0!</v>
      </c>
      <c r="I5" s="83">
        <f>F5/$F$67</f>
        <v>0</v>
      </c>
      <c r="J5" s="343"/>
      <c r="K5" s="423" t="s">
        <v>101</v>
      </c>
      <c r="L5" s="429">
        <v>0</v>
      </c>
      <c r="M5" s="285">
        <v>0</v>
      </c>
      <c r="N5" s="431" t="e">
        <f>(L5-M5)/M5</f>
        <v>#DIV/0!</v>
      </c>
      <c r="O5" s="429">
        <v>0</v>
      </c>
      <c r="P5" s="285">
        <v>0</v>
      </c>
      <c r="Q5" s="430" t="e">
        <f>(O5-P5)/P5</f>
        <v>#DIV/0!</v>
      </c>
      <c r="R5" s="431">
        <f>O5/$O$67</f>
        <v>0</v>
      </c>
      <c r="S5" s="19"/>
    </row>
    <row r="6" spans="1:19" ht="14.1" customHeight="1" x14ac:dyDescent="0.2">
      <c r="A6" s="343"/>
      <c r="B6" s="448" t="s">
        <v>179</v>
      </c>
      <c r="C6" s="429">
        <f>'[3]Jazz Air'!$FG$19</f>
        <v>0</v>
      </c>
      <c r="D6" s="285">
        <f>'[3]Jazz Air'!$ES$19</f>
        <v>0</v>
      </c>
      <c r="E6" s="431" t="e">
        <f>(C6-D6)/D6</f>
        <v>#DIV/0!</v>
      </c>
      <c r="F6" s="285">
        <f>SUM('[3]Jazz Air'!$EZ$19:$FG$19)</f>
        <v>0</v>
      </c>
      <c r="G6" s="285">
        <f>SUM('[3]Jazz Air'!$EL$19:$ES$19)</f>
        <v>185</v>
      </c>
      <c r="H6" s="430">
        <f>(F6-G6)/G6</f>
        <v>-1</v>
      </c>
      <c r="I6" s="431">
        <f>F6/$F$67</f>
        <v>0</v>
      </c>
      <c r="J6" s="432"/>
      <c r="K6" s="423" t="s">
        <v>179</v>
      </c>
      <c r="L6" s="429">
        <f>'[3]Jazz Air'!$FG$41</f>
        <v>0</v>
      </c>
      <c r="M6" s="285">
        <f>'[3]Jazz Air'!$ES$41</f>
        <v>0</v>
      </c>
      <c r="N6" s="431" t="e">
        <f>(L6-M6)/M6</f>
        <v>#DIV/0!</v>
      </c>
      <c r="O6" s="429">
        <f>SUM('[3]Jazz Air'!$EZ$41:$FG$41)</f>
        <v>0</v>
      </c>
      <c r="P6" s="285">
        <f>SUM('[3]Jazz Air'!$EL$41:$ES$41)</f>
        <v>6759</v>
      </c>
      <c r="Q6" s="430">
        <f>(O6-P6)/P6</f>
        <v>-1</v>
      </c>
      <c r="R6" s="431">
        <f>O6/$O$67</f>
        <v>0</v>
      </c>
      <c r="S6" s="19"/>
    </row>
    <row r="7" spans="1:19" ht="14.1" customHeight="1" x14ac:dyDescent="0.2">
      <c r="A7" s="343"/>
      <c r="B7" s="423" t="s">
        <v>180</v>
      </c>
      <c r="C7" s="348">
        <f>'[3]Air Georgian'!$FG$19</f>
        <v>0</v>
      </c>
      <c r="D7" s="9">
        <f>'[3]Air Georgian'!$ES$19</f>
        <v>246</v>
      </c>
      <c r="E7" s="83">
        <f>(C7-D7)/D7</f>
        <v>-1</v>
      </c>
      <c r="F7" s="285">
        <f>SUM('[3]Air Georgian'!$EZ$19:$FG$19)</f>
        <v>935</v>
      </c>
      <c r="G7" s="285">
        <f>SUM('[3]Air Georgian'!$EL$19:$ES$19)</f>
        <v>1217</v>
      </c>
      <c r="H7" s="430">
        <f>(F7-G7)/G7</f>
        <v>-0.23171733771569433</v>
      </c>
      <c r="I7" s="83">
        <f>F7/$F$67</f>
        <v>3.6484245439469321E-3</v>
      </c>
      <c r="J7" s="343"/>
      <c r="K7" s="423" t="s">
        <v>180</v>
      </c>
      <c r="L7" s="348">
        <f>'[3]Air Georgian'!$FG$41</f>
        <v>0</v>
      </c>
      <c r="M7" s="9">
        <f>'[3]Air Georgian'!$ES$41</f>
        <v>10540</v>
      </c>
      <c r="N7" s="83">
        <f>(L7-M7)/M7</f>
        <v>-1</v>
      </c>
      <c r="O7" s="348">
        <f>SUM('[3]Air Georgian'!$EZ$41:$FG$41)</f>
        <v>37149</v>
      </c>
      <c r="P7" s="9">
        <f>SUM('[3]Air Georgian'!$EL$41:$ES$41)</f>
        <v>50606</v>
      </c>
      <c r="Q7" s="38">
        <f>(O7-P7)/P7</f>
        <v>-0.26591708493064065</v>
      </c>
      <c r="R7" s="83">
        <f>O7/$O$67</f>
        <v>1.4852341957532194E-3</v>
      </c>
      <c r="S7" s="19"/>
    </row>
    <row r="8" spans="1:19" ht="14.1" customHeight="1" x14ac:dyDescent="0.2">
      <c r="A8" s="343"/>
      <c r="B8" s="423" t="s">
        <v>224</v>
      </c>
      <c r="C8" s="348">
        <f>'[3]Sky Regional'!$FG$19</f>
        <v>178</v>
      </c>
      <c r="D8" s="9">
        <f>'[3]Sky Regional'!$ES$19</f>
        <v>0</v>
      </c>
      <c r="E8" s="83" t="e">
        <f>(C8-D8)/D8</f>
        <v>#DIV/0!</v>
      </c>
      <c r="F8" s="285">
        <f>SUM('[3]Sky Regional'!$EZ$19:$FG$19)</f>
        <v>464</v>
      </c>
      <c r="G8" s="285">
        <f>SUM('[3]Sky Regional'!$EL$19:$ES$19)</f>
        <v>0</v>
      </c>
      <c r="H8" s="430" t="e">
        <f>(F8-G8)/G8</f>
        <v>#DIV/0!</v>
      </c>
      <c r="I8" s="83">
        <f>F8/$F$67</f>
        <v>1.8105550677982637E-3</v>
      </c>
      <c r="J8" s="343"/>
      <c r="K8" s="423" t="s">
        <v>224</v>
      </c>
      <c r="L8" s="348">
        <f>'[3]Sky Regional'!$FG$41</f>
        <v>11114</v>
      </c>
      <c r="M8" s="9">
        <f>'[3]Sky Regional'!$ES$41</f>
        <v>0</v>
      </c>
      <c r="N8" s="83" t="e">
        <f>(L8-M8)/M8</f>
        <v>#DIV/0!</v>
      </c>
      <c r="O8" s="348">
        <f>SUM('[3]Sky Regional'!$EZ$41:$FG$41)</f>
        <v>29113</v>
      </c>
      <c r="P8" s="9">
        <f>SUM('[3]Sky Regional'!$EL$41:$ES$41)</f>
        <v>0</v>
      </c>
      <c r="Q8" s="38" t="e">
        <f>(O8-P8)/P8</f>
        <v>#DIV/0!</v>
      </c>
      <c r="R8" s="83">
        <f>O8/$O$67</f>
        <v>1.163951200327424E-3</v>
      </c>
      <c r="S8" s="19"/>
    </row>
    <row r="9" spans="1:19" ht="14.1" customHeight="1" x14ac:dyDescent="0.2">
      <c r="A9" s="343"/>
      <c r="B9" s="53"/>
      <c r="C9" s="344"/>
      <c r="D9" s="346"/>
      <c r="E9" s="347"/>
      <c r="F9" s="346"/>
      <c r="G9" s="346"/>
      <c r="H9" s="345"/>
      <c r="I9" s="347"/>
      <c r="J9" s="343"/>
      <c r="K9" s="53"/>
      <c r="L9" s="348"/>
      <c r="M9" s="9"/>
      <c r="N9" s="83"/>
      <c r="O9" s="348"/>
      <c r="P9" s="9"/>
      <c r="Q9" s="38"/>
      <c r="R9" s="83"/>
      <c r="S9" s="19"/>
    </row>
    <row r="10" spans="1:19" ht="14.1" customHeight="1" x14ac:dyDescent="0.2">
      <c r="A10" s="343" t="s">
        <v>205</v>
      </c>
      <c r="B10" s="53"/>
      <c r="C10" s="344">
        <f>'[3]Air Choice One'!$FG$19</f>
        <v>254</v>
      </c>
      <c r="D10" s="346">
        <f>'[3]Air Choice One'!$ES$19</f>
        <v>46</v>
      </c>
      <c r="E10" s="347">
        <f>(C10-D10)/D10</f>
        <v>4.5217391304347823</v>
      </c>
      <c r="F10" s="346">
        <f>SUM('[3]Air Choice One'!$EZ$19:$FG$19)</f>
        <v>1972</v>
      </c>
      <c r="G10" s="346">
        <f>SUM('[3]Air Choice One'!$EL$19:$ES$19)</f>
        <v>132</v>
      </c>
      <c r="H10" s="345">
        <f>(F10-G10)/G10</f>
        <v>13.939393939393939</v>
      </c>
      <c r="I10" s="347">
        <f>F10/$F$67</f>
        <v>7.6948590381426202E-3</v>
      </c>
      <c r="J10" s="343" t="s">
        <v>205</v>
      </c>
      <c r="K10" s="53"/>
      <c r="L10" s="344">
        <f>'[3]Air Choice One'!$FG$41</f>
        <v>941</v>
      </c>
      <c r="M10" s="346">
        <f>'[3]Air Choice One'!$ES$41</f>
        <v>269</v>
      </c>
      <c r="N10" s="347">
        <f>(L10-M10)/M10</f>
        <v>2.4981412639405205</v>
      </c>
      <c r="O10" s="344">
        <f>SUM('[3]Air Choice One'!$EZ$41:$FG$41)</f>
        <v>6736</v>
      </c>
      <c r="P10" s="346">
        <f>SUM('[3]Air Choice One'!$EL$41:$ES$41)</f>
        <v>802</v>
      </c>
      <c r="Q10" s="345">
        <f>(O10-P10)/P10</f>
        <v>7.3990024937655861</v>
      </c>
      <c r="R10" s="347">
        <f>O10/$O$67</f>
        <v>2.6930839437383741E-4</v>
      </c>
      <c r="S10" s="19"/>
    </row>
    <row r="11" spans="1:19" ht="14.1" customHeight="1" x14ac:dyDescent="0.2">
      <c r="A11" s="343"/>
      <c r="B11" s="53"/>
      <c r="C11" s="344"/>
      <c r="D11" s="346"/>
      <c r="E11" s="347"/>
      <c r="F11" s="346"/>
      <c r="G11" s="346"/>
      <c r="H11" s="345"/>
      <c r="I11" s="347"/>
      <c r="J11" s="343"/>
      <c r="K11" s="53"/>
      <c r="L11" s="348"/>
      <c r="M11" s="9"/>
      <c r="N11" s="83"/>
      <c r="O11" s="348"/>
      <c r="P11" s="9"/>
      <c r="Q11" s="38"/>
      <c r="R11" s="83"/>
      <c r="S11" s="19"/>
    </row>
    <row r="12" spans="1:19" ht="14.1" customHeight="1" x14ac:dyDescent="0.2">
      <c r="A12" s="343" t="s">
        <v>161</v>
      </c>
      <c r="B12" s="53"/>
      <c r="C12" s="344">
        <f>'[3]Air France'!$FG$19</f>
        <v>60</v>
      </c>
      <c r="D12" s="346">
        <f>'[3]Air France'!$ES$19</f>
        <v>62</v>
      </c>
      <c r="E12" s="347">
        <f>(C12-D12)/D12</f>
        <v>-3.2258064516129031E-2</v>
      </c>
      <c r="F12" s="346">
        <f>SUM('[3]Air France'!$EZ$19:$FG$19)</f>
        <v>214</v>
      </c>
      <c r="G12" s="346">
        <f>SUM('[3]Air France'!$EL$19:$ES$19)</f>
        <v>212</v>
      </c>
      <c r="H12" s="345">
        <f>(F12-G12)/G12</f>
        <v>9.433962264150943E-3</v>
      </c>
      <c r="I12" s="347">
        <f>F12/$F$67</f>
        <v>8.3504048385523366E-4</v>
      </c>
      <c r="J12" s="343" t="s">
        <v>161</v>
      </c>
      <c r="K12" s="53"/>
      <c r="L12" s="344">
        <f>'[3]Air France'!$FG$41</f>
        <v>14501</v>
      </c>
      <c r="M12" s="346">
        <f>'[3]Air France'!$ES$41</f>
        <v>14069</v>
      </c>
      <c r="N12" s="347">
        <f>(L12-M12)/M12</f>
        <v>3.0705807093610066E-2</v>
      </c>
      <c r="O12" s="344">
        <f>SUM('[3]Air France'!$EZ$41:$FG$41)</f>
        <v>53039</v>
      </c>
      <c r="P12" s="346">
        <f>SUM('[3]Air France'!$EL$41:$ES$41)</f>
        <v>44431</v>
      </c>
      <c r="Q12" s="345">
        <f>(O12-P12)/P12</f>
        <v>0.19373860592829331</v>
      </c>
      <c r="R12" s="347">
        <f>O12/$O$67</f>
        <v>2.120523742457536E-3</v>
      </c>
      <c r="S12" s="19"/>
    </row>
    <row r="13" spans="1:19" ht="14.1" customHeight="1" x14ac:dyDescent="0.2">
      <c r="A13" s="343"/>
      <c r="B13" s="53"/>
      <c r="C13" s="344"/>
      <c r="D13" s="346"/>
      <c r="E13" s="347"/>
      <c r="F13" s="346"/>
      <c r="G13" s="346"/>
      <c r="H13" s="345"/>
      <c r="I13" s="347"/>
      <c r="J13" s="343"/>
      <c r="K13" s="53"/>
      <c r="L13" s="348"/>
      <c r="M13" s="9"/>
      <c r="N13" s="83"/>
      <c r="O13" s="348"/>
      <c r="P13" s="9"/>
      <c r="Q13" s="38"/>
      <c r="R13" s="83"/>
      <c r="S13" s="19"/>
    </row>
    <row r="14" spans="1:19" ht="14.1" customHeight="1" x14ac:dyDescent="0.2">
      <c r="A14" s="343" t="s">
        <v>131</v>
      </c>
      <c r="B14" s="53"/>
      <c r="C14" s="344">
        <f>SUM(C15:C16)</f>
        <v>362</v>
      </c>
      <c r="D14" s="346">
        <f>SUM(D15:D16)</f>
        <v>230</v>
      </c>
      <c r="E14" s="347">
        <f>(C14-D14)/D14</f>
        <v>0.57391304347826089</v>
      </c>
      <c r="F14" s="346">
        <f>SUM(F15:F16)</f>
        <v>1748</v>
      </c>
      <c r="G14" s="346">
        <f>SUM(G15:G16)</f>
        <v>1498</v>
      </c>
      <c r="H14" s="345">
        <f>(F14-G14)/G14</f>
        <v>0.16688918558077437</v>
      </c>
      <c r="I14" s="347">
        <f>F14/$F$67</f>
        <v>6.8207979709296656E-3</v>
      </c>
      <c r="J14" s="343" t="s">
        <v>131</v>
      </c>
      <c r="K14" s="53"/>
      <c r="L14" s="344">
        <f>SUM(L15:L16)</f>
        <v>37642</v>
      </c>
      <c r="M14" s="346">
        <f>SUM(M15:M16)</f>
        <v>31575</v>
      </c>
      <c r="N14" s="347">
        <f>(L14-M14)/M14</f>
        <v>0.19214568487727632</v>
      </c>
      <c r="O14" s="344">
        <f>SUM(O15:O16)</f>
        <v>201565</v>
      </c>
      <c r="P14" s="346">
        <f>SUM(P15:P16)</f>
        <v>191606</v>
      </c>
      <c r="Q14" s="345">
        <f>(O14-P14)/P14</f>
        <v>5.1976451676878595E-2</v>
      </c>
      <c r="R14" s="347">
        <f>O14/$O$67</f>
        <v>8.0586618931060769E-3</v>
      </c>
      <c r="S14" s="19"/>
    </row>
    <row r="15" spans="1:19" ht="14.1" customHeight="1" x14ac:dyDescent="0.2">
      <c r="A15" s="343"/>
      <c r="B15" s="423" t="s">
        <v>131</v>
      </c>
      <c r="C15" s="429">
        <f>[3]Alaska!$FG$19</f>
        <v>176</v>
      </c>
      <c r="D15" s="285">
        <f>[3]Alaska!$ES$19</f>
        <v>168</v>
      </c>
      <c r="E15" s="431">
        <f>(C15-D15)/D15</f>
        <v>4.7619047619047616E-2</v>
      </c>
      <c r="F15" s="285">
        <f>SUM([3]Alaska!$EZ$19:$FG$19)</f>
        <v>1091</v>
      </c>
      <c r="G15" s="285">
        <f>SUM([3]Alaska!$EL$19:$ES$19)</f>
        <v>1130</v>
      </c>
      <c r="H15" s="430">
        <f>(F15-G15)/G15</f>
        <v>-3.4513274336283185E-2</v>
      </c>
      <c r="I15" s="431">
        <f>F15/$F$67</f>
        <v>4.2571456443273826E-3</v>
      </c>
      <c r="J15" s="343"/>
      <c r="K15" s="423" t="s">
        <v>131</v>
      </c>
      <c r="L15" s="429">
        <f>[3]Alaska!$FG$41</f>
        <v>26885</v>
      </c>
      <c r="M15" s="285">
        <f>[3]Alaska!$ES$41</f>
        <v>27217</v>
      </c>
      <c r="N15" s="431">
        <f>(L15-M15)/M15</f>
        <v>-1.2198258441415291E-2</v>
      </c>
      <c r="O15" s="429">
        <f>SUM([3]Alaska!$EZ$41:$FG$41)</f>
        <v>160463</v>
      </c>
      <c r="P15" s="285">
        <f>SUM([3]Alaska!$EL$41:$ES$41)</f>
        <v>167226</v>
      </c>
      <c r="Q15" s="430">
        <f>(O15-P15)/P15</f>
        <v>-4.0442275722674705E-2</v>
      </c>
      <c r="R15" s="431">
        <f>O15/$O$67</f>
        <v>6.4153849296925579E-3</v>
      </c>
      <c r="S15" s="19"/>
    </row>
    <row r="16" spans="1:19" ht="14.1" customHeight="1" x14ac:dyDescent="0.2">
      <c r="A16" s="343"/>
      <c r="B16" s="423" t="s">
        <v>100</v>
      </c>
      <c r="C16" s="348">
        <f>'[3]Sky West_AS'!$FG$19</f>
        <v>186</v>
      </c>
      <c r="D16" s="9">
        <f>'[3]Sky West_AS'!$ES$19</f>
        <v>62</v>
      </c>
      <c r="E16" s="83">
        <f>(C16-D16)/D16</f>
        <v>2</v>
      </c>
      <c r="F16" s="9">
        <f>SUM('[3]Sky West_AS'!$EZ$19:$FG$19)</f>
        <v>657</v>
      </c>
      <c r="G16" s="9">
        <f>SUM('[3]Sky West_AS'!$EL$19:$ES$19)</f>
        <v>368</v>
      </c>
      <c r="H16" s="38">
        <f>(F16-G16)/G16</f>
        <v>0.78532608695652173</v>
      </c>
      <c r="I16" s="83">
        <f>F16/$F$67</f>
        <v>2.5636523266022826E-3</v>
      </c>
      <c r="J16" s="343"/>
      <c r="K16" s="423" t="s">
        <v>100</v>
      </c>
      <c r="L16" s="348">
        <f>'[3]Sky West_AS'!$FG$41</f>
        <v>10757</v>
      </c>
      <c r="M16" s="9">
        <f>'[3]Sky West_AS'!$ES$41</f>
        <v>4358</v>
      </c>
      <c r="N16" s="83">
        <f>(L16-M16)/M16</f>
        <v>1.4683340982101882</v>
      </c>
      <c r="O16" s="348">
        <f>SUM('[3]Sky West_AS'!$EZ$41:$FG$41)</f>
        <v>41102</v>
      </c>
      <c r="P16" s="9">
        <f>SUM('[3]Sky West_AS'!$EL$41:$ES$41)</f>
        <v>24380</v>
      </c>
      <c r="Q16" s="38">
        <f>(O16-P16)/P16</f>
        <v>0.68589007383100897</v>
      </c>
      <c r="R16" s="431">
        <f>O16/$O$67</f>
        <v>1.643276963413519E-3</v>
      </c>
      <c r="S16" s="19"/>
    </row>
    <row r="17" spans="1:22" ht="14.1" customHeight="1" x14ac:dyDescent="0.2">
      <c r="A17" s="343"/>
      <c r="B17" s="53"/>
      <c r="C17" s="344"/>
      <c r="D17" s="349"/>
      <c r="E17" s="347"/>
      <c r="F17" s="349"/>
      <c r="G17" s="349"/>
      <c r="H17" s="345"/>
      <c r="I17" s="347"/>
      <c r="J17" s="343"/>
      <c r="K17" s="53"/>
      <c r="L17" s="350"/>
      <c r="M17" s="139"/>
      <c r="N17" s="83"/>
      <c r="O17" s="350"/>
      <c r="P17" s="139"/>
      <c r="Q17" s="38"/>
      <c r="R17" s="83"/>
      <c r="S17" s="19"/>
    </row>
    <row r="18" spans="1:22" ht="14.1" customHeight="1" x14ac:dyDescent="0.2">
      <c r="A18" s="343" t="s">
        <v>17</v>
      </c>
      <c r="B18" s="356"/>
      <c r="C18" s="344">
        <f>SUM(C19:C25)</f>
        <v>2048</v>
      </c>
      <c r="D18" s="346">
        <f>SUM(D19:D25)</f>
        <v>1975</v>
      </c>
      <c r="E18" s="347">
        <f t="shared" ref="E18:E25" si="0">(C18-D18)/D18</f>
        <v>3.6962025316455697E-2</v>
      </c>
      <c r="F18" s="344">
        <f>SUM(F19:F25)</f>
        <v>15651</v>
      </c>
      <c r="G18" s="346">
        <f>SUM(G19:G25)</f>
        <v>14604</v>
      </c>
      <c r="H18" s="345">
        <f t="shared" ref="H18:H25" si="1">(F18-G18)/G18</f>
        <v>7.1692686935086278E-2</v>
      </c>
      <c r="I18" s="347">
        <f t="shared" ref="I18:I25" si="2">F18/$F$67</f>
        <v>6.1071115013169447E-2</v>
      </c>
      <c r="J18" s="343" t="s">
        <v>17</v>
      </c>
      <c r="K18" s="351"/>
      <c r="L18" s="344">
        <f>SUM(L19:L25)</f>
        <v>220442</v>
      </c>
      <c r="M18" s="346">
        <f>SUM(M19:M25)</f>
        <v>212747</v>
      </c>
      <c r="N18" s="347">
        <f t="shared" ref="N18:N25" si="3">(L18-M18)/M18</f>
        <v>3.6169722722294559E-2</v>
      </c>
      <c r="O18" s="344">
        <f>SUM(O19:O25)</f>
        <v>1613887</v>
      </c>
      <c r="P18" s="346">
        <f>SUM(P19:P25)</f>
        <v>1649964</v>
      </c>
      <c r="Q18" s="345">
        <f t="shared" ref="Q18:Q25" si="4">(O18-P18)/P18</f>
        <v>-2.1865325546496773E-2</v>
      </c>
      <c r="R18" s="347">
        <f t="shared" ref="R18:R25" si="5">O18/$O$67</f>
        <v>6.4523948436877865E-2</v>
      </c>
      <c r="S18" s="19"/>
    </row>
    <row r="19" spans="1:22" ht="14.1" customHeight="1" x14ac:dyDescent="0.2">
      <c r="A19" s="52"/>
      <c r="B19" s="353" t="s">
        <v>17</v>
      </c>
      <c r="C19" s="348">
        <f>[3]American!$FG$19</f>
        <v>1540</v>
      </c>
      <c r="D19" s="9">
        <f>[3]American!$ES$19</f>
        <v>1485</v>
      </c>
      <c r="E19" s="83">
        <f t="shared" si="0"/>
        <v>3.7037037037037035E-2</v>
      </c>
      <c r="F19" s="9">
        <f>SUM([3]American!$EZ$19:$FG$19)</f>
        <v>12083</v>
      </c>
      <c r="G19" s="9">
        <f>SUM([3]American!$EL$19:$ES$19)</f>
        <v>11511</v>
      </c>
      <c r="H19" s="38">
        <f t="shared" si="1"/>
        <v>4.9691599339761965E-2</v>
      </c>
      <c r="I19" s="83">
        <f t="shared" si="2"/>
        <v>4.7148570871134526E-2</v>
      </c>
      <c r="J19" s="52"/>
      <c r="K19" s="352" t="s">
        <v>17</v>
      </c>
      <c r="L19" s="348">
        <f>[3]American!$FG$41</f>
        <v>192977</v>
      </c>
      <c r="M19" s="9">
        <f>[3]American!$ES$41</f>
        <v>181684</v>
      </c>
      <c r="N19" s="83">
        <f t="shared" si="3"/>
        <v>6.2157372140639794E-2</v>
      </c>
      <c r="O19" s="348">
        <f>SUM([3]American!$EZ$41:$FG$41)</f>
        <v>1434546</v>
      </c>
      <c r="P19" s="9">
        <f>SUM([3]American!$EL$41:$ES$41)</f>
        <v>1462922</v>
      </c>
      <c r="Q19" s="38">
        <f t="shared" si="4"/>
        <v>-1.9396796274852659E-2</v>
      </c>
      <c r="R19" s="83">
        <f t="shared" si="5"/>
        <v>5.7353812338986183E-2</v>
      </c>
      <c r="S19" s="19"/>
    </row>
    <row r="20" spans="1:22" ht="14.1" customHeight="1" x14ac:dyDescent="0.2">
      <c r="A20" s="52"/>
      <c r="B20" s="424" t="s">
        <v>181</v>
      </c>
      <c r="C20" s="348">
        <f>'[3]American Eagle'!$FG$19</f>
        <v>8</v>
      </c>
      <c r="D20" s="9">
        <f>'[3]American Eagle'!$ES$19</f>
        <v>16</v>
      </c>
      <c r="E20" s="83">
        <f t="shared" si="0"/>
        <v>-0.5</v>
      </c>
      <c r="F20" s="9">
        <f>SUM('[3]American Eagle'!$EZ$19:$FG$19)</f>
        <v>126</v>
      </c>
      <c r="G20" s="9">
        <f>SUM('[3]American Eagle'!$EL$19:$ES$19)</f>
        <v>112</v>
      </c>
      <c r="H20" s="38">
        <f t="shared" si="1"/>
        <v>0.125</v>
      </c>
      <c r="I20" s="83">
        <f t="shared" si="2"/>
        <v>4.9165935030728706E-4</v>
      </c>
      <c r="J20" s="52"/>
      <c r="K20" s="422" t="s">
        <v>181</v>
      </c>
      <c r="L20" s="348">
        <f>'[3]American Eagle'!$FG$41</f>
        <v>392</v>
      </c>
      <c r="M20" s="9">
        <f>'[3]American Eagle'!$ES$41</f>
        <v>885</v>
      </c>
      <c r="N20" s="83">
        <f t="shared" si="3"/>
        <v>-0.55706214689265532</v>
      </c>
      <c r="O20" s="348">
        <f>SUM('[3]American Eagle'!$EZ$41:$FG$41)</f>
        <v>6485</v>
      </c>
      <c r="P20" s="9">
        <f>SUM('[3]American Eagle'!$EL$41:$ES$41)</f>
        <v>5823</v>
      </c>
      <c r="Q20" s="38">
        <f t="shared" si="4"/>
        <v>0.11368710286793748</v>
      </c>
      <c r="R20" s="83">
        <f t="shared" si="5"/>
        <v>2.5927329832457476E-4</v>
      </c>
      <c r="S20" s="19"/>
    </row>
    <row r="21" spans="1:22" ht="14.1" customHeight="1" x14ac:dyDescent="0.2">
      <c r="A21" s="52"/>
      <c r="B21" s="424" t="s">
        <v>52</v>
      </c>
      <c r="C21" s="348">
        <f>[3]Republic!$FG$19</f>
        <v>444</v>
      </c>
      <c r="D21" s="9">
        <f>[3]Republic!$ES$19</f>
        <v>448</v>
      </c>
      <c r="E21" s="83">
        <f t="shared" si="0"/>
        <v>-8.9285714285714281E-3</v>
      </c>
      <c r="F21" s="9">
        <f>SUM([3]Republic!$EZ$19:$FG$19)</f>
        <v>3033</v>
      </c>
      <c r="G21" s="9">
        <f>SUM([3]Republic!$EL$19:$ES$19)</f>
        <v>2749</v>
      </c>
      <c r="H21" s="38">
        <f t="shared" si="1"/>
        <v>0.10331029465260094</v>
      </c>
      <c r="I21" s="83">
        <f t="shared" si="2"/>
        <v>1.183494293239684E-2</v>
      </c>
      <c r="J21" s="359"/>
      <c r="K21" s="354" t="s">
        <v>52</v>
      </c>
      <c r="L21" s="348">
        <f>[3]Republic!$FG$41</f>
        <v>24118</v>
      </c>
      <c r="M21" s="9">
        <f>[3]Republic!$ES$41</f>
        <v>28426</v>
      </c>
      <c r="N21" s="83">
        <f t="shared" si="3"/>
        <v>-0.15155139660873848</v>
      </c>
      <c r="O21" s="348">
        <f>SUM([3]Republic!$EZ$41:$FG$41)</f>
        <v>153226</v>
      </c>
      <c r="P21" s="9">
        <f>SUM([3]Republic!$EL$41:$ES$41)</f>
        <v>169068</v>
      </c>
      <c r="Q21" s="38">
        <f t="shared" si="4"/>
        <v>-9.370194241370336E-2</v>
      </c>
      <c r="R21" s="83">
        <f t="shared" si="5"/>
        <v>6.126046323682543E-3</v>
      </c>
      <c r="S21" s="19"/>
    </row>
    <row r="22" spans="1:22" ht="14.1" customHeight="1" x14ac:dyDescent="0.2">
      <c r="A22" s="52"/>
      <c r="B22" s="424" t="s">
        <v>209</v>
      </c>
      <c r="C22" s="348">
        <f>[3]PSA!$FG$19</f>
        <v>50</v>
      </c>
      <c r="D22" s="9">
        <f>[3]PSA!$ES$19</f>
        <v>26</v>
      </c>
      <c r="E22" s="83">
        <f t="shared" si="0"/>
        <v>0.92307692307692313</v>
      </c>
      <c r="F22" s="9">
        <f>SUM([3]PSA!$EZ$19:$FG$19)</f>
        <v>330</v>
      </c>
      <c r="G22" s="9">
        <f>SUM([3]PSA!$EL$19:$ES$19)</f>
        <v>112</v>
      </c>
      <c r="H22" s="38">
        <f t="shared" ref="H22" si="6">(F22-G22)/G22</f>
        <v>1.9464285714285714</v>
      </c>
      <c r="I22" s="83">
        <f t="shared" si="2"/>
        <v>1.2876792508047996E-3</v>
      </c>
      <c r="J22" s="359"/>
      <c r="K22" s="424" t="s">
        <v>209</v>
      </c>
      <c r="L22" s="348">
        <f>[3]PSA!$FG$41</f>
        <v>2580</v>
      </c>
      <c r="M22" s="9">
        <f>[3]PSA!$ES$41</f>
        <v>1752</v>
      </c>
      <c r="N22" s="83">
        <f t="shared" si="3"/>
        <v>0.4726027397260274</v>
      </c>
      <c r="O22" s="348">
        <f>SUM([3]PSA!$EZ$41:$FG$41)</f>
        <v>15556</v>
      </c>
      <c r="P22" s="9">
        <f>SUM([3]PSA!$EL$41:$ES$41)</f>
        <v>7260</v>
      </c>
      <c r="Q22" s="38">
        <f t="shared" ref="Q22" si="7">(O22-P22)/P22</f>
        <v>1.1426997245179062</v>
      </c>
      <c r="R22" s="83">
        <f t="shared" si="5"/>
        <v>6.2193607228019812E-4</v>
      </c>
      <c r="S22" s="19"/>
    </row>
    <row r="23" spans="1:22" ht="14.1" customHeight="1" x14ac:dyDescent="0.2">
      <c r="A23" s="52"/>
      <c r="B23" s="423" t="s">
        <v>100</v>
      </c>
      <c r="C23" s="348">
        <f>'[3]Sky West_AA'!$FG$19</f>
        <v>6</v>
      </c>
      <c r="D23" s="9">
        <f>'[3]Sky West_AA'!$ES$19</f>
        <v>0</v>
      </c>
      <c r="E23" s="83" t="e">
        <f>(C23-D23)/D23</f>
        <v>#DIV/0!</v>
      </c>
      <c r="F23" s="9">
        <f>SUM('[3]Sky West_AA'!$EZ$19:$FG$19)</f>
        <v>77</v>
      </c>
      <c r="G23" s="9">
        <f>SUM('[3]Sky West_AA'!$EL$19:$ES$19)</f>
        <v>0</v>
      </c>
      <c r="H23" s="38" t="e">
        <f>(F23-G23)/G23</f>
        <v>#DIV/0!</v>
      </c>
      <c r="I23" s="83">
        <f t="shared" si="2"/>
        <v>3.0045849185445325E-4</v>
      </c>
      <c r="J23" s="359"/>
      <c r="K23" s="423" t="s">
        <v>100</v>
      </c>
      <c r="L23" s="348">
        <f>'[3]Sky West_AA'!$FG$41</f>
        <v>375</v>
      </c>
      <c r="M23" s="9">
        <f>'[3]Sky West_AA'!$ES$41</f>
        <v>0</v>
      </c>
      <c r="N23" s="83" t="e">
        <f>(L23-M23)/M23</f>
        <v>#DIV/0!</v>
      </c>
      <c r="O23" s="348">
        <f>SUM('[3]Sky West_AA'!$EZ$41:$FG$41)</f>
        <v>3984</v>
      </c>
      <c r="P23" s="9">
        <f>SUM('[3]Sky West_AA'!$EL$41:$ES$41)</f>
        <v>0</v>
      </c>
      <c r="Q23" s="38" t="e">
        <f>(O23-P23)/P23</f>
        <v>#DIV/0!</v>
      </c>
      <c r="R23" s="431">
        <f t="shared" si="5"/>
        <v>1.5928216199307722E-4</v>
      </c>
      <c r="S23" s="19"/>
    </row>
    <row r="24" spans="1:22" ht="14.1" customHeight="1" x14ac:dyDescent="0.2">
      <c r="A24" s="52"/>
      <c r="B24" s="424" t="s">
        <v>51</v>
      </c>
      <c r="C24" s="348">
        <f>[3]MESA!$FG$19</f>
        <v>0</v>
      </c>
      <c r="D24" s="9">
        <f>[3]MESA!$ES$19</f>
        <v>0</v>
      </c>
      <c r="E24" s="83" t="e">
        <f t="shared" si="0"/>
        <v>#DIV/0!</v>
      </c>
      <c r="F24" s="9">
        <f>SUM([3]MESA!$EZ$19:$FG$19)</f>
        <v>0</v>
      </c>
      <c r="G24" s="9">
        <f>SUM([3]MESA!$EL$19:$ES$19)</f>
        <v>14</v>
      </c>
      <c r="H24" s="38">
        <f t="shared" si="1"/>
        <v>-1</v>
      </c>
      <c r="I24" s="83">
        <f t="shared" si="2"/>
        <v>0</v>
      </c>
      <c r="J24" s="359"/>
      <c r="K24" s="422" t="s">
        <v>51</v>
      </c>
      <c r="L24" s="348">
        <f>[3]MESA!$FG$41</f>
        <v>0</v>
      </c>
      <c r="M24" s="9">
        <f>[3]MESA!$ES$41</f>
        <v>0</v>
      </c>
      <c r="N24" s="83" t="e">
        <f t="shared" si="3"/>
        <v>#DIV/0!</v>
      </c>
      <c r="O24" s="348">
        <f>SUM([3]MESA!$EZ$41:$FG$41)</f>
        <v>0</v>
      </c>
      <c r="P24" s="9">
        <f>SUM([3]MESA!$EL$41:$ES$41)</f>
        <v>1079</v>
      </c>
      <c r="Q24" s="38">
        <f t="shared" si="4"/>
        <v>-1</v>
      </c>
      <c r="R24" s="83">
        <f t="shared" si="5"/>
        <v>0</v>
      </c>
      <c r="S24" s="19"/>
    </row>
    <row r="25" spans="1:22" ht="14.1" customHeight="1" x14ac:dyDescent="0.2">
      <c r="A25" s="52"/>
      <c r="B25" s="424" t="s">
        <v>50</v>
      </c>
      <c r="C25" s="348">
        <f>'[3]Air Wisconsin'!$FG$19</f>
        <v>0</v>
      </c>
      <c r="D25" s="9">
        <f>'[3]Air Wisconsin'!$ES$19</f>
        <v>0</v>
      </c>
      <c r="E25" s="83" t="e">
        <f t="shared" si="0"/>
        <v>#DIV/0!</v>
      </c>
      <c r="F25" s="9">
        <f>SUM('[3]Air Wisconsin'!$EZ$19:$FG$19)</f>
        <v>2</v>
      </c>
      <c r="G25" s="9">
        <f>SUM('[3]Air Wisconsin'!$EL$19:$ES$19)</f>
        <v>106</v>
      </c>
      <c r="H25" s="485">
        <f t="shared" si="1"/>
        <v>-0.98113207547169812</v>
      </c>
      <c r="I25" s="83">
        <f t="shared" si="2"/>
        <v>7.8041166715442402E-6</v>
      </c>
      <c r="J25" s="52"/>
      <c r="K25" s="425" t="s">
        <v>50</v>
      </c>
      <c r="L25" s="348">
        <f>'[3]Air Wisconsin'!$FG$41</f>
        <v>0</v>
      </c>
      <c r="M25" s="9">
        <f>'[3]Air Wisconsin'!$ES$41</f>
        <v>0</v>
      </c>
      <c r="N25" s="83" t="e">
        <f t="shared" si="3"/>
        <v>#DIV/0!</v>
      </c>
      <c r="O25" s="348">
        <f>SUM('[3]Air Wisconsin'!$EZ$41:$FG$41)</f>
        <v>90</v>
      </c>
      <c r="P25" s="9">
        <f>SUM('[3]Air Wisconsin'!$EL$41:$ES$41)</f>
        <v>3812</v>
      </c>
      <c r="Q25" s="38">
        <f t="shared" si="4"/>
        <v>-0.97639034627492127</v>
      </c>
      <c r="R25" s="83">
        <f t="shared" si="5"/>
        <v>3.5982416112893951E-6</v>
      </c>
      <c r="S25" s="19"/>
    </row>
    <row r="26" spans="1:22" ht="14.1" customHeight="1" x14ac:dyDescent="0.2">
      <c r="A26" s="52"/>
      <c r="B26" s="353"/>
      <c r="C26" s="348"/>
      <c r="D26" s="9"/>
      <c r="E26" s="83"/>
      <c r="F26" s="9"/>
      <c r="G26" s="9"/>
      <c r="H26" s="38"/>
      <c r="I26" s="83"/>
      <c r="J26" s="52"/>
      <c r="K26" s="353"/>
      <c r="L26" s="348"/>
      <c r="M26" s="9"/>
      <c r="N26" s="83"/>
      <c r="O26" s="348"/>
      <c r="P26" s="9"/>
      <c r="Q26" s="38"/>
      <c r="R26" s="83"/>
      <c r="S26" s="19"/>
      <c r="T26" s="9"/>
      <c r="U26" s="11"/>
      <c r="V26" s="11"/>
    </row>
    <row r="27" spans="1:22" ht="14.1" customHeight="1" x14ac:dyDescent="0.2">
      <c r="A27" s="343" t="s">
        <v>206</v>
      </c>
      <c r="B27" s="353"/>
      <c r="C27" s="344">
        <f>'[3]Boutique Air'!$FG$19</f>
        <v>164</v>
      </c>
      <c r="D27" s="346">
        <f>'[3]Boutique Air'!$ES$19</f>
        <v>164</v>
      </c>
      <c r="E27" s="347">
        <f>(C27-D27)/D27</f>
        <v>0</v>
      </c>
      <c r="F27" s="346">
        <f>SUM('[3]Boutique Air'!$EZ$19:$FG$19)</f>
        <v>1240</v>
      </c>
      <c r="G27" s="346">
        <f>SUM('[3]Boutique Air'!$EL$19:$ES$19)</f>
        <v>360</v>
      </c>
      <c r="H27" s="345">
        <f>(F27-G27)/G27</f>
        <v>2.4444444444444446</v>
      </c>
      <c r="I27" s="347">
        <f>F27/$F$67</f>
        <v>4.8385523363574283E-3</v>
      </c>
      <c r="J27" s="343" t="s">
        <v>206</v>
      </c>
      <c r="K27" s="353"/>
      <c r="L27" s="344">
        <f>'[3]Boutique Air'!$FG$41</f>
        <v>966</v>
      </c>
      <c r="M27" s="346">
        <f>'[3]Boutique Air'!$ES$41</f>
        <v>1125</v>
      </c>
      <c r="N27" s="347">
        <f>(L27-M27)/M27</f>
        <v>-0.14133333333333334</v>
      </c>
      <c r="O27" s="344">
        <f>SUM('[3]Boutique Air'!$EZ$41:$FG$41)</f>
        <v>7890</v>
      </c>
      <c r="P27" s="346">
        <f>SUM('[3]Boutique Air'!$EL$41:$ES$41)</f>
        <v>2210</v>
      </c>
      <c r="Q27" s="345">
        <f>(O27-P27)/P27</f>
        <v>2.570135746606335</v>
      </c>
      <c r="R27" s="347">
        <f>O27/$O$67</f>
        <v>3.1544584792303699E-4</v>
      </c>
      <c r="S27" s="19"/>
      <c r="T27" s="9"/>
      <c r="U27" s="11"/>
      <c r="V27" s="11"/>
    </row>
    <row r="28" spans="1:22" ht="14.1" customHeight="1" x14ac:dyDescent="0.2">
      <c r="A28" s="52"/>
      <c r="B28" s="353"/>
      <c r="C28" s="348"/>
      <c r="D28" s="9"/>
      <c r="E28" s="83"/>
      <c r="F28" s="9"/>
      <c r="G28" s="9"/>
      <c r="H28" s="38"/>
      <c r="I28" s="83"/>
      <c r="J28" s="52"/>
      <c r="K28" s="353"/>
      <c r="L28" s="348"/>
      <c r="M28" s="9"/>
      <c r="N28" s="83"/>
      <c r="O28" s="348"/>
      <c r="P28" s="9"/>
      <c r="Q28" s="38"/>
      <c r="R28" s="83"/>
      <c r="S28" s="19"/>
      <c r="T28" s="9"/>
      <c r="U28" s="11"/>
      <c r="V28" s="11"/>
    </row>
    <row r="29" spans="1:22" ht="14.1" customHeight="1" x14ac:dyDescent="0.2">
      <c r="A29" s="343" t="s">
        <v>167</v>
      </c>
      <c r="B29" s="353"/>
      <c r="C29" s="344">
        <f>[3]Condor!$FG$19</f>
        <v>36</v>
      </c>
      <c r="D29" s="346">
        <f>[3]Condor!$ES$19</f>
        <v>26</v>
      </c>
      <c r="E29" s="347">
        <f>(C29-D29)/D29</f>
        <v>0.38461538461538464</v>
      </c>
      <c r="F29" s="346">
        <f>SUM([3]Condor!$EZ$19:$FG$19)</f>
        <v>118</v>
      </c>
      <c r="G29" s="346">
        <f>SUM([3]Condor!$EL$19:$ES$19)</f>
        <v>78</v>
      </c>
      <c r="H29" s="345">
        <f>(F29-G29)/G29</f>
        <v>0.51282051282051277</v>
      </c>
      <c r="I29" s="347">
        <f>F29/$F$67</f>
        <v>4.6044288362111013E-4</v>
      </c>
      <c r="J29" s="343" t="s">
        <v>167</v>
      </c>
      <c r="K29" s="353"/>
      <c r="L29" s="344">
        <f>[3]Condor!$FG$41</f>
        <v>8645</v>
      </c>
      <c r="M29" s="346">
        <f>[3]Condor!$ES$41</f>
        <v>6053</v>
      </c>
      <c r="N29" s="347">
        <f>(L29-M29)/M29</f>
        <v>0.4282174128531307</v>
      </c>
      <c r="O29" s="344">
        <f>SUM([3]Condor!$EZ$41:$FG$41)</f>
        <v>27410</v>
      </c>
      <c r="P29" s="346">
        <f>SUM([3]Condor!$EL$41:$ES$41)</f>
        <v>17626</v>
      </c>
      <c r="Q29" s="345">
        <f>(O29-P29)/P29</f>
        <v>0.55508907296039944</v>
      </c>
      <c r="R29" s="347">
        <f>O29/$O$67</f>
        <v>1.0958644729493591E-3</v>
      </c>
      <c r="S29" s="19"/>
      <c r="T29" s="9"/>
      <c r="U29" s="11"/>
      <c r="V29" s="11"/>
    </row>
    <row r="30" spans="1:22" ht="14.1" customHeight="1" x14ac:dyDescent="0.2">
      <c r="A30" s="52"/>
      <c r="B30" s="353"/>
      <c r="C30" s="348"/>
      <c r="D30" s="9"/>
      <c r="E30" s="83"/>
      <c r="F30" s="9"/>
      <c r="G30" s="9"/>
      <c r="H30" s="38"/>
      <c r="I30" s="83"/>
      <c r="J30" s="52"/>
      <c r="K30" s="353"/>
      <c r="L30" s="348"/>
      <c r="M30" s="9"/>
      <c r="N30" s="83"/>
      <c r="O30" s="348"/>
      <c r="P30" s="9"/>
      <c r="Q30" s="38"/>
      <c r="R30" s="83"/>
      <c r="S30" s="19"/>
      <c r="T30" s="9"/>
      <c r="U30" s="11"/>
      <c r="V30" s="11"/>
    </row>
    <row r="31" spans="1:22" ht="14.1" customHeight="1" x14ac:dyDescent="0.2">
      <c r="A31" s="343" t="s">
        <v>18</v>
      </c>
      <c r="B31" s="356"/>
      <c r="C31" s="344">
        <f>SUM(C32:C38)</f>
        <v>25858</v>
      </c>
      <c r="D31" s="346">
        <f>SUM(D32:D38)</f>
        <v>25697</v>
      </c>
      <c r="E31" s="347">
        <f t="shared" ref="E31:E38" si="8">(C31-D31)/D31</f>
        <v>6.2653228003268866E-3</v>
      </c>
      <c r="F31" s="349">
        <f>SUM(F32:F38)</f>
        <v>185774</v>
      </c>
      <c r="G31" s="349">
        <f>SUM(G32:G38)</f>
        <v>188656</v>
      </c>
      <c r="H31" s="345">
        <f>(F31-G31)/G31</f>
        <v>-1.5276482062590111E-2</v>
      </c>
      <c r="I31" s="347">
        <f>F31/$F$67</f>
        <v>0.72490098526972979</v>
      </c>
      <c r="J31" s="343" t="s">
        <v>18</v>
      </c>
      <c r="K31" s="356"/>
      <c r="L31" s="344">
        <f>SUM(L32:L38)</f>
        <v>2533216</v>
      </c>
      <c r="M31" s="346">
        <f>SUM(M32:M38)</f>
        <v>2422906</v>
      </c>
      <c r="N31" s="347">
        <f t="shared" ref="N31:N38" si="9">(L31-M31)/M31</f>
        <v>4.552797343355458E-2</v>
      </c>
      <c r="O31" s="344">
        <f>SUM(O32:O38)</f>
        <v>17636517</v>
      </c>
      <c r="P31" s="346">
        <f>SUM(P32:P38)</f>
        <v>17565090</v>
      </c>
      <c r="Q31" s="345">
        <f t="shared" ref="Q31:Q38" si="10">(O31-P31)/P31</f>
        <v>4.0664181054580421E-3</v>
      </c>
      <c r="R31" s="347">
        <f t="shared" ref="R31:R38" si="11">O31/$O$67</f>
        <v>0.70511610386236456</v>
      </c>
      <c r="S31" s="410"/>
      <c r="U31" s="11"/>
      <c r="V31" s="11"/>
    </row>
    <row r="32" spans="1:22" ht="14.1" customHeight="1" x14ac:dyDescent="0.2">
      <c r="A32" s="52"/>
      <c r="B32" s="352" t="s">
        <v>18</v>
      </c>
      <c r="C32" s="348">
        <f>[3]Delta!$FG$19</f>
        <v>14425</v>
      </c>
      <c r="D32" s="9">
        <f>[3]Delta!$ES$19</f>
        <v>13296</v>
      </c>
      <c r="E32" s="83">
        <f t="shared" si="8"/>
        <v>8.4912755716004817E-2</v>
      </c>
      <c r="F32" s="9">
        <f>SUM([3]Delta!$EZ$19:$FG$19)</f>
        <v>96631</v>
      </c>
      <c r="G32" s="9">
        <f>SUM([3]Delta!$EL$19:$ES$19)</f>
        <v>92530</v>
      </c>
      <c r="H32" s="38">
        <f t="shared" ref="H32:H38" si="12">(F32-G32)/G32</f>
        <v>4.4320760834324006E-2</v>
      </c>
      <c r="I32" s="83">
        <f t="shared" ref="I32:I38" si="13">F32/$F$67</f>
        <v>0.37705979904399572</v>
      </c>
      <c r="J32" s="52"/>
      <c r="K32" s="352" t="s">
        <v>18</v>
      </c>
      <c r="L32" s="348">
        <f>[3]Delta!$FG$41</f>
        <v>1969909</v>
      </c>
      <c r="M32" s="9">
        <f>[3]Delta!$ES$41</f>
        <v>1805345</v>
      </c>
      <c r="N32" s="83">
        <f t="shared" si="9"/>
        <v>9.1153768393298792E-2</v>
      </c>
      <c r="O32" s="348">
        <f>SUM([3]Delta!$EZ$41:$FG$41)</f>
        <v>13216260</v>
      </c>
      <c r="P32" s="9">
        <f>SUM([3]Delta!$EL$41:$ES$41)</f>
        <v>12714017</v>
      </c>
      <c r="Q32" s="38">
        <f t="shared" si="10"/>
        <v>3.9503093318185745E-2</v>
      </c>
      <c r="R32" s="83">
        <f t="shared" si="11"/>
        <v>0.52839218530688425</v>
      </c>
      <c r="S32" s="19"/>
      <c r="T32" s="9"/>
      <c r="U32" s="11"/>
      <c r="V32" s="11"/>
    </row>
    <row r="33" spans="1:22" ht="14.1" customHeight="1" x14ac:dyDescent="0.2">
      <c r="A33" s="52"/>
      <c r="B33" s="354" t="s">
        <v>120</v>
      </c>
      <c r="C33" s="348">
        <f>[3]Compass!$FG$19</f>
        <v>1021</v>
      </c>
      <c r="D33" s="9">
        <f>[3]Compass!$ES$19</f>
        <v>1636</v>
      </c>
      <c r="E33" s="83">
        <f t="shared" si="8"/>
        <v>-0.37591687041564792</v>
      </c>
      <c r="F33" s="9">
        <f>SUM([3]Compass!$EZ$19:$FG$19)</f>
        <v>8429</v>
      </c>
      <c r="G33" s="9">
        <f>SUM([3]Compass!$EL$19:$ES$19)</f>
        <v>11676</v>
      </c>
      <c r="H33" s="38">
        <f t="shared" si="12"/>
        <v>-0.27809181226447416</v>
      </c>
      <c r="I33" s="83">
        <f t="shared" si="13"/>
        <v>3.2890449712223199E-2</v>
      </c>
      <c r="J33" s="52"/>
      <c r="K33" s="354" t="s">
        <v>120</v>
      </c>
      <c r="L33" s="348">
        <f>[3]Compass!$FG$41</f>
        <v>62261</v>
      </c>
      <c r="M33" s="9">
        <f>[3]Compass!$ES$41</f>
        <v>92810</v>
      </c>
      <c r="N33" s="83">
        <f t="shared" si="9"/>
        <v>-0.32915634091153972</v>
      </c>
      <c r="O33" s="348">
        <f>SUM([3]Compass!$EZ$41:$FG$41)</f>
        <v>497822</v>
      </c>
      <c r="P33" s="9">
        <f>SUM([3]Compass!$EL$41:$ES$41)</f>
        <v>689360</v>
      </c>
      <c r="Q33" s="38">
        <f t="shared" si="10"/>
        <v>-0.27784901938029477</v>
      </c>
      <c r="R33" s="83">
        <f t="shared" si="11"/>
        <v>1.9903153726836771E-2</v>
      </c>
      <c r="S33" s="9"/>
      <c r="T33" s="9"/>
      <c r="U33" s="11"/>
      <c r="V33" s="11"/>
    </row>
    <row r="34" spans="1:22" ht="14.1" customHeight="1" x14ac:dyDescent="0.2">
      <c r="A34" s="52"/>
      <c r="B34" s="353" t="s">
        <v>163</v>
      </c>
      <c r="C34" s="348">
        <f>[3]Pinnacle!$FG$19</f>
        <v>3243</v>
      </c>
      <c r="D34" s="9">
        <f>[3]Pinnacle!$ES$19</f>
        <v>3939</v>
      </c>
      <c r="E34" s="83">
        <f t="shared" si="8"/>
        <v>-0.1766945925361767</v>
      </c>
      <c r="F34" s="9">
        <f>SUM([3]Pinnacle!$EZ$19:$FG$19)</f>
        <v>25385</v>
      </c>
      <c r="G34" s="9">
        <f>SUM([3]Pinnacle!$EL$19:$ES$19)</f>
        <v>31858</v>
      </c>
      <c r="H34" s="38">
        <f t="shared" si="12"/>
        <v>-0.20318287400339005</v>
      </c>
      <c r="I34" s="83">
        <f t="shared" si="13"/>
        <v>9.9053750853575262E-2</v>
      </c>
      <c r="J34" s="52"/>
      <c r="K34" s="353" t="s">
        <v>163</v>
      </c>
      <c r="L34" s="348">
        <f>[3]Pinnacle!$FG$41</f>
        <v>157605</v>
      </c>
      <c r="M34" s="9">
        <f>[3]Pinnacle!$ES$41</f>
        <v>205683</v>
      </c>
      <c r="N34" s="83">
        <f t="shared" si="9"/>
        <v>-0.23374804918247982</v>
      </c>
      <c r="O34" s="348">
        <f>SUM([3]Pinnacle!$EZ$41:$FG$41)</f>
        <v>1265287</v>
      </c>
      <c r="P34" s="9">
        <f>SUM([3]Pinnacle!$EL$41:$ES$41)</f>
        <v>1740110</v>
      </c>
      <c r="Q34" s="38">
        <f t="shared" si="10"/>
        <v>-0.27286953123653102</v>
      </c>
      <c r="R34" s="83">
        <f t="shared" si="11"/>
        <v>5.0586759262483606E-2</v>
      </c>
      <c r="S34" s="19"/>
      <c r="T34" s="11"/>
    </row>
    <row r="35" spans="1:22" ht="14.1" customHeight="1" x14ac:dyDescent="0.2">
      <c r="A35" s="52"/>
      <c r="B35" s="353" t="s">
        <v>159</v>
      </c>
      <c r="C35" s="348">
        <f>'[3]Go Jet'!$FG$19</f>
        <v>406</v>
      </c>
      <c r="D35" s="9">
        <f>'[3]Go Jet'!$ES$19</f>
        <v>116</v>
      </c>
      <c r="E35" s="83">
        <f t="shared" si="8"/>
        <v>2.5</v>
      </c>
      <c r="F35" s="9">
        <f>SUM('[3]Go Jet'!$EZ$19:$FG$19)</f>
        <v>3860</v>
      </c>
      <c r="G35" s="9">
        <f>SUM('[3]Go Jet'!$EL$19:$ES$19)</f>
        <v>355</v>
      </c>
      <c r="H35" s="38">
        <f>(F35-G35)/G35</f>
        <v>9.873239436619718</v>
      </c>
      <c r="I35" s="83">
        <f t="shared" si="13"/>
        <v>1.5061945176080383E-2</v>
      </c>
      <c r="J35" s="52"/>
      <c r="K35" s="352" t="s">
        <v>159</v>
      </c>
      <c r="L35" s="348">
        <f>'[3]Go Jet'!$FG$41</f>
        <v>23154</v>
      </c>
      <c r="M35" s="9">
        <f>'[3]Go Jet'!$ES$41</f>
        <v>7361</v>
      </c>
      <c r="N35" s="83">
        <f t="shared" si="9"/>
        <v>2.1454965357967666</v>
      </c>
      <c r="O35" s="348">
        <f>SUM('[3]Go Jet'!$EZ$41:$FG$41)</f>
        <v>216537</v>
      </c>
      <c r="P35" s="9">
        <f>SUM('[3]Go Jet'!$EL$41:$ES$41)</f>
        <v>22376</v>
      </c>
      <c r="Q35" s="38">
        <f>(O35-P35)/P35</f>
        <v>8.6771987844118694</v>
      </c>
      <c r="R35" s="83">
        <f t="shared" si="11"/>
        <v>8.6572493753752418E-3</v>
      </c>
      <c r="S35" s="321"/>
      <c r="T35" s="319"/>
    </row>
    <row r="36" spans="1:22" ht="14.1" customHeight="1" x14ac:dyDescent="0.2">
      <c r="A36" s="52"/>
      <c r="B36" s="353" t="s">
        <v>100</v>
      </c>
      <c r="C36" s="348">
        <f>'[3]Sky West'!$FG$19</f>
        <v>6543</v>
      </c>
      <c r="D36" s="9">
        <f>'[3]Sky West'!$ES$19</f>
        <v>5984</v>
      </c>
      <c r="E36" s="83">
        <f t="shared" si="8"/>
        <v>9.3415775401069517E-2</v>
      </c>
      <c r="F36" s="9">
        <f>SUM('[3]Sky West'!$EZ$19:$FG$19)</f>
        <v>46797</v>
      </c>
      <c r="G36" s="9">
        <f>SUM('[3]Sky West'!$EL$19:$ES$19)</f>
        <v>45925</v>
      </c>
      <c r="H36" s="38">
        <f t="shared" si="12"/>
        <v>1.8987479586281983E-2</v>
      </c>
      <c r="I36" s="83">
        <f t="shared" si="13"/>
        <v>0.18260462393912788</v>
      </c>
      <c r="J36" s="52"/>
      <c r="K36" s="353" t="s">
        <v>100</v>
      </c>
      <c r="L36" s="348">
        <f>'[3]Sky West'!$FG$41</f>
        <v>309817</v>
      </c>
      <c r="M36" s="9">
        <f>'[3]Sky West'!$ES$41</f>
        <v>269932</v>
      </c>
      <c r="N36" s="83">
        <f t="shared" si="9"/>
        <v>0.14775943570973429</v>
      </c>
      <c r="O36" s="348">
        <f>SUM('[3]Sky West'!$EZ$41:$FG$41)</f>
        <v>2180727</v>
      </c>
      <c r="P36" s="9">
        <f>SUM('[3]Sky West'!$EL$41:$ES$41)</f>
        <v>2058076</v>
      </c>
      <c r="Q36" s="38">
        <f t="shared" si="10"/>
        <v>5.9594980943366523E-2</v>
      </c>
      <c r="R36" s="83">
        <f t="shared" si="11"/>
        <v>8.7186473714025436E-2</v>
      </c>
      <c r="S36" s="19"/>
    </row>
    <row r="37" spans="1:22" ht="14.1" customHeight="1" x14ac:dyDescent="0.2">
      <c r="A37" s="52"/>
      <c r="B37" s="353" t="s">
        <v>134</v>
      </c>
      <c r="C37" s="348">
        <f>'[3]Shuttle America_Delta'!$FG$19</f>
        <v>0</v>
      </c>
      <c r="D37" s="9">
        <f>'[3]Shuttle America_Delta'!$ES$19</f>
        <v>178</v>
      </c>
      <c r="E37" s="83">
        <f t="shared" si="8"/>
        <v>-1</v>
      </c>
      <c r="F37" s="9">
        <f>SUM('[3]Shuttle America_Delta'!$EZ$19:$FG$19)</f>
        <v>158</v>
      </c>
      <c r="G37" s="9">
        <f>SUM('[3]Shuttle America_Delta'!$EL$19:$ES$19)</f>
        <v>1032</v>
      </c>
      <c r="H37" s="38">
        <f t="shared" si="12"/>
        <v>-0.8468992248062015</v>
      </c>
      <c r="I37" s="83">
        <f t="shared" si="13"/>
        <v>6.165252170519949E-4</v>
      </c>
      <c r="J37" s="52"/>
      <c r="K37" s="353" t="s">
        <v>134</v>
      </c>
      <c r="L37" s="348">
        <f>'[3]Shuttle America_Delta'!$FG$41</f>
        <v>0</v>
      </c>
      <c r="M37" s="9">
        <f>'[3]Shuttle America_Delta'!$ES$41</f>
        <v>10764</v>
      </c>
      <c r="N37" s="83">
        <f t="shared" si="9"/>
        <v>-1</v>
      </c>
      <c r="O37" s="348">
        <f>SUM('[3]Shuttle America_Delta'!$EZ$41:$FG$41)</f>
        <v>8496</v>
      </c>
      <c r="P37" s="9">
        <f>SUM('[3]Shuttle America_Delta'!$EL$41:$ES$41)</f>
        <v>55330</v>
      </c>
      <c r="Q37" s="38">
        <f t="shared" si="10"/>
        <v>-0.84644858123983369</v>
      </c>
      <c r="R37" s="83">
        <f t="shared" si="11"/>
        <v>3.3967400810571888E-4</v>
      </c>
      <c r="S37" s="19"/>
    </row>
    <row r="38" spans="1:22" ht="14.1" customHeight="1" x14ac:dyDescent="0.2">
      <c r="A38" s="52"/>
      <c r="B38" s="424" t="s">
        <v>182</v>
      </c>
      <c r="C38" s="348">
        <f>'[3]Atlantic Southeast'!$FG$19</f>
        <v>220</v>
      </c>
      <c r="D38" s="9">
        <f>'[3]Atlantic Southeast'!$ES$19</f>
        <v>548</v>
      </c>
      <c r="E38" s="83">
        <f t="shared" si="8"/>
        <v>-0.59854014598540151</v>
      </c>
      <c r="F38" s="9">
        <f>SUM('[3]Atlantic Southeast'!$EZ$19:$FG$19)</f>
        <v>4514</v>
      </c>
      <c r="G38" s="9">
        <f>SUM('[3]Atlantic Southeast'!$EL$19:$ES$19)</f>
        <v>5280</v>
      </c>
      <c r="H38" s="38">
        <f t="shared" si="12"/>
        <v>-0.14507575757575758</v>
      </c>
      <c r="I38" s="83">
        <f t="shared" si="13"/>
        <v>1.7613891327675348E-2</v>
      </c>
      <c r="J38" s="52"/>
      <c r="K38" s="424" t="s">
        <v>182</v>
      </c>
      <c r="L38" s="348">
        <f>'[3]Atlantic Southeast'!$FG$41</f>
        <v>10470</v>
      </c>
      <c r="M38" s="9">
        <f>'[3]Atlantic Southeast'!$ES$41</f>
        <v>31011</v>
      </c>
      <c r="N38" s="83">
        <f t="shared" si="9"/>
        <v>-0.66237786591854508</v>
      </c>
      <c r="O38" s="348">
        <f>SUM('[3]Atlantic Southeast'!$EZ$41:$FG$41)</f>
        <v>251388</v>
      </c>
      <c r="P38" s="9">
        <f>SUM('[3]Atlantic Southeast'!$EL$41:$ES$41)</f>
        <v>285821</v>
      </c>
      <c r="Q38" s="38">
        <f t="shared" si="10"/>
        <v>-0.1204705042666564</v>
      </c>
      <c r="R38" s="83">
        <f t="shared" si="11"/>
        <v>1.0050608468653539E-2</v>
      </c>
      <c r="S38" s="318"/>
    </row>
    <row r="39" spans="1:22" ht="14.1" customHeight="1" x14ac:dyDescent="0.2">
      <c r="A39" s="52"/>
      <c r="B39" s="357"/>
      <c r="C39" s="348"/>
      <c r="D39" s="9"/>
      <c r="E39" s="83"/>
      <c r="F39" s="9"/>
      <c r="G39" s="9"/>
      <c r="H39" s="38"/>
      <c r="I39" s="83"/>
      <c r="J39" s="52"/>
      <c r="K39" s="357"/>
      <c r="L39" s="348"/>
      <c r="M39" s="9"/>
      <c r="N39" s="83"/>
      <c r="O39" s="348"/>
      <c r="P39" s="9"/>
      <c r="Q39" s="38"/>
      <c r="R39" s="83"/>
      <c r="S39" s="318"/>
    </row>
    <row r="40" spans="1:22" s="7" customFormat="1" ht="14.1" customHeight="1" x14ac:dyDescent="0.2">
      <c r="A40" s="343" t="s">
        <v>47</v>
      </c>
      <c r="B40" s="358"/>
      <c r="C40" s="344">
        <f>[3]Frontier!$FG$19</f>
        <v>187</v>
      </c>
      <c r="D40" s="346">
        <f>[3]Frontier!$ES$19</f>
        <v>192</v>
      </c>
      <c r="E40" s="347">
        <f>(C40-D40)/D40</f>
        <v>-2.6041666666666668E-2</v>
      </c>
      <c r="F40" s="346">
        <f>SUM([3]Frontier!$EZ$19:$FG$19)</f>
        <v>1422</v>
      </c>
      <c r="G40" s="346">
        <f>SUM([3]Frontier!$EL$19:$ES$19)</f>
        <v>1516</v>
      </c>
      <c r="H40" s="345">
        <f>(F40-G40)/G40</f>
        <v>-6.2005277044854881E-2</v>
      </c>
      <c r="I40" s="347">
        <f>F40/$F$67</f>
        <v>5.5487269534679542E-3</v>
      </c>
      <c r="J40" s="343" t="s">
        <v>47</v>
      </c>
      <c r="K40" s="358"/>
      <c r="L40" s="344">
        <f>[3]Frontier!$FG$41</f>
        <v>25158</v>
      </c>
      <c r="M40" s="346">
        <f>[3]Frontier!$ES$41</f>
        <v>30643</v>
      </c>
      <c r="N40" s="347">
        <f>(L40-M40)/M40</f>
        <v>-0.17899683451359202</v>
      </c>
      <c r="O40" s="344">
        <f>SUM([3]Frontier!$EZ$41:$FG$41)</f>
        <v>211553</v>
      </c>
      <c r="P40" s="346">
        <f>SUM([3]Frontier!$EL$41:$ES$41)</f>
        <v>224634</v>
      </c>
      <c r="Q40" s="345">
        <f>(O40-P40)/P40</f>
        <v>-5.8232502648753084E-2</v>
      </c>
      <c r="R40" s="347">
        <f>O40/$O$67</f>
        <v>8.4579867510345044E-3</v>
      </c>
      <c r="S40" s="320"/>
      <c r="T40"/>
    </row>
    <row r="41" spans="1:22" s="7" customFormat="1" ht="14.1" customHeight="1" x14ac:dyDescent="0.2">
      <c r="A41" s="343"/>
      <c r="B41" s="358"/>
      <c r="C41" s="344"/>
      <c r="D41" s="346"/>
      <c r="E41" s="347"/>
      <c r="F41" s="346"/>
      <c r="G41" s="346"/>
      <c r="H41" s="345"/>
      <c r="I41" s="347"/>
      <c r="J41" s="343"/>
      <c r="K41" s="358"/>
      <c r="L41" s="348"/>
      <c r="M41" s="9"/>
      <c r="N41" s="83"/>
      <c r="O41" s="348"/>
      <c r="P41" s="9"/>
      <c r="Q41" s="38"/>
      <c r="R41" s="83"/>
      <c r="S41" s="320"/>
    </row>
    <row r="42" spans="1:22" s="7" customFormat="1" ht="14.1" customHeight="1" x14ac:dyDescent="0.2">
      <c r="A42" s="343" t="s">
        <v>158</v>
      </c>
      <c r="B42" s="358"/>
      <c r="C42" s="344">
        <f>'[3]Great Lakes'!$FG$19</f>
        <v>0</v>
      </c>
      <c r="D42" s="346">
        <f>'[3]Great Lakes'!$ES$19</f>
        <v>0</v>
      </c>
      <c r="E42" s="347" t="e">
        <f>(C42-D42)/D42</f>
        <v>#DIV/0!</v>
      </c>
      <c r="F42" s="346">
        <f>SUM('[3]Great Lakes'!$EZ$19:$FG$19)</f>
        <v>0</v>
      </c>
      <c r="G42" s="346">
        <f>SUM('[3]Great Lakes'!$EL$19:$ES$19)</f>
        <v>571</v>
      </c>
      <c r="H42" s="345">
        <f>(F42-G42)/G42</f>
        <v>-1</v>
      </c>
      <c r="I42" s="347">
        <f>F42/$F$67</f>
        <v>0</v>
      </c>
      <c r="J42" s="343" t="s">
        <v>158</v>
      </c>
      <c r="K42" s="358"/>
      <c r="L42" s="344">
        <f>'[3]Great Lakes'!$FG$41</f>
        <v>0</v>
      </c>
      <c r="M42" s="346">
        <f>'[3]Great Lakes'!$ES$41</f>
        <v>0</v>
      </c>
      <c r="N42" s="347" t="e">
        <f>(L42-M42)/M42</f>
        <v>#DIV/0!</v>
      </c>
      <c r="O42" s="344">
        <f>SUM('[3]Great Lakes'!$EZ$41:$FG$41)</f>
        <v>0</v>
      </c>
      <c r="P42" s="346">
        <f>SUM('[3]Great Lakes'!$EL$41:$ES$41)</f>
        <v>1557</v>
      </c>
      <c r="Q42" s="345">
        <f>(O42-P42)/P42</f>
        <v>-1</v>
      </c>
      <c r="R42" s="347">
        <f>O42/$O$67</f>
        <v>0</v>
      </c>
      <c r="S42" s="320"/>
    </row>
    <row r="43" spans="1:22" s="7" customFormat="1" ht="14.1" customHeight="1" x14ac:dyDescent="0.2">
      <c r="A43" s="343"/>
      <c r="B43" s="358"/>
      <c r="C43" s="344"/>
      <c r="D43" s="346"/>
      <c r="E43" s="347"/>
      <c r="F43" s="346"/>
      <c r="G43" s="346"/>
      <c r="H43" s="345"/>
      <c r="I43" s="347"/>
      <c r="J43" s="343"/>
      <c r="K43" s="358"/>
      <c r="L43" s="348"/>
      <c r="M43" s="9"/>
      <c r="N43" s="83"/>
      <c r="O43" s="348"/>
      <c r="P43" s="9"/>
      <c r="Q43" s="38"/>
      <c r="R43" s="83"/>
      <c r="S43" s="320"/>
    </row>
    <row r="44" spans="1:22" s="7" customFormat="1" ht="14.1" customHeight="1" x14ac:dyDescent="0.2">
      <c r="A44" s="343" t="s">
        <v>48</v>
      </c>
      <c r="B44" s="358"/>
      <c r="C44" s="344">
        <f>[3]Icelandair!$FG$19</f>
        <v>62</v>
      </c>
      <c r="D44" s="346">
        <f>[3]Icelandair!$ES$19</f>
        <v>64</v>
      </c>
      <c r="E44" s="347">
        <f>(C44-D44)/D44</f>
        <v>-3.125E-2</v>
      </c>
      <c r="F44" s="346">
        <f>SUM([3]Icelandair!$EZ$19:$FG$19)</f>
        <v>382</v>
      </c>
      <c r="G44" s="346">
        <f>SUM([3]Icelandair!$EL$19:$ES$19)</f>
        <v>254</v>
      </c>
      <c r="H44" s="345">
        <f>(F44-G44)/G44</f>
        <v>0.50393700787401574</v>
      </c>
      <c r="I44" s="347">
        <f>F44/$F$67</f>
        <v>1.4905862842649498E-3</v>
      </c>
      <c r="J44" s="343" t="s">
        <v>48</v>
      </c>
      <c r="K44" s="358"/>
      <c r="L44" s="344">
        <f>[3]Icelandair!$FG$41</f>
        <v>13784</v>
      </c>
      <c r="M44" s="346">
        <f>[3]Icelandair!$ES$41</f>
        <v>13270</v>
      </c>
      <c r="N44" s="347">
        <f>(L44-M44)/M44</f>
        <v>3.8733986435568954E-2</v>
      </c>
      <c r="O44" s="344">
        <f>SUM([3]Icelandair!$EZ$41:$FG$41)</f>
        <v>72517</v>
      </c>
      <c r="P44" s="346">
        <f>SUM([3]Icelandair!$EL$41:$ES$41)</f>
        <v>48765</v>
      </c>
      <c r="Q44" s="345">
        <f>(O44-P44)/P44</f>
        <v>0.48707064492976521</v>
      </c>
      <c r="R44" s="347">
        <f>O44/$O$67</f>
        <v>2.8992631880652561E-3</v>
      </c>
      <c r="S44" s="19"/>
    </row>
    <row r="45" spans="1:22" s="7" customFormat="1" ht="14.1" customHeight="1" x14ac:dyDescent="0.2">
      <c r="A45" s="343"/>
      <c r="B45" s="358"/>
      <c r="C45" s="344"/>
      <c r="D45" s="346"/>
      <c r="E45" s="347"/>
      <c r="F45" s="346"/>
      <c r="G45" s="346"/>
      <c r="H45" s="345"/>
      <c r="I45" s="347"/>
      <c r="J45" s="343"/>
      <c r="K45" s="358"/>
      <c r="L45" s="348"/>
      <c r="M45" s="9"/>
      <c r="N45" s="83"/>
      <c r="O45" s="348"/>
      <c r="P45" s="9"/>
      <c r="Q45" s="38"/>
      <c r="R45" s="83"/>
      <c r="S45" s="19"/>
    </row>
    <row r="46" spans="1:22" s="7" customFormat="1" ht="14.1" customHeight="1" x14ac:dyDescent="0.2">
      <c r="A46" s="343" t="s">
        <v>221</v>
      </c>
      <c r="B46" s="358"/>
      <c r="C46" s="344">
        <f>[3]KLM!$FG$19</f>
        <v>26</v>
      </c>
      <c r="D46" s="346">
        <f>[3]KLM!$ES$19</f>
        <v>0</v>
      </c>
      <c r="E46" s="347" t="e">
        <f>(C46-D46)/D46</f>
        <v>#DIV/0!</v>
      </c>
      <c r="F46" s="346">
        <f>SUM([3]KLM!$EZ$19:$FG$19)</f>
        <v>132</v>
      </c>
      <c r="G46" s="346">
        <f>SUM([3]KLM!$EL$19:$ES$19)</f>
        <v>0</v>
      </c>
      <c r="H46" s="345" t="e">
        <f>(F46-G46)/G46</f>
        <v>#DIV/0!</v>
      </c>
      <c r="I46" s="347">
        <f>F46/$F$67</f>
        <v>5.1507170032191979E-4</v>
      </c>
      <c r="J46" s="343" t="s">
        <v>221</v>
      </c>
      <c r="K46" s="358"/>
      <c r="L46" s="344">
        <f>[3]KLM!$FG$41</f>
        <v>6263</v>
      </c>
      <c r="M46" s="346">
        <f>[3]KLM!$ES$41</f>
        <v>0</v>
      </c>
      <c r="N46" s="347" t="e">
        <f>(L46-M46)/M46</f>
        <v>#DIV/0!</v>
      </c>
      <c r="O46" s="344">
        <f>SUM([3]KLM!$EZ$41:$FG$41)</f>
        <v>31218</v>
      </c>
      <c r="P46" s="346">
        <f>SUM([3]KLM!$EL$41:$ES$41)</f>
        <v>0</v>
      </c>
      <c r="Q46" s="345" t="e">
        <f>(O46-P46)/P46</f>
        <v>#DIV/0!</v>
      </c>
      <c r="R46" s="347">
        <f>O46/$O$67</f>
        <v>1.2481100735692481E-3</v>
      </c>
      <c r="S46" s="19"/>
    </row>
    <row r="47" spans="1:22" s="7" customFormat="1" ht="14.1" customHeight="1" x14ac:dyDescent="0.2">
      <c r="A47" s="343"/>
      <c r="B47" s="358"/>
      <c r="C47" s="344"/>
      <c r="D47" s="346"/>
      <c r="E47" s="347"/>
      <c r="F47" s="346"/>
      <c r="G47" s="346"/>
      <c r="H47" s="345"/>
      <c r="I47" s="347"/>
      <c r="J47" s="343"/>
      <c r="K47" s="358"/>
      <c r="L47" s="348"/>
      <c r="M47" s="9"/>
      <c r="N47" s="83"/>
      <c r="O47" s="348"/>
      <c r="P47" s="9"/>
      <c r="Q47" s="38"/>
      <c r="R47" s="83"/>
      <c r="S47" s="19"/>
    </row>
    <row r="48" spans="1:22" ht="14.1" customHeight="1" x14ac:dyDescent="0.2">
      <c r="A48" s="355" t="s">
        <v>132</v>
      </c>
      <c r="B48" s="53"/>
      <c r="C48" s="344">
        <f>SUM(C49:C49)</f>
        <v>1598</v>
      </c>
      <c r="D48" s="346">
        <f>SUM(D49:D49)</f>
        <v>1565</v>
      </c>
      <c r="E48" s="347">
        <f>(C48-D48)/D48</f>
        <v>2.1086261980830672E-2</v>
      </c>
      <c r="F48" s="344">
        <f>SUM(F49:F49)</f>
        <v>12112</v>
      </c>
      <c r="G48" s="346">
        <f>SUM(G49:G49)</f>
        <v>11340</v>
      </c>
      <c r="H48" s="345">
        <f>(F48-G48)/G48</f>
        <v>6.8077601410934746E-2</v>
      </c>
      <c r="I48" s="347">
        <f>F48/$F$67</f>
        <v>4.7261730562871918E-2</v>
      </c>
      <c r="J48" s="343" t="s">
        <v>132</v>
      </c>
      <c r="K48" s="53"/>
      <c r="L48" s="344">
        <f>SUM(L49:L49)</f>
        <v>193207</v>
      </c>
      <c r="M48" s="346">
        <f>SUM(M49:M49)</f>
        <v>205982</v>
      </c>
      <c r="N48" s="347">
        <f>(L48-M48)/M48</f>
        <v>-6.2019982328552978E-2</v>
      </c>
      <c r="O48" s="344">
        <f>SUM(O49:O49)</f>
        <v>1404284</v>
      </c>
      <c r="P48" s="346">
        <f>SUM(P49:P49)</f>
        <v>1396333</v>
      </c>
      <c r="Q48" s="345">
        <f>(O48-P48)/P48</f>
        <v>5.6942004521844001E-3</v>
      </c>
      <c r="R48" s="347">
        <f>O48/$O$67</f>
        <v>5.6143923587421297E-2</v>
      </c>
      <c r="S48" s="19"/>
    </row>
    <row r="49" spans="1:20" ht="14.1" customHeight="1" x14ac:dyDescent="0.2">
      <c r="A49" s="355"/>
      <c r="B49" s="53" t="s">
        <v>132</v>
      </c>
      <c r="C49" s="419">
        <f>[3]Southwest!$FG$19</f>
        <v>1598</v>
      </c>
      <c r="D49" s="286">
        <f>[3]Southwest!$ES$19</f>
        <v>1565</v>
      </c>
      <c r="E49" s="421">
        <f>(C49-D49)/D49</f>
        <v>2.1086261980830672E-2</v>
      </c>
      <c r="F49" s="286">
        <f>SUM([3]Southwest!$EZ$19:$FG$19)</f>
        <v>12112</v>
      </c>
      <c r="G49" s="286">
        <f>SUM([3]Southwest!$EL$19:$ES$19)</f>
        <v>11340</v>
      </c>
      <c r="H49" s="420">
        <f>(F49-G49)/G49</f>
        <v>6.8077601410934746E-2</v>
      </c>
      <c r="I49" s="421">
        <f>F49/$F$67</f>
        <v>4.7261730562871918E-2</v>
      </c>
      <c r="J49" s="343"/>
      <c r="K49" s="53" t="s">
        <v>132</v>
      </c>
      <c r="L49" s="419">
        <f>[3]Southwest!$FG$41</f>
        <v>193207</v>
      </c>
      <c r="M49" s="286">
        <f>[3]Southwest!$ES$41</f>
        <v>205982</v>
      </c>
      <c r="N49" s="421">
        <f>(L49-M49)/M49</f>
        <v>-6.2019982328552978E-2</v>
      </c>
      <c r="O49" s="419">
        <f>SUM([3]Southwest!$EZ$41:$FG$41)</f>
        <v>1404284</v>
      </c>
      <c r="P49" s="286">
        <f>SUM([3]Southwest!$EL$41:$ES$41)</f>
        <v>1396333</v>
      </c>
      <c r="Q49" s="420">
        <f>(O49-P49)/P49</f>
        <v>5.6942004521844001E-3</v>
      </c>
      <c r="R49" s="421">
        <f>O49/$O$67</f>
        <v>5.6143923587421297E-2</v>
      </c>
      <c r="S49" s="19"/>
    </row>
    <row r="50" spans="1:20" ht="14.1" customHeight="1" x14ac:dyDescent="0.2">
      <c r="A50" s="343"/>
      <c r="B50" s="53"/>
      <c r="C50" s="344"/>
      <c r="D50" s="346"/>
      <c r="E50" s="347"/>
      <c r="F50" s="346"/>
      <c r="G50" s="346"/>
      <c r="H50" s="345"/>
      <c r="I50" s="347"/>
      <c r="J50" s="343"/>
      <c r="K50" s="53"/>
      <c r="L50" s="348"/>
      <c r="M50" s="9"/>
      <c r="N50" s="83"/>
      <c r="O50" s="348"/>
      <c r="P50" s="9"/>
      <c r="Q50" s="38"/>
      <c r="R50" s="83"/>
      <c r="S50" s="19"/>
      <c r="T50" s="7"/>
    </row>
    <row r="51" spans="1:20" ht="14.1" customHeight="1" x14ac:dyDescent="0.2">
      <c r="A51" s="343" t="s">
        <v>160</v>
      </c>
      <c r="B51" s="53"/>
      <c r="C51" s="344">
        <f>[3]Spirit!$FG$19</f>
        <v>780</v>
      </c>
      <c r="D51" s="346">
        <f>[3]Spirit!$ES$19</f>
        <v>802</v>
      </c>
      <c r="E51" s="347">
        <f>(C51-D51)/D51</f>
        <v>-2.7431421446384038E-2</v>
      </c>
      <c r="F51" s="346">
        <f>SUM([3]Spirit!$EZ$19:$FG$19)</f>
        <v>6217</v>
      </c>
      <c r="G51" s="346">
        <f>SUM([3]Spirit!$EL$19:$ES$19)</f>
        <v>5809</v>
      </c>
      <c r="H51" s="345">
        <f>(F51-G51)/G51</f>
        <v>7.0235840936477875E-2</v>
      </c>
      <c r="I51" s="347">
        <f>F51/$F$67</f>
        <v>2.4259096673495267E-2</v>
      </c>
      <c r="J51" s="343" t="s">
        <v>160</v>
      </c>
      <c r="K51" s="53"/>
      <c r="L51" s="344">
        <f>[3]Spirit!$FG$41</f>
        <v>114899</v>
      </c>
      <c r="M51" s="346">
        <f>[3]Spirit!$ES$41</f>
        <v>116392</v>
      </c>
      <c r="N51" s="347">
        <f>(L51-M51)/M51</f>
        <v>-1.2827342085366691E-2</v>
      </c>
      <c r="O51" s="344">
        <f>SUM([3]Spirit!$EZ$41:$FG$41)</f>
        <v>852679</v>
      </c>
      <c r="P51" s="346">
        <f>SUM([3]Spirit!$EL$41:$ES$41)</f>
        <v>822588</v>
      </c>
      <c r="Q51" s="345">
        <f>(O51-P51)/P51</f>
        <v>3.6580888610093995E-2</v>
      </c>
      <c r="R51" s="347">
        <f>O51/$O$67</f>
        <v>3.4090500654140335E-2</v>
      </c>
      <c r="S51" s="19"/>
      <c r="T51" s="7"/>
    </row>
    <row r="52" spans="1:20" ht="14.1" customHeight="1" x14ac:dyDescent="0.2">
      <c r="A52" s="343"/>
      <c r="B52" s="53"/>
      <c r="C52" s="344"/>
      <c r="D52" s="346"/>
      <c r="E52" s="347"/>
      <c r="F52" s="346"/>
      <c r="G52" s="346"/>
      <c r="H52" s="345"/>
      <c r="I52" s="347"/>
      <c r="J52" s="343"/>
      <c r="K52" s="53"/>
      <c r="L52" s="348"/>
      <c r="M52" s="9"/>
      <c r="N52" s="83"/>
      <c r="O52" s="348"/>
      <c r="P52" s="9"/>
      <c r="Q52" s="38"/>
      <c r="R52" s="83">
        <f>O52/$O$67</f>
        <v>0</v>
      </c>
      <c r="S52" s="19"/>
      <c r="T52" s="7"/>
    </row>
    <row r="53" spans="1:20" s="7" customFormat="1" ht="14.1" customHeight="1" x14ac:dyDescent="0.2">
      <c r="A53" s="343" t="s">
        <v>49</v>
      </c>
      <c r="B53" s="358"/>
      <c r="C53" s="344">
        <f>'[3]Sun Country'!$FG$19</f>
        <v>1713</v>
      </c>
      <c r="D53" s="346">
        <f>'[3]Sun Country'!$ES$19</f>
        <v>1579</v>
      </c>
      <c r="E53" s="347">
        <f>(C53-D53)/D53</f>
        <v>8.4863837872070927E-2</v>
      </c>
      <c r="F53" s="346">
        <f>SUM('[3]Sun Country'!$EZ$19:$FG$19)</f>
        <v>14594</v>
      </c>
      <c r="G53" s="346">
        <f>SUM('[3]Sun Country'!$EL$19:$ES$19)</f>
        <v>13228</v>
      </c>
      <c r="H53" s="345">
        <f>(F53-G53)/G53</f>
        <v>0.10326579981856668</v>
      </c>
      <c r="I53" s="347">
        <f>F53/$F$67</f>
        <v>5.6946639352258313E-2</v>
      </c>
      <c r="J53" s="343" t="s">
        <v>49</v>
      </c>
      <c r="K53" s="358"/>
      <c r="L53" s="344">
        <f>'[3]Sun Country'!$FG$41</f>
        <v>202959</v>
      </c>
      <c r="M53" s="346">
        <f>'[3]Sun Country'!$ES$41</f>
        <v>193034</v>
      </c>
      <c r="N53" s="347">
        <f>(L53-M53)/M53</f>
        <v>5.1415812758374174E-2</v>
      </c>
      <c r="O53" s="344">
        <f>SUM('[3]Sun Country'!$EZ$41:$FG$41)</f>
        <v>1689104</v>
      </c>
      <c r="P53" s="346">
        <f>SUM('[3]Sun Country'!$EL$41:$ES$41)</f>
        <v>1525391</v>
      </c>
      <c r="Q53" s="345">
        <f>(O53-P53)/P53</f>
        <v>0.10732526938994658</v>
      </c>
      <c r="R53" s="347">
        <f>O53/$O$67</f>
        <v>6.7531158873281802E-2</v>
      </c>
      <c r="S53" s="19"/>
    </row>
    <row r="54" spans="1:20" s="7" customFormat="1" ht="14.1" customHeight="1" x14ac:dyDescent="0.2">
      <c r="A54" s="343"/>
      <c r="B54" s="358"/>
      <c r="C54" s="344"/>
      <c r="D54" s="346"/>
      <c r="E54" s="347"/>
      <c r="F54" s="346"/>
      <c r="G54" s="346"/>
      <c r="H54" s="345"/>
      <c r="I54" s="347"/>
      <c r="J54" s="343"/>
      <c r="K54" s="358"/>
      <c r="L54" s="348"/>
      <c r="M54" s="9"/>
      <c r="N54" s="83"/>
      <c r="O54" s="348"/>
      <c r="P54" s="9"/>
      <c r="Q54" s="38"/>
      <c r="R54" s="83"/>
      <c r="S54" s="19"/>
    </row>
    <row r="55" spans="1:20" s="7" customFormat="1" ht="14.1" customHeight="1" x14ac:dyDescent="0.2">
      <c r="A55" s="343" t="s">
        <v>19</v>
      </c>
      <c r="B55" s="351"/>
      <c r="C55" s="344">
        <f>SUM(C56:C62)</f>
        <v>1870</v>
      </c>
      <c r="D55" s="346">
        <f>SUM(D56:D62)</f>
        <v>1892</v>
      </c>
      <c r="E55" s="347">
        <f t="shared" ref="E55:E62" si="14">(C55-D55)/D55</f>
        <v>-1.1627906976744186E-2</v>
      </c>
      <c r="F55" s="346">
        <f>SUM(F56:F62)</f>
        <v>13300</v>
      </c>
      <c r="G55" s="346">
        <f>SUM(G56:G62)</f>
        <v>13306</v>
      </c>
      <c r="H55" s="345">
        <f t="shared" ref="H55:H62" si="15">(F55-G55)/G55</f>
        <v>-4.5092439500977002E-4</v>
      </c>
      <c r="I55" s="347">
        <f t="shared" ref="I55:I62" si="16">F55/$F$67</f>
        <v>5.1897375865769195E-2</v>
      </c>
      <c r="J55" s="343" t="s">
        <v>19</v>
      </c>
      <c r="K55" s="351"/>
      <c r="L55" s="344">
        <f>SUM(L56:L62)</f>
        <v>167195</v>
      </c>
      <c r="M55" s="346">
        <f>SUM(M56:M62)</f>
        <v>175901</v>
      </c>
      <c r="N55" s="347">
        <f t="shared" ref="N55:N62" si="17">(L55-M55)/M55</f>
        <v>-4.949374932490435E-2</v>
      </c>
      <c r="O55" s="344">
        <f>SUM(O56:O62)</f>
        <v>1137556</v>
      </c>
      <c r="P55" s="346">
        <f>SUM(P56:P62)</f>
        <v>1132979</v>
      </c>
      <c r="Q55" s="345">
        <f t="shared" ref="Q55:Q62" si="18">(O55-P55)/P55</f>
        <v>4.0397924409896384E-3</v>
      </c>
      <c r="R55" s="347">
        <f t="shared" ref="R55:R62" si="19">O55/$O$67</f>
        <v>4.5480014826354657E-2</v>
      </c>
      <c r="S55" s="19"/>
      <c r="T55"/>
    </row>
    <row r="56" spans="1:20" s="7" customFormat="1" ht="14.1" customHeight="1" x14ac:dyDescent="0.2">
      <c r="A56" s="359"/>
      <c r="B56" s="422" t="s">
        <v>19</v>
      </c>
      <c r="C56" s="348">
        <f>[3]United!$FG$19</f>
        <v>926</v>
      </c>
      <c r="D56" s="9">
        <f>[3]United!$ES$19+[3]Continental!$ES$19</f>
        <v>832</v>
      </c>
      <c r="E56" s="83">
        <f t="shared" si="14"/>
        <v>0.11298076923076923</v>
      </c>
      <c r="F56" s="9">
        <f>SUM([3]United!$EZ$19:$FG$19)</f>
        <v>5996</v>
      </c>
      <c r="G56" s="9">
        <f>SUM([3]United!$EL$19:$ES$19)+SUM([3]Continental!$EL$19:$ES$19)</f>
        <v>4868</v>
      </c>
      <c r="H56" s="38">
        <f t="shared" si="15"/>
        <v>0.23171733771569433</v>
      </c>
      <c r="I56" s="83">
        <f t="shared" si="16"/>
        <v>2.3396741781289629E-2</v>
      </c>
      <c r="J56" s="359"/>
      <c r="K56" s="422" t="s">
        <v>19</v>
      </c>
      <c r="L56" s="348">
        <f>[3]United!$FG$41</f>
        <v>109039</v>
      </c>
      <c r="M56" s="9">
        <f>[3]United!$ES$41+[3]Continental!$ES$41</f>
        <v>106824</v>
      </c>
      <c r="N56" s="83">
        <f t="shared" si="17"/>
        <v>2.0735040814798173E-2</v>
      </c>
      <c r="O56" s="348">
        <f>SUM([3]United!$EZ$41:$FG$41)</f>
        <v>699352</v>
      </c>
      <c r="P56" s="9">
        <f>SUM([3]United!$EL$41:$ES$41)+SUM([3]Continental!$EL$41:$ES$41)</f>
        <v>603444</v>
      </c>
      <c r="Q56" s="38">
        <f t="shared" si="18"/>
        <v>0.15893438330648743</v>
      </c>
      <c r="R56" s="83">
        <f t="shared" si="19"/>
        <v>2.7960416303760678E-2</v>
      </c>
      <c r="S56" s="19"/>
    </row>
    <row r="57" spans="1:20" s="7" customFormat="1" ht="14.1" customHeight="1" x14ac:dyDescent="0.2">
      <c r="A57" s="359"/>
      <c r="B57" s="424" t="s">
        <v>182</v>
      </c>
      <c r="C57" s="348">
        <f>'[3]Continental Express'!$FG$19</f>
        <v>4</v>
      </c>
      <c r="D57" s="9">
        <f>'[3]Continental Express'!$ES$19</f>
        <v>8</v>
      </c>
      <c r="E57" s="83">
        <f t="shared" si="14"/>
        <v>-0.5</v>
      </c>
      <c r="F57" s="9">
        <f>SUM('[3]Continental Express'!$EZ$19:$FG$19)</f>
        <v>134</v>
      </c>
      <c r="G57" s="9">
        <f>SUM('[3]Continental Express'!$EL$19:$ES$19)</f>
        <v>1136</v>
      </c>
      <c r="H57" s="38">
        <f t="shared" si="15"/>
        <v>-0.88204225352112675</v>
      </c>
      <c r="I57" s="83">
        <f t="shared" si="16"/>
        <v>5.228758169934641E-4</v>
      </c>
      <c r="J57" s="52"/>
      <c r="K57" s="422" t="s">
        <v>182</v>
      </c>
      <c r="L57" s="348">
        <f>'[3]Continental Express'!$FG$41</f>
        <v>198</v>
      </c>
      <c r="M57" s="9">
        <f>'[3]Continental Express'!$ES$41</f>
        <v>357</v>
      </c>
      <c r="N57" s="83">
        <f t="shared" si="17"/>
        <v>-0.44537815126050423</v>
      </c>
      <c r="O57" s="348">
        <f>SUM('[3]Continental Express'!$EZ$41:$FG$41)</f>
        <v>5551</v>
      </c>
      <c r="P57" s="9">
        <f>SUM('[3]Continental Express'!$EL$41:$ES$41)</f>
        <v>74304</v>
      </c>
      <c r="Q57" s="38">
        <f t="shared" si="18"/>
        <v>-0.92529338931955207</v>
      </c>
      <c r="R57" s="83">
        <f t="shared" si="19"/>
        <v>2.2193154649186036E-4</v>
      </c>
      <c r="S57" s="19"/>
    </row>
    <row r="58" spans="1:20" s="7" customFormat="1" ht="14.1" customHeight="1" x14ac:dyDescent="0.2">
      <c r="A58" s="359"/>
      <c r="B58" s="353" t="s">
        <v>159</v>
      </c>
      <c r="C58" s="348">
        <f>'[3]Go Jet_UA'!$FG$19</f>
        <v>40</v>
      </c>
      <c r="D58" s="9">
        <f>'[3]Go Jet_UA'!$ES$19</f>
        <v>14</v>
      </c>
      <c r="E58" s="83">
        <f t="shared" si="14"/>
        <v>1.8571428571428572</v>
      </c>
      <c r="F58" s="9">
        <f>SUM('[3]Go Jet_UA'!$EZ$19:$FG$19)</f>
        <v>206</v>
      </c>
      <c r="G58" s="9">
        <f>SUM('[3]Go Jet_UA'!$EL$19:$ES$19)</f>
        <v>270</v>
      </c>
      <c r="H58" s="38">
        <f t="shared" si="15"/>
        <v>-0.23703703703703705</v>
      </c>
      <c r="I58" s="83">
        <f t="shared" si="16"/>
        <v>8.0382401716905672E-4</v>
      </c>
      <c r="J58" s="359"/>
      <c r="K58" s="352" t="s">
        <v>159</v>
      </c>
      <c r="L58" s="348">
        <f>'[3]Go Jet_UA'!$FG$41</f>
        <v>2669</v>
      </c>
      <c r="M58" s="9">
        <f>'[3]Go Jet_UA'!$ES$41</f>
        <v>949</v>
      </c>
      <c r="N58" s="83">
        <f t="shared" si="17"/>
        <v>1.8124341412012646</v>
      </c>
      <c r="O58" s="348">
        <f>SUM('[3]Go Jet_UA'!$EZ$41:$FG$41)</f>
        <v>13282</v>
      </c>
      <c r="P58" s="9">
        <f>SUM('[3]Go Jet_UA'!$EL$41:$ES$41)</f>
        <v>17155</v>
      </c>
      <c r="Q58" s="38">
        <f t="shared" si="18"/>
        <v>-0.22576508306616147</v>
      </c>
      <c r="R58" s="83">
        <f t="shared" si="19"/>
        <v>5.3102050090161944E-4</v>
      </c>
      <c r="S58" s="19"/>
    </row>
    <row r="59" spans="1:20" s="7" customFormat="1" ht="14.1" customHeight="1" x14ac:dyDescent="0.2">
      <c r="A59" s="359"/>
      <c r="B59" s="353" t="s">
        <v>51</v>
      </c>
      <c r="C59" s="348">
        <f>[3]MESA_UA!$FG$19</f>
        <v>290</v>
      </c>
      <c r="D59" s="9">
        <f>[3]MESA_UA!$ES$19</f>
        <v>418</v>
      </c>
      <c r="E59" s="83">
        <f t="shared" si="14"/>
        <v>-0.30622009569377989</v>
      </c>
      <c r="F59" s="9">
        <f>SUM([3]MESA_UA!$EZ$19:$FG$19)</f>
        <v>2444</v>
      </c>
      <c r="G59" s="9">
        <f>SUM([3]MESA_UA!$EL$19:$ES$19)</f>
        <v>2126</v>
      </c>
      <c r="H59" s="38">
        <f>(F59-G59)/G59</f>
        <v>0.14957666980244591</v>
      </c>
      <c r="I59" s="83">
        <f t="shared" si="16"/>
        <v>9.5366305726270612E-3</v>
      </c>
      <c r="J59" s="359"/>
      <c r="K59" s="352" t="s">
        <v>51</v>
      </c>
      <c r="L59" s="348">
        <f>[3]MESA_UA!$FG$41</f>
        <v>16637</v>
      </c>
      <c r="M59" s="9">
        <f>[3]MESA_UA!$ES$41</f>
        <v>26479</v>
      </c>
      <c r="N59" s="83">
        <f t="shared" si="17"/>
        <v>-0.3716907738207636</v>
      </c>
      <c r="O59" s="348">
        <f>SUM([3]MESA_UA!$EZ$41:$FG$41)</f>
        <v>141793</v>
      </c>
      <c r="P59" s="9">
        <f>SUM([3]MESA_UA!$EL$41:$ES$41)</f>
        <v>123936</v>
      </c>
      <c r="Q59" s="38">
        <f t="shared" si="18"/>
        <v>0.1440824296411051</v>
      </c>
      <c r="R59" s="83">
        <f t="shared" si="19"/>
        <v>5.6689496976617465E-3</v>
      </c>
      <c r="S59" s="19"/>
    </row>
    <row r="60" spans="1:20" s="7" customFormat="1" ht="14.1" customHeight="1" x14ac:dyDescent="0.2">
      <c r="A60" s="359"/>
      <c r="B60" s="424" t="s">
        <v>52</v>
      </c>
      <c r="C60" s="348">
        <f>[3]Republic_UA!$FG$19</f>
        <v>418</v>
      </c>
      <c r="D60" s="9">
        <f>[3]Republic_UA!$ES$19</f>
        <v>294</v>
      </c>
      <c r="E60" s="83">
        <f t="shared" si="14"/>
        <v>0.42176870748299322</v>
      </c>
      <c r="F60" s="9">
        <f>SUM([3]Republic_UA!$EZ$19:$FG$19)</f>
        <v>2464</v>
      </c>
      <c r="G60" s="9">
        <f>SUM([3]Republic_UA!$EL$19:$ES$19)</f>
        <v>1456</v>
      </c>
      <c r="H60" s="38">
        <f t="shared" ref="H60" si="20">(F60-G60)/G60</f>
        <v>0.69230769230769229</v>
      </c>
      <c r="I60" s="83">
        <f t="shared" si="16"/>
        <v>9.6146717393425039E-3</v>
      </c>
      <c r="J60" s="359"/>
      <c r="K60" s="424" t="s">
        <v>52</v>
      </c>
      <c r="L60" s="348">
        <f>[3]Republic_UA!$FG$41</f>
        <v>25299</v>
      </c>
      <c r="M60" s="9">
        <f>[3]Republic_UA!$ES$41</f>
        <v>18348</v>
      </c>
      <c r="N60" s="83">
        <f t="shared" si="17"/>
        <v>0.37884238064094178</v>
      </c>
      <c r="O60" s="348">
        <f>SUM([3]Republic_UA!$EZ$41:$FG$41)</f>
        <v>142706</v>
      </c>
      <c r="P60" s="9">
        <f>SUM([3]Republic_UA!$EL$41:$ES$41)</f>
        <v>89881</v>
      </c>
      <c r="Q60" s="38">
        <f t="shared" si="18"/>
        <v>0.58772154292898393</v>
      </c>
      <c r="R60" s="83">
        <f t="shared" si="19"/>
        <v>5.70545185978516E-3</v>
      </c>
      <c r="S60" s="19"/>
    </row>
    <row r="61" spans="1:20" s="7" customFormat="1" ht="14.1" customHeight="1" x14ac:dyDescent="0.2">
      <c r="A61" s="359"/>
      <c r="B61" s="353" t="s">
        <v>100</v>
      </c>
      <c r="C61" s="348">
        <f>'[3]Sky West_UA'!$FG$19</f>
        <v>192</v>
      </c>
      <c r="D61" s="9">
        <f>'[3]Sky West_UA'!$ES$19+'[3]Sky West_CO'!$ES$19</f>
        <v>316</v>
      </c>
      <c r="E61" s="83">
        <f t="shared" si="14"/>
        <v>-0.39240506329113922</v>
      </c>
      <c r="F61" s="9">
        <f>SUM('[3]Sky West_UA'!$EZ$19:$FG$19)</f>
        <v>2032</v>
      </c>
      <c r="G61" s="9">
        <f>SUM('[3]Sky West_UA'!$EL$19:$ES$19)+SUM('[3]Sky West_CO'!$EL$19:$ES$19)</f>
        <v>2908</v>
      </c>
      <c r="H61" s="38">
        <f t="shared" si="15"/>
        <v>-0.30123796423658872</v>
      </c>
      <c r="I61" s="83">
        <f t="shared" si="16"/>
        <v>7.9289825382889475E-3</v>
      </c>
      <c r="J61" s="359"/>
      <c r="K61" s="352" t="s">
        <v>100</v>
      </c>
      <c r="L61" s="348">
        <f>'[3]Sky West_UA'!$FG$41</f>
        <v>13353</v>
      </c>
      <c r="M61" s="9">
        <f>'[3]Sky West_UA'!$ES$41+'[3]Sky West_CO'!$ES$41</f>
        <v>22295</v>
      </c>
      <c r="N61" s="83">
        <f t="shared" si="17"/>
        <v>-0.40107647454586232</v>
      </c>
      <c r="O61" s="348">
        <f>SUM('[3]Sky West_UA'!$EZ$41:$FG$41)</f>
        <v>133599</v>
      </c>
      <c r="P61" s="9">
        <f>SUM('[3]Sky West_UA'!$EL$41:$ES$41)+SUM('[3]Sky West_CO'!$EL$41:$ES$41)</f>
        <v>192339</v>
      </c>
      <c r="Q61" s="38">
        <f t="shared" si="18"/>
        <v>-0.3053982811598272</v>
      </c>
      <c r="R61" s="83">
        <f t="shared" si="19"/>
        <v>5.3413497891850207E-3</v>
      </c>
      <c r="S61" s="19"/>
    </row>
    <row r="62" spans="1:20" s="7" customFormat="1" ht="14.1" customHeight="1" x14ac:dyDescent="0.2">
      <c r="A62" s="359"/>
      <c r="B62" s="354" t="s">
        <v>134</v>
      </c>
      <c r="C62" s="348">
        <f>'[3]Shuttle America'!$FG$19</f>
        <v>0</v>
      </c>
      <c r="D62" s="9">
        <f>'[3]Shuttle America'!$ES$19</f>
        <v>10</v>
      </c>
      <c r="E62" s="83">
        <f t="shared" si="14"/>
        <v>-1</v>
      </c>
      <c r="F62" s="9">
        <f>SUM('[3]Shuttle America'!$EZ$19:$FG$19)</f>
        <v>24</v>
      </c>
      <c r="G62" s="9">
        <f>SUM('[3]Shuttle America'!$EL$19:$ES$19)</f>
        <v>542</v>
      </c>
      <c r="H62" s="38">
        <f t="shared" si="15"/>
        <v>-0.955719557195572</v>
      </c>
      <c r="I62" s="83">
        <f t="shared" si="16"/>
        <v>9.3649400058530869E-5</v>
      </c>
      <c r="J62" s="359"/>
      <c r="K62" s="354" t="s">
        <v>134</v>
      </c>
      <c r="L62" s="348">
        <f>'[3]Shuttle America'!$FG$41</f>
        <v>0</v>
      </c>
      <c r="M62" s="9">
        <f>'[3]Shuttle America'!$ES$41</f>
        <v>649</v>
      </c>
      <c r="N62" s="83">
        <f t="shared" si="17"/>
        <v>-1</v>
      </c>
      <c r="O62" s="348">
        <f>SUM('[3]Shuttle America'!$EZ$41:$FG$41)</f>
        <v>1273</v>
      </c>
      <c r="P62" s="9">
        <f>SUM('[3]Shuttle America'!$EL$41:$ES$41)</f>
        <v>31920</v>
      </c>
      <c r="Q62" s="38">
        <f t="shared" si="18"/>
        <v>-0.96011904761904765</v>
      </c>
      <c r="R62" s="83">
        <f t="shared" si="19"/>
        <v>5.0895128568571113E-5</v>
      </c>
      <c r="S62" s="19"/>
    </row>
    <row r="63" spans="1:20" s="7" customFormat="1" ht="14.1" customHeight="1" thickBot="1" x14ac:dyDescent="0.25">
      <c r="A63" s="427"/>
      <c r="B63" s="428"/>
      <c r="C63" s="360"/>
      <c r="D63" s="362"/>
      <c r="E63" s="363"/>
      <c r="F63" s="364"/>
      <c r="G63" s="364"/>
      <c r="H63" s="361"/>
      <c r="I63" s="363"/>
      <c r="J63" s="427"/>
      <c r="K63" s="428"/>
      <c r="L63" s="360"/>
      <c r="M63" s="364"/>
      <c r="N63" s="363"/>
      <c r="O63" s="360"/>
      <c r="P63" s="364"/>
      <c r="Q63" s="361"/>
      <c r="R63" s="471"/>
      <c r="S63" s="19"/>
    </row>
    <row r="64" spans="1:20" s="222" customFormat="1" ht="14.1" customHeight="1" thickBot="1" x14ac:dyDescent="0.25">
      <c r="B64" s="255"/>
      <c r="C64" s="346"/>
      <c r="D64" s="346"/>
      <c r="E64" s="345"/>
      <c r="F64" s="426"/>
      <c r="G64" s="346"/>
      <c r="H64" s="345"/>
      <c r="I64" s="345"/>
      <c r="J64" s="365"/>
      <c r="K64" s="255"/>
      <c r="L64" s="366"/>
      <c r="M64" s="367"/>
      <c r="N64" s="365"/>
      <c r="O64" s="223"/>
      <c r="P64" s="223"/>
      <c r="Q64" s="223"/>
      <c r="R64" s="490"/>
      <c r="S64" s="221"/>
      <c r="T64"/>
    </row>
    <row r="65" spans="2:18" ht="14.1" customHeight="1" x14ac:dyDescent="0.2">
      <c r="B65" s="368" t="s">
        <v>136</v>
      </c>
      <c r="C65" s="437">
        <f>+C67-C66</f>
        <v>21947</v>
      </c>
      <c r="D65" s="438">
        <f>+D67-D66</f>
        <v>20281</v>
      </c>
      <c r="E65" s="439">
        <f>(C65-D65)/D65</f>
        <v>8.2145850796311815E-2</v>
      </c>
      <c r="F65" s="437">
        <f t="shared" ref="F65:G65" si="21">+F67-F66</f>
        <v>154204</v>
      </c>
      <c r="G65" s="438">
        <f t="shared" si="21"/>
        <v>143539</v>
      </c>
      <c r="H65" s="444">
        <f>(F65-G65)/G65</f>
        <v>7.4300364360905397E-2</v>
      </c>
      <c r="I65" s="527">
        <f>F65/$F$67</f>
        <v>0.60171300360940394</v>
      </c>
      <c r="K65" s="368" t="s">
        <v>136</v>
      </c>
      <c r="L65" s="437">
        <f>+L67-L66</f>
        <v>2880133</v>
      </c>
      <c r="M65" s="438">
        <f>+M67-M66</f>
        <v>2701907</v>
      </c>
      <c r="N65" s="439">
        <f>(L65-M65)/M65</f>
        <v>6.5963040178659005E-2</v>
      </c>
      <c r="O65" s="437">
        <f t="shared" ref="O65:P65" si="22">+O67-O66</f>
        <v>19867051</v>
      </c>
      <c r="P65" s="438">
        <f t="shared" si="22"/>
        <v>19031946</v>
      </c>
      <c r="Q65" s="488">
        <f>(O65-P65)/P65</f>
        <v>4.3879117773873468E-2</v>
      </c>
      <c r="R65" s="494">
        <f>+O65/O67</f>
        <v>0.79429388446453986</v>
      </c>
    </row>
    <row r="66" spans="2:18" ht="14.1" customHeight="1" x14ac:dyDescent="0.2">
      <c r="B66" s="319" t="s">
        <v>137</v>
      </c>
      <c r="C66" s="440">
        <f>C62+C38+C36+C34+C33+C37+C20+C61+C58+C35+C57+C59+C25+C24+C21+C16+C7+C6+C60+C22+C23+C8</f>
        <v>13249</v>
      </c>
      <c r="D66" s="369">
        <f>D62+D38+D36+D34+D33+D37+D20+D61+D58+D35+D57+D59+D25+D24+D21+D16+D7+D6+D60+D22+D23+D8</f>
        <v>14259</v>
      </c>
      <c r="E66" s="370">
        <f>(C66-D66)/D66</f>
        <v>-7.0832456694017817E-2</v>
      </c>
      <c r="F66" s="440">
        <f>F62+F38+F36+F34+F33+F37+F20+F61+F58+F35+F57+F59+F25+F24+F21+F16+F7+F6+F60+F22+F23+F8</f>
        <v>102071</v>
      </c>
      <c r="G66" s="369">
        <f>G62+G38+G36+G34+G33+G37+G20+G61+G58+G35+G57+G59+G25+G24+G21+G16+G7+G6+G60+G22+G23+G8</f>
        <v>109427</v>
      </c>
      <c r="H66" s="445">
        <f>(F66-G66)/G66</f>
        <v>-6.7222897456751987E-2</v>
      </c>
      <c r="I66" s="528">
        <f>F66/$F$67</f>
        <v>0.39828699639059606</v>
      </c>
      <c r="K66" s="319" t="s">
        <v>137</v>
      </c>
      <c r="L66" s="440">
        <f>L62+L38+L36+L34+L33+L37+L20+L61+L58+L35+L57+L59+L25+L24+L21+L16+L7+L6+L60+L22+L23+L8</f>
        <v>670799</v>
      </c>
      <c r="M66" s="369">
        <f>M62+M38+M36+M34+M33+M37+M20+M61+M58+M35+M57+M59+M25+M24+M21+M16+M7+M6+M60+M22+M23+M8</f>
        <v>732599</v>
      </c>
      <c r="N66" s="370">
        <f>(L66-M66)/M66</f>
        <v>-8.4357199504776825E-2</v>
      </c>
      <c r="O66" s="440">
        <f>O62+O38+O36+O34+O33+O37+O20+O61+O58+O35+O57+O59+O25+O24+O21+O16+O7+O6+O60+O22+O23+O8</f>
        <v>5145166</v>
      </c>
      <c r="P66" s="369">
        <f>P62+P38+P36+P34+P33+P37+P20+P61+P58+P35+P57+P59+P25+P24+P21+P16+P7+P6+P60+P22+P23+P8</f>
        <v>5649395</v>
      </c>
      <c r="Q66" s="486">
        <f>(O66-P66)/P66</f>
        <v>-8.9253628043356861E-2</v>
      </c>
      <c r="R66" s="495">
        <f>+O66/O67</f>
        <v>0.20570611553546014</v>
      </c>
    </row>
    <row r="67" spans="2:18" ht="14.1" customHeight="1" thickBot="1" x14ac:dyDescent="0.25">
      <c r="B67" s="319" t="s">
        <v>138</v>
      </c>
      <c r="C67" s="441">
        <f>C55+C53+C48+C44+C40+C31+C18+C14+C4+C42+C51+C29+C27+C10+C46+C12</f>
        <v>35196</v>
      </c>
      <c r="D67" s="442">
        <f>D55+D53+D48+D44+D40+D31+D18+D14+D4+D42+D51+D29+D27+D10+D46+D12</f>
        <v>34540</v>
      </c>
      <c r="E67" s="443">
        <f>(C67-D67)/D67</f>
        <v>1.899247249565721E-2</v>
      </c>
      <c r="F67" s="441">
        <f>F55+F53+F48+F44+F40+F31+F18+F14+F4+F42+F51+F29+F27+F10+F46+F12</f>
        <v>256275</v>
      </c>
      <c r="G67" s="442">
        <f>G55+G53+G48+G44+G40+G31+G18+G14+G4+G42+G51+G29+G27+G10+G46+G12</f>
        <v>252966</v>
      </c>
      <c r="H67" s="446">
        <f>(F67-G67)/G67</f>
        <v>1.3080809278717298E-2</v>
      </c>
      <c r="I67" s="529">
        <f>+H67/H67</f>
        <v>1</v>
      </c>
      <c r="K67" s="319" t="s">
        <v>138</v>
      </c>
      <c r="L67" s="441">
        <f>L55+L53+L48+L44+L40+L31+L18+L14+L4+L42+L51+L29+L27+L10+L46+L12</f>
        <v>3550932</v>
      </c>
      <c r="M67" s="442">
        <f>M55+M53+M48+M44+M40+M31+M18+M14+M4+M42+M51+M29+M27+M10+M46+M12</f>
        <v>3434506</v>
      </c>
      <c r="N67" s="443">
        <f>(L67-M67)/M67</f>
        <v>3.3898907149965671E-2</v>
      </c>
      <c r="O67" s="441">
        <f>O55+O53+O48+O44+O40+O31+O18+O14+O4+O42+O51+O29+O27+O10+O46+O12</f>
        <v>25012217</v>
      </c>
      <c r="P67" s="442">
        <f>P55+P53+P48+P44+P40+P31+P18+P14+P4+P42+P51+P29+P27+P10+P46+P12</f>
        <v>24681341</v>
      </c>
      <c r="Q67" s="489">
        <f>(O67-P67)/P67</f>
        <v>1.3405916639618569E-2</v>
      </c>
      <c r="R67" s="496">
        <f>+O67/O67</f>
        <v>1</v>
      </c>
    </row>
    <row r="68" spans="2:18" x14ac:dyDescent="0.2">
      <c r="B68" s="319"/>
      <c r="E68" s="36"/>
      <c r="F68" s="224"/>
      <c r="G68" s="5"/>
      <c r="H68" s="36"/>
      <c r="I68" s="36"/>
      <c r="K68" s="11"/>
      <c r="L68" s="4"/>
      <c r="M68" s="4"/>
      <c r="N68" s="220"/>
      <c r="O68" s="4"/>
      <c r="P68" s="7"/>
      <c r="Q68" s="7"/>
    </row>
    <row r="69" spans="2:18" x14ac:dyDescent="0.2">
      <c r="B69" s="255"/>
      <c r="E69" s="220"/>
      <c r="F69" s="4"/>
      <c r="G69" s="4"/>
      <c r="H69"/>
      <c r="I69"/>
      <c r="J69"/>
      <c r="K69"/>
      <c r="N69"/>
      <c r="O69" s="2"/>
      <c r="P69" s="2"/>
    </row>
    <row r="70" spans="2:18" x14ac:dyDescent="0.2">
      <c r="B70" s="319"/>
      <c r="E70" s="220"/>
      <c r="F70" s="4"/>
      <c r="G70" s="4"/>
      <c r="H70"/>
      <c r="I70"/>
      <c r="J70"/>
      <c r="K70"/>
      <c r="N70"/>
      <c r="O70" s="2"/>
      <c r="P70" s="2"/>
      <c r="R70" s="2"/>
    </row>
    <row r="71" spans="2:18" x14ac:dyDescent="0.2">
      <c r="B71" s="255"/>
      <c r="E71" s="220"/>
      <c r="F71" s="4"/>
      <c r="G71" s="4"/>
      <c r="H71"/>
      <c r="I71"/>
      <c r="J71"/>
      <c r="K71"/>
      <c r="N71"/>
      <c r="O71" s="2"/>
      <c r="P71" s="2"/>
    </row>
    <row r="72" spans="2:18" x14ac:dyDescent="0.2">
      <c r="E72" s="220"/>
      <c r="F72" s="4"/>
      <c r="G72" s="4"/>
      <c r="H72"/>
      <c r="I72"/>
      <c r="J72"/>
      <c r="K72"/>
      <c r="N72"/>
      <c r="O72" s="2"/>
      <c r="P72" s="2"/>
    </row>
    <row r="73" spans="2:18" x14ac:dyDescent="0.2">
      <c r="D73" s="220"/>
      <c r="E73" s="220"/>
      <c r="F73" s="4"/>
      <c r="G73" s="7"/>
      <c r="H73"/>
      <c r="I73"/>
      <c r="J73"/>
      <c r="K73"/>
      <c r="M73"/>
      <c r="N73"/>
    </row>
    <row r="74" spans="2:18" x14ac:dyDescent="0.2">
      <c r="D74" s="3"/>
      <c r="F74" s="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E1147" s="36"/>
      <c r="F1147" s="224"/>
      <c r="G1147" s="5"/>
      <c r="H1147" s="36"/>
      <c r="I1147" s="36"/>
      <c r="K1147" s="11"/>
    </row>
    <row r="1148" spans="5:11" x14ac:dyDescent="0.2">
      <c r="E1148" s="36"/>
      <c r="F1148" s="224"/>
      <c r="G1148" s="5"/>
      <c r="H1148" s="36"/>
      <c r="I1148" s="36"/>
      <c r="K1148" s="11"/>
    </row>
    <row r="1149" spans="5:11" x14ac:dyDescent="0.2">
      <c r="E1149" s="36"/>
      <c r="F1149" s="224"/>
      <c r="G1149" s="5"/>
      <c r="H1149" s="36"/>
      <c r="I1149" s="36"/>
      <c r="K1149" s="11"/>
    </row>
    <row r="1150" spans="5:11" x14ac:dyDescent="0.2">
      <c r="E1150" s="36"/>
      <c r="F1150" s="224"/>
      <c r="G1150" s="5"/>
      <c r="H1150" s="36"/>
      <c r="I1150" s="36"/>
      <c r="K1150" s="11"/>
    </row>
    <row r="1151" spans="5:11" x14ac:dyDescent="0.2">
      <c r="E1151" s="36"/>
      <c r="F1151" s="224"/>
      <c r="G1151" s="5"/>
      <c r="H1151" s="36"/>
      <c r="I1151" s="36"/>
      <c r="K1151" s="11"/>
    </row>
    <row r="1152" spans="5:11" x14ac:dyDescent="0.2">
      <c r="E1152" s="36"/>
      <c r="F1152" s="224"/>
      <c r="G1152" s="5"/>
      <c r="H1152" s="36"/>
      <c r="I1152" s="36"/>
      <c r="K1152" s="11"/>
    </row>
    <row r="1153" spans="5:11" x14ac:dyDescent="0.2">
      <c r="E1153" s="36"/>
      <c r="F1153" s="224"/>
      <c r="G1153" s="5"/>
      <c r="H1153" s="36"/>
      <c r="I1153" s="36"/>
      <c r="K1153" s="11"/>
    </row>
    <row r="1154" spans="5:11" x14ac:dyDescent="0.2">
      <c r="E1154" s="36"/>
      <c r="F1154" s="224"/>
      <c r="G1154" s="5"/>
      <c r="H1154" s="36"/>
      <c r="I1154" s="36"/>
      <c r="K1154" s="11"/>
    </row>
    <row r="1155" spans="5:11" x14ac:dyDescent="0.2">
      <c r="E1155" s="36"/>
      <c r="F1155" s="224"/>
      <c r="G1155" s="5"/>
      <c r="H1155" s="36"/>
      <c r="I1155" s="36"/>
      <c r="K1155" s="11"/>
    </row>
    <row r="1156" spans="5:11" x14ac:dyDescent="0.2">
      <c r="E1156" s="36"/>
      <c r="F1156" s="224"/>
      <c r="G1156" s="5"/>
      <c r="H1156" s="36"/>
      <c r="I1156" s="36"/>
      <c r="K1156" s="11"/>
    </row>
    <row r="1157" spans="5:11" x14ac:dyDescent="0.2">
      <c r="E1157" s="36"/>
      <c r="F1157" s="224"/>
      <c r="G1157" s="5"/>
      <c r="H1157" s="36"/>
      <c r="I1157" s="36"/>
      <c r="K1157" s="11"/>
    </row>
    <row r="1158" spans="5:11" x14ac:dyDescent="0.2">
      <c r="E1158" s="36"/>
      <c r="F1158" s="224"/>
      <c r="G1158" s="5"/>
      <c r="H1158" s="36"/>
      <c r="I1158" s="36"/>
      <c r="K1158" s="11"/>
    </row>
    <row r="1159" spans="5:11" x14ac:dyDescent="0.2">
      <c r="E1159" s="36"/>
      <c r="F1159" s="224"/>
      <c r="G1159" s="5"/>
      <c r="H1159" s="36"/>
      <c r="I1159" s="36"/>
      <c r="K1159" s="11"/>
    </row>
    <row r="1160" spans="5:11" x14ac:dyDescent="0.2">
      <c r="E1160" s="36"/>
      <c r="F1160" s="224"/>
      <c r="G1160" s="5"/>
      <c r="H1160" s="36"/>
      <c r="I1160" s="36"/>
      <c r="K1160" s="11"/>
    </row>
    <row r="1161" spans="5:11" x14ac:dyDescent="0.2">
      <c r="E1161" s="36"/>
      <c r="F1161" s="224"/>
      <c r="G1161" s="5"/>
      <c r="H1161" s="36"/>
      <c r="I1161" s="36"/>
      <c r="K1161" s="11"/>
    </row>
    <row r="1162" spans="5:11" x14ac:dyDescent="0.2">
      <c r="E1162" s="36"/>
      <c r="F1162" s="224"/>
      <c r="G1162" s="5"/>
      <c r="H1162" s="36"/>
      <c r="I1162" s="36"/>
      <c r="K1162" s="11"/>
    </row>
    <row r="1163" spans="5:11" x14ac:dyDescent="0.2">
      <c r="E1163" s="36"/>
      <c r="F1163" s="224"/>
      <c r="G1163" s="5"/>
      <c r="H1163" s="36"/>
      <c r="I1163" s="36"/>
      <c r="K1163" s="11"/>
    </row>
    <row r="1164" spans="5:11" x14ac:dyDescent="0.2">
      <c r="E1164" s="36"/>
      <c r="F1164" s="224"/>
      <c r="G1164" s="5"/>
      <c r="H1164" s="36"/>
      <c r="I1164" s="36"/>
      <c r="K1164" s="11"/>
    </row>
    <row r="1165" spans="5:11" x14ac:dyDescent="0.2">
      <c r="E1165" s="36"/>
      <c r="F1165" s="224"/>
      <c r="G1165" s="5"/>
      <c r="H1165" s="36"/>
      <c r="I1165" s="36"/>
      <c r="K1165" s="11"/>
    </row>
    <row r="1166" spans="5:11" x14ac:dyDescent="0.2">
      <c r="E1166" s="36"/>
      <c r="F1166" s="224"/>
      <c r="G1166" s="5"/>
      <c r="H1166" s="36"/>
      <c r="I1166" s="36"/>
      <c r="K1166" s="11"/>
    </row>
    <row r="1167" spans="5:11" x14ac:dyDescent="0.2">
      <c r="E1167" s="36"/>
      <c r="F1167" s="224"/>
      <c r="G1167" s="5"/>
      <c r="H1167" s="36"/>
      <c r="I1167" s="36"/>
      <c r="K1167" s="11"/>
    </row>
    <row r="1168" spans="5:11" x14ac:dyDescent="0.2">
      <c r="E1168" s="36"/>
      <c r="F1168" s="224"/>
      <c r="G1168" s="5"/>
      <c r="H1168" s="36"/>
      <c r="I1168" s="36"/>
      <c r="K1168" s="11"/>
    </row>
    <row r="1169" spans="5:11" x14ac:dyDescent="0.2">
      <c r="E1169" s="36"/>
      <c r="F1169" s="224"/>
      <c r="G1169" s="5"/>
      <c r="H1169" s="36"/>
      <c r="I1169" s="36"/>
      <c r="K1169" s="11"/>
    </row>
    <row r="1170" spans="5:11" x14ac:dyDescent="0.2">
      <c r="E1170" s="36"/>
      <c r="F1170" s="224"/>
      <c r="G1170" s="5"/>
      <c r="H1170" s="36"/>
      <c r="I1170" s="36"/>
      <c r="K1170" s="11"/>
    </row>
    <row r="1171" spans="5:11" x14ac:dyDescent="0.2">
      <c r="E1171" s="36"/>
      <c r="F1171" s="224"/>
      <c r="G1171" s="5"/>
      <c r="H1171" s="36"/>
      <c r="I1171" s="36"/>
      <c r="K1171" s="11"/>
    </row>
    <row r="1172" spans="5:11" x14ac:dyDescent="0.2">
      <c r="E1172" s="36"/>
      <c r="F1172" s="224"/>
      <c r="G1172" s="5"/>
      <c r="H1172" s="36"/>
      <c r="I1172" s="36"/>
      <c r="K1172" s="11"/>
    </row>
    <row r="1173" spans="5:11" x14ac:dyDescent="0.2">
      <c r="E1173" s="36"/>
      <c r="F1173" s="224"/>
      <c r="G1173" s="5"/>
      <c r="H1173" s="36"/>
      <c r="I1173" s="36"/>
      <c r="K1173" s="11"/>
    </row>
    <row r="1174" spans="5:11" x14ac:dyDescent="0.2">
      <c r="E1174" s="36"/>
      <c r="F1174" s="224"/>
      <c r="G1174" s="5"/>
      <c r="H1174" s="36"/>
      <c r="I1174" s="36"/>
      <c r="K1174" s="11"/>
    </row>
    <row r="1175" spans="5:11" x14ac:dyDescent="0.2">
      <c r="E1175" s="36"/>
      <c r="F1175" s="224"/>
      <c r="G1175" s="5"/>
      <c r="H1175" s="36"/>
      <c r="I1175" s="36"/>
      <c r="K1175" s="11"/>
    </row>
    <row r="1176" spans="5:11" x14ac:dyDescent="0.2">
      <c r="E1176" s="36"/>
      <c r="F1176" s="224"/>
      <c r="G1176" s="5"/>
      <c r="H1176" s="36"/>
      <c r="I1176" s="36"/>
      <c r="K1176" s="11"/>
    </row>
    <row r="1177" spans="5:11" x14ac:dyDescent="0.2">
      <c r="E1177" s="36"/>
      <c r="F1177" s="224"/>
      <c r="G1177" s="5"/>
      <c r="H1177" s="36"/>
      <c r="I1177" s="36"/>
      <c r="K1177" s="11"/>
    </row>
    <row r="1178" spans="5:11" x14ac:dyDescent="0.2">
      <c r="E1178" s="36"/>
      <c r="F1178" s="224"/>
      <c r="G1178" s="5"/>
      <c r="H1178" s="36"/>
      <c r="I1178" s="36"/>
      <c r="K1178" s="11"/>
    </row>
    <row r="1179" spans="5:11" x14ac:dyDescent="0.2">
      <c r="E1179" s="36"/>
      <c r="F1179" s="224"/>
      <c r="G1179" s="5"/>
      <c r="H1179" s="36"/>
      <c r="I1179" s="36"/>
      <c r="K1179" s="11"/>
    </row>
    <row r="1180" spans="5:11" x14ac:dyDescent="0.2">
      <c r="E1180" s="36"/>
      <c r="F1180" s="224"/>
      <c r="G1180" s="5"/>
      <c r="H1180" s="36"/>
      <c r="I1180" s="36"/>
      <c r="K1180" s="11"/>
    </row>
    <row r="1181" spans="5:11" x14ac:dyDescent="0.2">
      <c r="E1181" s="36"/>
      <c r="F1181" s="224"/>
      <c r="G1181" s="5"/>
      <c r="H1181" s="36"/>
      <c r="I1181" s="36"/>
      <c r="K1181" s="11"/>
    </row>
    <row r="1182" spans="5:11" x14ac:dyDescent="0.2">
      <c r="E1182" s="36"/>
      <c r="F1182" s="224"/>
      <c r="G1182" s="5"/>
      <c r="H1182" s="36"/>
      <c r="I1182" s="36"/>
      <c r="K1182" s="11"/>
    </row>
    <row r="1183" spans="5:11" x14ac:dyDescent="0.2">
      <c r="E1183" s="36"/>
      <c r="F1183" s="224"/>
      <c r="G1183" s="5"/>
      <c r="H1183" s="36"/>
      <c r="I1183" s="36"/>
      <c r="K1183" s="11"/>
    </row>
    <row r="1184" spans="5:11" x14ac:dyDescent="0.2">
      <c r="E1184" s="36"/>
      <c r="F1184" s="224"/>
      <c r="G1184" s="5"/>
      <c r="H1184" s="36"/>
      <c r="I1184" s="36"/>
      <c r="K1184" s="11"/>
    </row>
    <row r="1185" spans="5:11" x14ac:dyDescent="0.2">
      <c r="E1185" s="36"/>
      <c r="F1185" s="224"/>
      <c r="G1185" s="5"/>
      <c r="H1185" s="36"/>
      <c r="I1185" s="36"/>
      <c r="K1185" s="11"/>
    </row>
    <row r="1186" spans="5:11" x14ac:dyDescent="0.2">
      <c r="E1186" s="36"/>
      <c r="F1186" s="224"/>
      <c r="G1186" s="5"/>
      <c r="H1186" s="36"/>
      <c r="I1186" s="36"/>
      <c r="K1186" s="11"/>
    </row>
    <row r="1187" spans="5:11" x14ac:dyDescent="0.2">
      <c r="E1187" s="36"/>
      <c r="F1187" s="224"/>
      <c r="G1187" s="5"/>
      <c r="H1187" s="36"/>
      <c r="I1187" s="36"/>
      <c r="K1187" s="11"/>
    </row>
    <row r="1188" spans="5:11" x14ac:dyDescent="0.2">
      <c r="E1188" s="36"/>
      <c r="F1188" s="224"/>
      <c r="G1188" s="5"/>
      <c r="H1188" s="36"/>
      <c r="I1188" s="36"/>
      <c r="K1188" s="11"/>
    </row>
    <row r="1189" spans="5:11" x14ac:dyDescent="0.2">
      <c r="E1189" s="36"/>
      <c r="F1189" s="224"/>
      <c r="G1189" s="5"/>
      <c r="H1189" s="36"/>
      <c r="I1189" s="36"/>
      <c r="K1189" s="11"/>
    </row>
    <row r="1190" spans="5:11" x14ac:dyDescent="0.2">
      <c r="E1190" s="36"/>
      <c r="F1190" s="224"/>
      <c r="G1190" s="5"/>
      <c r="H1190" s="36"/>
      <c r="I1190" s="36"/>
      <c r="K1190" s="11"/>
    </row>
    <row r="1191" spans="5:11" x14ac:dyDescent="0.2">
      <c r="E1191" s="36"/>
      <c r="F1191" s="224"/>
      <c r="G1191" s="5"/>
      <c r="H1191" s="36"/>
      <c r="I1191" s="36"/>
      <c r="K1191" s="11"/>
    </row>
    <row r="1192" spans="5:11" x14ac:dyDescent="0.2">
      <c r="E1192" s="36"/>
      <c r="F1192" s="224"/>
      <c r="G1192" s="5"/>
      <c r="H1192" s="36"/>
      <c r="I1192" s="36"/>
      <c r="K1192" s="11"/>
    </row>
    <row r="1193" spans="5:11" x14ac:dyDescent="0.2">
      <c r="E1193" s="36"/>
      <c r="F1193" s="224"/>
      <c r="G1193" s="5"/>
      <c r="H1193" s="36"/>
      <c r="I1193" s="36"/>
      <c r="K1193" s="11"/>
    </row>
    <row r="1194" spans="5:11" x14ac:dyDescent="0.2">
      <c r="E1194" s="36"/>
      <c r="F1194" s="224"/>
      <c r="G1194" s="5"/>
      <c r="H1194" s="36"/>
      <c r="I1194" s="36"/>
      <c r="K1194" s="11"/>
    </row>
    <row r="1195" spans="5:11" x14ac:dyDescent="0.2">
      <c r="E1195" s="36"/>
      <c r="F1195" s="224"/>
      <c r="G1195" s="5"/>
      <c r="H1195" s="36"/>
      <c r="I1195" s="36"/>
      <c r="K1195" s="11"/>
    </row>
    <row r="1196" spans="5:11" x14ac:dyDescent="0.2">
      <c r="E1196" s="36"/>
      <c r="F1196" s="224"/>
      <c r="G1196" s="5"/>
      <c r="H1196" s="36"/>
      <c r="I1196" s="36"/>
      <c r="K1196" s="11"/>
    </row>
    <row r="1197" spans="5:11" x14ac:dyDescent="0.2">
      <c r="F1197" s="224"/>
      <c r="G1197" s="5"/>
      <c r="H1197" s="36"/>
      <c r="I1197" s="36"/>
      <c r="K1197" s="11"/>
    </row>
    <row r="1198" spans="5:11" x14ac:dyDescent="0.2">
      <c r="F1198" s="224"/>
      <c r="G1198" s="5"/>
      <c r="H1198" s="36"/>
      <c r="I1198" s="36"/>
      <c r="K1198" s="11"/>
    </row>
    <row r="1199" spans="5:11" x14ac:dyDescent="0.2">
      <c r="F1199" s="224"/>
      <c r="G1199" s="5"/>
      <c r="H1199" s="36"/>
      <c r="I1199" s="36"/>
      <c r="K1199" s="11"/>
    </row>
    <row r="1200" spans="5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  <row r="4662" spans="6:11" x14ac:dyDescent="0.2">
      <c r="F4662" s="224"/>
      <c r="G4662" s="5"/>
      <c r="H4662" s="36"/>
      <c r="I4662" s="36"/>
      <c r="K4662" s="11"/>
    </row>
    <row r="4663" spans="6:11" x14ac:dyDescent="0.2">
      <c r="F4663" s="224"/>
      <c r="G4663" s="5"/>
      <c r="H4663" s="36"/>
      <c r="I4663" s="36"/>
      <c r="K4663" s="11"/>
    </row>
    <row r="4664" spans="6:11" x14ac:dyDescent="0.2">
      <c r="F4664" s="224"/>
      <c r="G4664" s="5"/>
      <c r="H4664" s="36"/>
      <c r="I4664" s="36"/>
      <c r="K4664" s="11"/>
    </row>
    <row r="4665" spans="6:11" x14ac:dyDescent="0.2">
      <c r="F4665" s="224"/>
      <c r="G4665" s="5"/>
      <c r="H4665" s="36"/>
      <c r="I4665" s="36"/>
      <c r="K4665" s="11"/>
    </row>
    <row r="4666" spans="6:11" x14ac:dyDescent="0.2">
      <c r="F4666" s="224"/>
      <c r="G4666" s="5"/>
      <c r="H4666" s="36"/>
      <c r="I4666" s="36"/>
      <c r="K4666" s="11"/>
    </row>
    <row r="4667" spans="6:11" x14ac:dyDescent="0.2">
      <c r="F4667" s="224"/>
      <c r="G4667" s="5"/>
      <c r="H4667" s="36"/>
      <c r="I4667" s="36"/>
      <c r="K4667" s="11"/>
    </row>
    <row r="4668" spans="6:11" x14ac:dyDescent="0.2">
      <c r="F4668" s="224"/>
      <c r="G4668" s="5"/>
      <c r="H4668" s="36"/>
      <c r="I4668" s="36"/>
      <c r="K4668" s="11"/>
    </row>
    <row r="4669" spans="6:11" x14ac:dyDescent="0.2">
      <c r="F4669" s="224"/>
      <c r="G4669" s="5"/>
      <c r="H4669" s="36"/>
      <c r="I4669" s="36"/>
      <c r="K4669" s="11"/>
    </row>
    <row r="4670" spans="6:11" x14ac:dyDescent="0.2">
      <c r="F4670" s="224"/>
      <c r="G4670" s="5"/>
      <c r="H4670" s="36"/>
      <c r="I4670" s="36"/>
      <c r="K4670" s="11"/>
    </row>
    <row r="4671" spans="6:11" x14ac:dyDescent="0.2">
      <c r="F4671" s="224"/>
      <c r="G4671" s="5"/>
      <c r="H4671" s="36"/>
      <c r="I4671" s="36"/>
      <c r="K4671" s="11"/>
    </row>
    <row r="4672" spans="6:11" x14ac:dyDescent="0.2">
      <c r="F4672" s="224"/>
      <c r="G4672" s="5"/>
      <c r="H4672" s="36"/>
      <c r="I4672" s="36"/>
      <c r="K4672" s="11"/>
    </row>
    <row r="4673" spans="6:11" x14ac:dyDescent="0.2">
      <c r="F4673" s="224"/>
      <c r="G4673" s="5"/>
      <c r="H4673" s="36"/>
      <c r="I4673" s="36"/>
      <c r="K4673" s="11"/>
    </row>
    <row r="4674" spans="6:11" x14ac:dyDescent="0.2">
      <c r="F4674" s="224"/>
      <c r="G4674" s="5"/>
      <c r="H4674" s="36"/>
      <c r="I4674" s="36"/>
      <c r="K4674" s="11"/>
    </row>
    <row r="4675" spans="6:11" x14ac:dyDescent="0.2">
      <c r="F4675" s="224"/>
      <c r="G4675" s="5"/>
      <c r="H4675" s="36"/>
      <c r="I4675" s="36"/>
      <c r="K4675" s="11"/>
    </row>
    <row r="4676" spans="6:11" x14ac:dyDescent="0.2">
      <c r="F4676" s="224"/>
      <c r="G4676" s="5"/>
      <c r="H4676" s="36"/>
      <c r="I4676" s="36"/>
      <c r="K4676" s="11"/>
    </row>
    <row r="4677" spans="6:11" x14ac:dyDescent="0.2">
      <c r="F4677" s="224"/>
      <c r="G4677" s="5"/>
      <c r="H4677" s="36"/>
      <c r="I4677" s="36"/>
      <c r="K4677" s="11"/>
    </row>
    <row r="4678" spans="6:11" x14ac:dyDescent="0.2">
      <c r="F4678" s="224"/>
      <c r="G4678" s="5"/>
      <c r="H4678" s="36"/>
      <c r="I4678" s="36"/>
      <c r="K4678" s="11"/>
    </row>
    <row r="4679" spans="6:11" x14ac:dyDescent="0.2">
      <c r="F4679" s="224"/>
      <c r="G4679" s="5"/>
      <c r="H4679" s="36"/>
      <c r="I4679" s="36"/>
      <c r="K4679" s="11"/>
    </row>
    <row r="4680" spans="6:11" x14ac:dyDescent="0.2">
      <c r="F4680" s="224"/>
      <c r="G4680" s="5"/>
      <c r="H4680" s="36"/>
      <c r="I4680" s="36"/>
      <c r="K4680" s="11"/>
    </row>
    <row r="4681" spans="6:11" x14ac:dyDescent="0.2">
      <c r="F4681" s="224"/>
      <c r="G4681" s="5"/>
      <c r="H4681" s="36"/>
      <c r="I4681" s="36"/>
      <c r="K4681" s="11"/>
    </row>
    <row r="4682" spans="6:11" x14ac:dyDescent="0.2">
      <c r="F4682" s="224"/>
      <c r="G4682" s="5"/>
      <c r="H4682" s="36"/>
      <c r="I4682" s="36"/>
      <c r="K4682" s="11"/>
    </row>
    <row r="4683" spans="6:11" x14ac:dyDescent="0.2">
      <c r="F4683" s="224"/>
      <c r="G4683" s="5"/>
      <c r="H4683" s="36"/>
      <c r="I4683" s="36"/>
      <c r="K4683" s="11"/>
    </row>
    <row r="4684" spans="6:11" x14ac:dyDescent="0.2">
      <c r="F4684" s="224"/>
      <c r="G4684" s="5"/>
      <c r="H4684" s="36"/>
      <c r="I4684" s="36"/>
      <c r="K4684" s="11"/>
    </row>
    <row r="4685" spans="6:11" x14ac:dyDescent="0.2">
      <c r="F4685" s="224"/>
      <c r="G4685" s="5"/>
      <c r="H4685" s="36"/>
      <c r="I4685" s="36"/>
      <c r="K4685" s="11"/>
    </row>
    <row r="4686" spans="6:11" x14ac:dyDescent="0.2">
      <c r="F4686" s="224"/>
      <c r="G4686" s="5"/>
      <c r="H4686" s="36"/>
      <c r="I4686" s="36"/>
      <c r="K4686" s="11"/>
    </row>
    <row r="4687" spans="6:11" x14ac:dyDescent="0.2">
      <c r="F4687" s="224"/>
      <c r="G4687" s="5"/>
      <c r="H4687" s="36"/>
      <c r="I4687" s="36"/>
      <c r="K4687" s="11"/>
    </row>
    <row r="4688" spans="6:11" x14ac:dyDescent="0.2">
      <c r="F4688" s="224"/>
      <c r="G4688" s="5"/>
      <c r="H4688" s="36"/>
      <c r="I4688" s="36"/>
      <c r="K4688" s="11"/>
    </row>
    <row r="4689" spans="6:11" x14ac:dyDescent="0.2">
      <c r="F4689" s="224"/>
      <c r="G4689" s="5"/>
      <c r="H4689" s="36"/>
      <c r="I4689" s="36"/>
      <c r="K4689" s="11"/>
    </row>
    <row r="4690" spans="6:11" x14ac:dyDescent="0.2">
      <c r="F4690" s="224"/>
      <c r="G4690" s="5"/>
      <c r="H4690" s="36"/>
      <c r="I4690" s="36"/>
      <c r="K4690" s="11"/>
    </row>
    <row r="4691" spans="6:11" x14ac:dyDescent="0.2">
      <c r="F4691" s="224"/>
      <c r="G4691" s="5"/>
      <c r="H4691" s="36"/>
      <c r="I4691" s="36"/>
      <c r="K4691" s="11"/>
    </row>
    <row r="4692" spans="6:11" x14ac:dyDescent="0.2">
      <c r="F4692" s="224"/>
      <c r="G4692" s="5"/>
      <c r="H4692" s="36"/>
      <c r="I4692" s="36"/>
      <c r="K4692" s="11"/>
    </row>
    <row r="4693" spans="6:11" x14ac:dyDescent="0.2">
      <c r="F4693" s="224"/>
      <c r="G4693" s="5"/>
      <c r="H4693" s="36"/>
      <c r="I4693" s="36"/>
      <c r="K4693" s="11"/>
    </row>
    <row r="4694" spans="6:11" x14ac:dyDescent="0.2">
      <c r="F4694" s="224"/>
      <c r="G4694" s="5"/>
      <c r="H4694" s="36"/>
      <c r="I4694" s="36"/>
      <c r="K4694" s="11"/>
    </row>
    <row r="4695" spans="6:11" x14ac:dyDescent="0.2">
      <c r="F4695" s="224"/>
      <c r="G4695" s="5"/>
      <c r="H4695" s="36"/>
      <c r="I4695" s="36"/>
      <c r="K4695" s="11"/>
    </row>
    <row r="4696" spans="6:11" x14ac:dyDescent="0.2">
      <c r="F4696" s="224"/>
      <c r="G4696" s="5"/>
      <c r="H4696" s="36"/>
      <c r="I4696" s="36"/>
      <c r="K4696" s="11"/>
    </row>
    <row r="4697" spans="6:11" x14ac:dyDescent="0.2">
      <c r="F4697" s="224"/>
      <c r="G4697" s="5"/>
      <c r="H4697" s="36"/>
      <c r="I4697" s="36"/>
      <c r="K4697" s="11"/>
    </row>
    <row r="4698" spans="6:11" x14ac:dyDescent="0.2">
      <c r="F4698" s="224"/>
      <c r="G4698" s="5"/>
      <c r="H4698" s="36"/>
      <c r="I4698" s="36"/>
      <c r="K4698" s="11"/>
    </row>
    <row r="4699" spans="6:11" x14ac:dyDescent="0.2">
      <c r="F4699" s="224"/>
      <c r="G4699" s="5"/>
      <c r="H4699" s="36"/>
      <c r="I4699" s="36"/>
      <c r="K4699" s="11"/>
    </row>
    <row r="4700" spans="6:11" x14ac:dyDescent="0.2">
      <c r="F4700" s="224"/>
      <c r="G4700" s="5"/>
      <c r="H4700" s="36"/>
      <c r="I4700" s="36"/>
      <c r="K4700" s="11"/>
    </row>
    <row r="4701" spans="6:11" x14ac:dyDescent="0.2">
      <c r="F4701" s="224"/>
      <c r="G4701" s="5"/>
      <c r="H4701" s="36"/>
      <c r="I4701" s="36"/>
      <c r="K4701" s="11"/>
    </row>
    <row r="4702" spans="6:11" x14ac:dyDescent="0.2">
      <c r="F4702" s="224"/>
      <c r="G4702" s="5"/>
      <c r="H4702" s="36"/>
      <c r="I4702" s="36"/>
      <c r="K4702" s="11"/>
    </row>
    <row r="4703" spans="6:11" x14ac:dyDescent="0.2">
      <c r="F4703" s="224"/>
      <c r="G4703" s="5"/>
      <c r="H4703" s="36"/>
      <c r="I4703" s="36"/>
      <c r="K4703" s="11"/>
    </row>
    <row r="4704" spans="6:11" x14ac:dyDescent="0.2">
      <c r="F4704" s="224"/>
      <c r="G4704" s="5"/>
      <c r="H4704" s="36"/>
      <c r="I4704" s="36"/>
      <c r="K4704" s="11"/>
    </row>
    <row r="4705" spans="6:11" x14ac:dyDescent="0.2">
      <c r="F4705" s="224"/>
      <c r="G4705" s="5"/>
      <c r="H4705" s="36"/>
      <c r="I4705" s="36"/>
      <c r="K4705" s="11"/>
    </row>
    <row r="4706" spans="6:11" x14ac:dyDescent="0.2">
      <c r="F4706" s="224"/>
      <c r="G4706" s="5"/>
      <c r="H4706" s="36"/>
      <c r="I4706" s="36"/>
      <c r="K4706" s="11"/>
    </row>
    <row r="4707" spans="6:11" x14ac:dyDescent="0.2">
      <c r="F4707" s="224"/>
      <c r="G4707" s="5"/>
      <c r="H4707" s="36"/>
      <c r="I4707" s="36"/>
      <c r="K4707" s="11"/>
    </row>
    <row r="4708" spans="6:11" x14ac:dyDescent="0.2">
      <c r="F4708" s="224"/>
      <c r="G4708" s="5"/>
      <c r="H4708" s="36"/>
      <c r="I4708" s="36"/>
      <c r="K4708" s="11"/>
    </row>
    <row r="4709" spans="6:11" x14ac:dyDescent="0.2">
      <c r="F4709" s="224"/>
      <c r="G4709" s="5"/>
      <c r="H4709" s="36"/>
      <c r="I4709" s="36"/>
      <c r="K4709" s="11"/>
    </row>
    <row r="4710" spans="6:11" x14ac:dyDescent="0.2">
      <c r="F4710" s="224"/>
      <c r="G4710" s="5"/>
      <c r="H4710" s="36"/>
      <c r="I4710" s="36"/>
      <c r="K4710" s="11"/>
    </row>
    <row r="4711" spans="6:11" x14ac:dyDescent="0.2">
      <c r="F4711" s="224"/>
      <c r="G4711" s="5"/>
      <c r="H4711" s="36"/>
      <c r="I4711" s="36"/>
      <c r="K4711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August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E23" sqref="E2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4">
        <v>42948</v>
      </c>
      <c r="B1" s="524" t="s">
        <v>17</v>
      </c>
      <c r="C1" s="524" t="s">
        <v>18</v>
      </c>
      <c r="D1" s="524" t="s">
        <v>19</v>
      </c>
      <c r="E1" s="524" t="s">
        <v>160</v>
      </c>
      <c r="F1" s="524" t="s">
        <v>167</v>
      </c>
      <c r="G1" s="524" t="s">
        <v>161</v>
      </c>
      <c r="H1" s="524" t="s">
        <v>221</v>
      </c>
      <c r="I1" s="524" t="s">
        <v>20</v>
      </c>
      <c r="J1" s="525" t="s">
        <v>21</v>
      </c>
    </row>
    <row r="2" spans="1:19" ht="15.75" thickTop="1" x14ac:dyDescent="0.25">
      <c r="A2" s="61" t="s">
        <v>3</v>
      </c>
      <c r="B2" s="522"/>
      <c r="C2" s="522"/>
      <c r="D2" s="522"/>
      <c r="E2" s="522"/>
      <c r="F2" s="522"/>
      <c r="G2" s="522"/>
      <c r="H2" s="522"/>
      <c r="I2" s="522"/>
      <c r="J2" s="523"/>
    </row>
    <row r="3" spans="1:19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59" t="s">
        <v>30</v>
      </c>
      <c r="B4" s="20">
        <f>[3]American!$FG$22</f>
        <v>96960</v>
      </c>
      <c r="C4" s="20">
        <f>[3]Delta!$FG$22+[3]Delta!$FG$32</f>
        <v>987608</v>
      </c>
      <c r="D4" s="20">
        <f>[3]United!$FG$22</f>
        <v>55656</v>
      </c>
      <c r="E4" s="20">
        <f>[3]Spirit!$FG$22</f>
        <v>57687</v>
      </c>
      <c r="F4" s="20">
        <f>[3]Condor!$FG$32</f>
        <v>4531</v>
      </c>
      <c r="G4" s="20">
        <f>'[3]Air France'!$FG$32</f>
        <v>7580</v>
      </c>
      <c r="H4" s="20">
        <f>[3]KLM!$FG$22+[3]KLM!$FG$32</f>
        <v>3166</v>
      </c>
      <c r="I4" s="20">
        <f>'Other Major Airline Stats'!J5</f>
        <v>232711</v>
      </c>
      <c r="J4" s="271">
        <f>SUM(B4:I4)</f>
        <v>1445899</v>
      </c>
    </row>
    <row r="5" spans="1:19" x14ac:dyDescent="0.2">
      <c r="A5" s="59" t="s">
        <v>31</v>
      </c>
      <c r="B5" s="14">
        <f>[3]American!$FG$23</f>
        <v>96017</v>
      </c>
      <c r="C5" s="14">
        <f>[3]Delta!$FG$23+[3]Delta!$FG$33</f>
        <v>982301</v>
      </c>
      <c r="D5" s="14">
        <f>[3]United!$FG$23</f>
        <v>53383</v>
      </c>
      <c r="E5" s="14">
        <f>[3]Spirit!$FG$23</f>
        <v>57212</v>
      </c>
      <c r="F5" s="14">
        <f>[3]Condor!$FG$33</f>
        <v>4114</v>
      </c>
      <c r="G5" s="14">
        <f>'[3]Air France'!$FG$33</f>
        <v>6921</v>
      </c>
      <c r="H5" s="14">
        <f>[3]KLM!$FG$23+[3]KLM!$FG$33</f>
        <v>3097</v>
      </c>
      <c r="I5" s="14">
        <f>'Other Major Airline Stats'!J6</f>
        <v>231189</v>
      </c>
      <c r="J5" s="272">
        <f>SUM(B5:I5)</f>
        <v>1434234</v>
      </c>
      <c r="L5" s="299"/>
      <c r="M5" s="299"/>
      <c r="N5" s="299"/>
      <c r="O5" s="299"/>
      <c r="P5" s="299"/>
      <c r="Q5" s="299"/>
      <c r="R5" s="299"/>
      <c r="S5" s="299"/>
    </row>
    <row r="6" spans="1:19" ht="15" x14ac:dyDescent="0.25">
      <c r="A6" s="57" t="s">
        <v>7</v>
      </c>
      <c r="B6" s="33">
        <f t="shared" ref="B6:I6" si="0">SUM(B4:B5)</f>
        <v>192977</v>
      </c>
      <c r="C6" s="33">
        <f t="shared" si="0"/>
        <v>1969909</v>
      </c>
      <c r="D6" s="33">
        <f t="shared" si="0"/>
        <v>109039</v>
      </c>
      <c r="E6" s="33">
        <f t="shared" si="0"/>
        <v>114899</v>
      </c>
      <c r="F6" s="33">
        <f t="shared" ref="F6:H6" si="1">SUM(F4:F5)</f>
        <v>8645</v>
      </c>
      <c r="G6" s="33">
        <f t="shared" si="1"/>
        <v>14501</v>
      </c>
      <c r="H6" s="33">
        <f t="shared" si="1"/>
        <v>6263</v>
      </c>
      <c r="I6" s="33">
        <f t="shared" si="0"/>
        <v>463900</v>
      </c>
      <c r="J6" s="273">
        <f>SUM(B6:I6)</f>
        <v>2880133</v>
      </c>
    </row>
    <row r="7" spans="1:19" x14ac:dyDescent="0.2">
      <c r="A7" s="59"/>
      <c r="B7" s="20"/>
      <c r="C7" s="20"/>
      <c r="D7" s="20"/>
      <c r="E7" s="20"/>
      <c r="F7" s="20"/>
      <c r="G7" s="20"/>
      <c r="H7" s="20"/>
      <c r="I7" s="20"/>
      <c r="J7" s="271"/>
    </row>
    <row r="8" spans="1:19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71">
        <f>SUM(B8:I8)</f>
        <v>0</v>
      </c>
    </row>
    <row r="9" spans="1:19" x14ac:dyDescent="0.2">
      <c r="A9" s="59" t="s">
        <v>30</v>
      </c>
      <c r="B9" s="20">
        <f>[3]American!$FG$27</f>
        <v>3821</v>
      </c>
      <c r="C9" s="20">
        <f>[3]Delta!$FG$27+[3]Delta!$FG$37</f>
        <v>35498</v>
      </c>
      <c r="D9" s="20">
        <f>[3]United!$FG$27</f>
        <v>1926</v>
      </c>
      <c r="E9" s="20">
        <f>[3]Spirit!$FG$27</f>
        <v>457</v>
      </c>
      <c r="F9" s="20">
        <f>[3]Condor!$FG$37</f>
        <v>12</v>
      </c>
      <c r="G9" s="20">
        <f>'[3]Air France'!$FG$37</f>
        <v>35</v>
      </c>
      <c r="H9" s="20">
        <f>[3]KLM!$FG$27+[3]KLM!$FG$37</f>
        <v>38</v>
      </c>
      <c r="I9" s="20">
        <f>'Other Major Airline Stats'!J10</f>
        <v>4728</v>
      </c>
      <c r="J9" s="271">
        <f>SUM(B9:I9)</f>
        <v>46515</v>
      </c>
    </row>
    <row r="10" spans="1:19" x14ac:dyDescent="0.2">
      <c r="A10" s="59" t="s">
        <v>33</v>
      </c>
      <c r="B10" s="14">
        <f>[3]American!$FG$28</f>
        <v>4255</v>
      </c>
      <c r="C10" s="14">
        <f>[3]Delta!$FG$28+[3]Delta!$FG$38</f>
        <v>34413</v>
      </c>
      <c r="D10" s="14">
        <f>[3]United!$FG$28</f>
        <v>2052</v>
      </c>
      <c r="E10" s="14">
        <f>[3]Spirit!$FG$28</f>
        <v>431</v>
      </c>
      <c r="F10" s="14">
        <f>[3]Condor!$FG$38</f>
        <v>5</v>
      </c>
      <c r="G10" s="14">
        <f>'[3]Air France'!$FG$38</f>
        <v>8</v>
      </c>
      <c r="H10" s="14">
        <f>[3]KLM!$FG$28+[3]KLM!$FG$38</f>
        <v>28</v>
      </c>
      <c r="I10" s="14">
        <f>'Other Major Airline Stats'!J11</f>
        <v>4765</v>
      </c>
      <c r="J10" s="272">
        <f>SUM(B10:I10)</f>
        <v>45957</v>
      </c>
    </row>
    <row r="11" spans="1:19" ht="15.75" thickBot="1" x14ac:dyDescent="0.3">
      <c r="A11" s="60" t="s">
        <v>34</v>
      </c>
      <c r="B11" s="274">
        <f t="shared" ref="B11:I11" si="2">SUM(B9:B10)</f>
        <v>8076</v>
      </c>
      <c r="C11" s="274">
        <f t="shared" si="2"/>
        <v>69911</v>
      </c>
      <c r="D11" s="274">
        <f t="shared" si="2"/>
        <v>3978</v>
      </c>
      <c r="E11" s="274">
        <f t="shared" si="2"/>
        <v>888</v>
      </c>
      <c r="F11" s="274">
        <f t="shared" ref="F11:H11" si="3">SUM(F9:F10)</f>
        <v>17</v>
      </c>
      <c r="G11" s="274">
        <f t="shared" si="3"/>
        <v>43</v>
      </c>
      <c r="H11" s="274">
        <f t="shared" si="3"/>
        <v>66</v>
      </c>
      <c r="I11" s="274">
        <f t="shared" si="2"/>
        <v>9493</v>
      </c>
      <c r="J11" s="275">
        <f>SUM(B11:I11)</f>
        <v>92472</v>
      </c>
    </row>
    <row r="13" spans="1:19" ht="13.5" thickBot="1" x14ac:dyDescent="0.25"/>
    <row r="14" spans="1:19" ht="15.75" thickTop="1" x14ac:dyDescent="0.25">
      <c r="A14" s="58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59" t="s">
        <v>22</v>
      </c>
      <c r="B15" s="20">
        <f>[3]American!$FG$4</f>
        <v>768</v>
      </c>
      <c r="C15" s="20">
        <f>[3]Delta!$FG$4+[3]Delta!$FG$15</f>
        <v>7213</v>
      </c>
      <c r="D15" s="20">
        <f>[3]United!$FG$4</f>
        <v>463</v>
      </c>
      <c r="E15" s="20">
        <f>[3]Spirit!$FG$4</f>
        <v>391</v>
      </c>
      <c r="F15" s="20">
        <f>[3]Condor!$FG$15</f>
        <v>18</v>
      </c>
      <c r="G15" s="20">
        <f>'[3]Air France'!$FG$15</f>
        <v>30</v>
      </c>
      <c r="H15" s="20">
        <f>[3]KLM!$FG$4+[3]KLM!$FG$15</f>
        <v>13</v>
      </c>
      <c r="I15" s="20">
        <f>'Other Major Airline Stats'!J16</f>
        <v>2011</v>
      </c>
      <c r="J15" s="26">
        <f>SUM(B15:I15)</f>
        <v>10907</v>
      </c>
    </row>
    <row r="16" spans="1:19" x14ac:dyDescent="0.2">
      <c r="A16" s="59" t="s">
        <v>23</v>
      </c>
      <c r="B16" s="14">
        <f>[3]American!$FG$5</f>
        <v>768</v>
      </c>
      <c r="C16" s="14">
        <f>[3]Delta!$FG$5+[3]Delta!$FG$16</f>
        <v>7201</v>
      </c>
      <c r="D16" s="14">
        <f>[3]United!$FG$5</f>
        <v>463</v>
      </c>
      <c r="E16" s="14">
        <f>[3]Spirit!$FG$5</f>
        <v>389</v>
      </c>
      <c r="F16" s="14">
        <f>[3]Condor!$FG$16</f>
        <v>18</v>
      </c>
      <c r="G16" s="14">
        <f>'[3]Air France'!$FG$16</f>
        <v>30</v>
      </c>
      <c r="H16" s="14">
        <f>[3]KLM!$FG$5+[3]KLM!$FG$16</f>
        <v>13</v>
      </c>
      <c r="I16" s="14">
        <f>'Other Major Airline Stats'!J17</f>
        <v>2018</v>
      </c>
      <c r="J16" s="32">
        <f>SUM(B16:I16)</f>
        <v>10900</v>
      </c>
    </row>
    <row r="17" spans="1:10" x14ac:dyDescent="0.2">
      <c r="A17" s="59" t="s">
        <v>24</v>
      </c>
      <c r="B17" s="278">
        <f t="shared" ref="B17:I17" si="4">SUM(B15:B16)</f>
        <v>1536</v>
      </c>
      <c r="C17" s="276">
        <f t="shared" si="4"/>
        <v>14414</v>
      </c>
      <c r="D17" s="276">
        <f t="shared" si="4"/>
        <v>926</v>
      </c>
      <c r="E17" s="276">
        <f t="shared" si="4"/>
        <v>780</v>
      </c>
      <c r="F17" s="276">
        <f t="shared" ref="F17:H17" si="5">SUM(F15:F16)</f>
        <v>36</v>
      </c>
      <c r="G17" s="276">
        <f t="shared" si="5"/>
        <v>60</v>
      </c>
      <c r="H17" s="276">
        <f t="shared" si="5"/>
        <v>26</v>
      </c>
      <c r="I17" s="276">
        <f t="shared" si="4"/>
        <v>4029</v>
      </c>
      <c r="J17" s="277">
        <f>SUM(B17:I17)</f>
        <v>21807</v>
      </c>
    </row>
    <row r="18" spans="1:10" x14ac:dyDescent="0.2">
      <c r="A18" s="59"/>
      <c r="B18" s="20"/>
      <c r="C18" s="20"/>
      <c r="D18" s="20"/>
      <c r="E18" s="20"/>
      <c r="F18" s="20"/>
      <c r="G18" s="20"/>
      <c r="H18" s="20"/>
      <c r="I18" s="20"/>
      <c r="J18" s="26"/>
    </row>
    <row r="19" spans="1:10" x14ac:dyDescent="0.2">
      <c r="A19" s="59" t="s">
        <v>25</v>
      </c>
      <c r="B19" s="20">
        <f>[3]American!$FG$8</f>
        <v>2</v>
      </c>
      <c r="C19" s="20">
        <f>[3]Delta!$FG$8</f>
        <v>1</v>
      </c>
      <c r="D19" s="20">
        <f>[3]United!$FG$8</f>
        <v>0</v>
      </c>
      <c r="E19" s="20">
        <f>[3]Spirit!$FG$8</f>
        <v>0</v>
      </c>
      <c r="F19" s="20">
        <f>[3]Condor!$FG$8</f>
        <v>0</v>
      </c>
      <c r="G19" s="20">
        <f>'[3]Air France'!$FG$8</f>
        <v>0</v>
      </c>
      <c r="H19" s="20">
        <f>[3]KLM!$FG$8</f>
        <v>0</v>
      </c>
      <c r="I19" s="20">
        <f>'Other Major Airline Stats'!J20</f>
        <v>63</v>
      </c>
      <c r="J19" s="26">
        <f>SUM(B19:I19)</f>
        <v>66</v>
      </c>
    </row>
    <row r="20" spans="1:10" x14ac:dyDescent="0.2">
      <c r="A20" s="59" t="s">
        <v>26</v>
      </c>
      <c r="B20" s="14">
        <f>[3]American!$FG$9</f>
        <v>2</v>
      </c>
      <c r="C20" s="14">
        <f>[3]Delta!$FG$9</f>
        <v>10</v>
      </c>
      <c r="D20" s="14">
        <f>[3]United!$FG$9</f>
        <v>0</v>
      </c>
      <c r="E20" s="14">
        <f>[3]Spirit!$FG$9</f>
        <v>0</v>
      </c>
      <c r="F20" s="14">
        <f>[3]Condor!$FG$9</f>
        <v>0</v>
      </c>
      <c r="G20" s="14">
        <f>'[3]Air France'!$FG$9</f>
        <v>0</v>
      </c>
      <c r="H20" s="14">
        <f>[3]KLM!$FG$9</f>
        <v>0</v>
      </c>
      <c r="I20" s="14">
        <f>'Other Major Airline Stats'!J21</f>
        <v>62</v>
      </c>
      <c r="J20" s="32">
        <f>SUM(B20:I20)</f>
        <v>74</v>
      </c>
    </row>
    <row r="21" spans="1:10" x14ac:dyDescent="0.2">
      <c r="A21" s="59" t="s">
        <v>27</v>
      </c>
      <c r="B21" s="278">
        <f t="shared" ref="B21:I21" si="6">SUM(B19:B20)</f>
        <v>4</v>
      </c>
      <c r="C21" s="276">
        <f t="shared" si="6"/>
        <v>11</v>
      </c>
      <c r="D21" s="276">
        <f t="shared" si="6"/>
        <v>0</v>
      </c>
      <c r="E21" s="276">
        <f t="shared" si="6"/>
        <v>0</v>
      </c>
      <c r="F21" s="276">
        <f t="shared" ref="F21:H21" si="7">SUM(F19:F20)</f>
        <v>0</v>
      </c>
      <c r="G21" s="276">
        <f t="shared" si="7"/>
        <v>0</v>
      </c>
      <c r="H21" s="276">
        <f t="shared" si="7"/>
        <v>0</v>
      </c>
      <c r="I21" s="276">
        <f t="shared" si="6"/>
        <v>125</v>
      </c>
      <c r="J21" s="169">
        <f>SUM(B21:I21)</f>
        <v>140</v>
      </c>
    </row>
    <row r="22" spans="1:10" x14ac:dyDescent="0.2">
      <c r="A22" s="59"/>
      <c r="B22" s="20"/>
      <c r="C22" s="20"/>
      <c r="D22" s="20"/>
      <c r="E22" s="20"/>
      <c r="F22" s="20"/>
      <c r="G22" s="20"/>
      <c r="H22" s="20"/>
      <c r="I22" s="20"/>
      <c r="J22" s="26"/>
    </row>
    <row r="23" spans="1:10" ht="15.75" thickBot="1" x14ac:dyDescent="0.3">
      <c r="A23" s="60" t="s">
        <v>28</v>
      </c>
      <c r="B23" s="27">
        <f t="shared" ref="B23:I23" si="8">B17+B21</f>
        <v>1540</v>
      </c>
      <c r="C23" s="27">
        <f t="shared" si="8"/>
        <v>14425</v>
      </c>
      <c r="D23" s="27">
        <f t="shared" si="8"/>
        <v>926</v>
      </c>
      <c r="E23" s="27">
        <f>E17+E21</f>
        <v>780</v>
      </c>
      <c r="F23" s="27">
        <f t="shared" ref="F23:H23" si="9">F17+F21</f>
        <v>36</v>
      </c>
      <c r="G23" s="27">
        <f t="shared" si="9"/>
        <v>60</v>
      </c>
      <c r="H23" s="27">
        <f t="shared" si="9"/>
        <v>26</v>
      </c>
      <c r="I23" s="27">
        <f t="shared" si="8"/>
        <v>4154</v>
      </c>
      <c r="J23" s="28">
        <f>SUM(B23:I23)</f>
        <v>21947</v>
      </c>
    </row>
    <row r="25" spans="1:10" ht="13.5" thickBot="1" x14ac:dyDescent="0.25">
      <c r="B25" s="409"/>
      <c r="C25" s="409"/>
      <c r="D25" s="409"/>
      <c r="E25" s="409"/>
      <c r="F25" s="409"/>
      <c r="G25" s="409"/>
      <c r="H25" s="409"/>
      <c r="I25" s="409"/>
    </row>
    <row r="26" spans="1:10" ht="15.75" thickTop="1" x14ac:dyDescent="0.25">
      <c r="A26" s="62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2">
      <c r="A27" s="59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0" x14ac:dyDescent="0.2">
      <c r="A28" s="59" t="s">
        <v>37</v>
      </c>
      <c r="B28" s="20">
        <f>[3]American!$FG$47</f>
        <v>44544</v>
      </c>
      <c r="C28" s="20">
        <f>[3]Delta!$FG$47</f>
        <v>4788218</v>
      </c>
      <c r="D28" s="20">
        <f>[3]United!$FG$47</f>
        <v>86210</v>
      </c>
      <c r="E28" s="20">
        <f>[3]Spirit!$FG$47</f>
        <v>0</v>
      </c>
      <c r="F28" s="20">
        <f>[3]Condor!$FG$47</f>
        <v>96207</v>
      </c>
      <c r="G28" s="20">
        <f>'[3]Air France'!$FG$47</f>
        <v>500992</v>
      </c>
      <c r="H28" s="20">
        <f>[3]KLM!$FG$47</f>
        <v>236062</v>
      </c>
      <c r="I28" s="20">
        <f>'Other Major Airline Stats'!J28</f>
        <v>715344</v>
      </c>
      <c r="J28" s="26">
        <f>SUM(B28:I28)</f>
        <v>6467577</v>
      </c>
    </row>
    <row r="29" spans="1:10" x14ac:dyDescent="0.2">
      <c r="A29" s="59" t="s">
        <v>38</v>
      </c>
      <c r="B29" s="14">
        <f>[3]American!$FG$48</f>
        <v>41563</v>
      </c>
      <c r="C29" s="14">
        <f>[3]Delta!$FG$48</f>
        <v>1515155</v>
      </c>
      <c r="D29" s="14">
        <f>[3]United!$FG$48</f>
        <v>212567</v>
      </c>
      <c r="E29" s="14">
        <f>[3]Spirit!$FG$48</f>
        <v>0</v>
      </c>
      <c r="F29" s="14">
        <f>[3]Condor!$FG$48</f>
        <v>0</v>
      </c>
      <c r="G29" s="14">
        <f>'[3]Air France'!$FG$48</f>
        <v>0</v>
      </c>
      <c r="H29" s="14">
        <f>[3]KLM!$FG$48</f>
        <v>0</v>
      </c>
      <c r="I29" s="14">
        <f>'Other Major Airline Stats'!J29</f>
        <v>733648</v>
      </c>
      <c r="J29" s="32">
        <f>SUM(B29:I29)</f>
        <v>2502933</v>
      </c>
    </row>
    <row r="30" spans="1:10" x14ac:dyDescent="0.2">
      <c r="A30" s="63" t="s">
        <v>39</v>
      </c>
      <c r="B30" s="278">
        <f t="shared" ref="B30:I30" si="10">SUM(B28:B29)</f>
        <v>86107</v>
      </c>
      <c r="C30" s="278">
        <f t="shared" si="10"/>
        <v>6303373</v>
      </c>
      <c r="D30" s="278">
        <f t="shared" si="10"/>
        <v>298777</v>
      </c>
      <c r="E30" s="278">
        <f t="shared" si="10"/>
        <v>0</v>
      </c>
      <c r="F30" s="278">
        <f t="shared" ref="F30:H30" si="11">SUM(F28:F29)</f>
        <v>96207</v>
      </c>
      <c r="G30" s="278">
        <f t="shared" si="11"/>
        <v>500992</v>
      </c>
      <c r="H30" s="278">
        <f t="shared" si="11"/>
        <v>236062</v>
      </c>
      <c r="I30" s="278">
        <f t="shared" si="10"/>
        <v>1448992</v>
      </c>
      <c r="J30" s="26">
        <f>SUM(B30:I30)</f>
        <v>8970510</v>
      </c>
    </row>
    <row r="31" spans="1:10" x14ac:dyDescent="0.2">
      <c r="A31" s="59"/>
      <c r="B31" s="20"/>
      <c r="C31" s="20"/>
      <c r="D31" s="20"/>
      <c r="E31" s="20"/>
      <c r="F31" s="20"/>
      <c r="G31" s="20"/>
      <c r="H31" s="20"/>
      <c r="I31" s="20"/>
      <c r="J31" s="26"/>
    </row>
    <row r="32" spans="1:10" x14ac:dyDescent="0.2">
      <c r="A32" s="59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59" t="s">
        <v>37</v>
      </c>
      <c r="B33" s="20">
        <f>[3]American!$FG$52</f>
        <v>13138</v>
      </c>
      <c r="C33" s="20">
        <f>[3]Delta!$FG$52</f>
        <v>2627204</v>
      </c>
      <c r="D33" s="20">
        <f>[3]United!$FG$52</f>
        <v>57111</v>
      </c>
      <c r="E33" s="20">
        <f>[3]Spirit!$FG$52</f>
        <v>0</v>
      </c>
      <c r="F33" s="20">
        <f>[3]Condor!$FG$52</f>
        <v>0</v>
      </c>
      <c r="G33" s="20">
        <f>'[3]Air France'!$FG$52</f>
        <v>60557</v>
      </c>
      <c r="H33" s="20">
        <f>[3]KLM!$FG$52</f>
        <v>154259</v>
      </c>
      <c r="I33" s="20">
        <f>'Other Major Airline Stats'!J33</f>
        <v>333421</v>
      </c>
      <c r="J33" s="26">
        <f t="shared" si="12"/>
        <v>3245690</v>
      </c>
    </row>
    <row r="34" spans="1:10" x14ac:dyDescent="0.2">
      <c r="A34" s="59" t="s">
        <v>38</v>
      </c>
      <c r="B34" s="14">
        <f>[3]American!$FG$53</f>
        <v>47150</v>
      </c>
      <c r="C34" s="14">
        <f>[3]Delta!$FG$53</f>
        <v>1792477</v>
      </c>
      <c r="D34" s="14">
        <f>[3]United!$FG$53</f>
        <v>168359</v>
      </c>
      <c r="E34" s="14">
        <f>[3]Spirit!$FG$53</f>
        <v>0</v>
      </c>
      <c r="F34" s="14">
        <f>[3]Condor!$FG$53</f>
        <v>0</v>
      </c>
      <c r="G34" s="14">
        <f>'[3]Air France'!$FG$53</f>
        <v>0</v>
      </c>
      <c r="H34" s="14">
        <f>[3]KLM!$FG$53</f>
        <v>0</v>
      </c>
      <c r="I34" s="14">
        <f>'Other Major Airline Stats'!J34</f>
        <v>346014</v>
      </c>
      <c r="J34" s="32">
        <f t="shared" si="12"/>
        <v>2354000</v>
      </c>
    </row>
    <row r="35" spans="1:10" x14ac:dyDescent="0.2">
      <c r="A35" s="63" t="s">
        <v>41</v>
      </c>
      <c r="B35" s="278">
        <f t="shared" ref="B35:I35" si="13">SUM(B33:B34)</f>
        <v>60288</v>
      </c>
      <c r="C35" s="278">
        <f t="shared" si="13"/>
        <v>4419681</v>
      </c>
      <c r="D35" s="278">
        <f t="shared" si="13"/>
        <v>225470</v>
      </c>
      <c r="E35" s="278">
        <f t="shared" si="13"/>
        <v>0</v>
      </c>
      <c r="F35" s="278">
        <f t="shared" ref="F35:H35" si="14">SUM(F33:F34)</f>
        <v>0</v>
      </c>
      <c r="G35" s="278">
        <f t="shared" si="14"/>
        <v>60557</v>
      </c>
      <c r="H35" s="278">
        <f t="shared" si="14"/>
        <v>154259</v>
      </c>
      <c r="I35" s="278">
        <f t="shared" si="13"/>
        <v>679435</v>
      </c>
      <c r="J35" s="26">
        <f t="shared" si="12"/>
        <v>5599690</v>
      </c>
    </row>
    <row r="36" spans="1:10" hidden="1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59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59" t="s">
        <v>37</v>
      </c>
      <c r="B38" s="20">
        <f>[3]American!$FG$57</f>
        <v>0</v>
      </c>
      <c r="C38" s="20">
        <f>[3]Delta!$FG$57</f>
        <v>0</v>
      </c>
      <c r="D38" s="20">
        <f>[3]United!$FG$57</f>
        <v>0</v>
      </c>
      <c r="E38" s="20">
        <f>[3]Spirit!$FG$57</f>
        <v>0</v>
      </c>
      <c r="F38" s="20">
        <f>[3]Condor!$FG$57</f>
        <v>0</v>
      </c>
      <c r="G38" s="20">
        <f>'[3]Air France'!$FG$57</f>
        <v>0</v>
      </c>
      <c r="H38" s="20">
        <f>[3]KLM!$FG$57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59" t="s">
        <v>38</v>
      </c>
      <c r="B39" s="14">
        <f>[3]American!$FG$58</f>
        <v>0</v>
      </c>
      <c r="C39" s="14">
        <f>[3]Delta!$FG$58</f>
        <v>0</v>
      </c>
      <c r="D39" s="14">
        <f>[3]United!$FG$58</f>
        <v>0</v>
      </c>
      <c r="E39" s="14">
        <f>[3]Spirit!$FG$58</f>
        <v>0</v>
      </c>
      <c r="F39" s="14">
        <f>[3]Condor!$FG$58</f>
        <v>0</v>
      </c>
      <c r="G39" s="14">
        <f>'[3]Air France'!$FG$58</f>
        <v>0</v>
      </c>
      <c r="H39" s="14">
        <f>[3]KLM!$FG$58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3" t="s">
        <v>43</v>
      </c>
      <c r="B40" s="278">
        <f t="shared" ref="B40:I40" si="15">SUM(B38:B39)</f>
        <v>0</v>
      </c>
      <c r="C40" s="278">
        <f t="shared" si="15"/>
        <v>0</v>
      </c>
      <c r="D40" s="278">
        <f t="shared" si="15"/>
        <v>0</v>
      </c>
      <c r="E40" s="278">
        <f t="shared" si="15"/>
        <v>0</v>
      </c>
      <c r="F40" s="278">
        <f t="shared" ref="F40:H40" si="16">SUM(F38:F39)</f>
        <v>0</v>
      </c>
      <c r="G40" s="278">
        <f t="shared" si="16"/>
        <v>0</v>
      </c>
      <c r="H40" s="278">
        <f t="shared" si="16"/>
        <v>0</v>
      </c>
      <c r="I40" s="278">
        <f t="shared" si="15"/>
        <v>0</v>
      </c>
      <c r="J40" s="26">
        <f t="shared" si="12"/>
        <v>0</v>
      </c>
    </row>
    <row r="41" spans="1:10" x14ac:dyDescent="0.2">
      <c r="A41" s="59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59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59" t="s">
        <v>45</v>
      </c>
      <c r="B43" s="20">
        <f t="shared" ref="B43:I44" si="17">B28+B33+B38</f>
        <v>57682</v>
      </c>
      <c r="C43" s="20">
        <f t="shared" si="17"/>
        <v>7415422</v>
      </c>
      <c r="D43" s="20">
        <f t="shared" si="17"/>
        <v>143321</v>
      </c>
      <c r="E43" s="20">
        <f>E28+E33+E38</f>
        <v>0</v>
      </c>
      <c r="F43" s="20">
        <f t="shared" ref="F43:H43" si="18">F28+F33+F38</f>
        <v>96207</v>
      </c>
      <c r="G43" s="20">
        <f t="shared" si="18"/>
        <v>561549</v>
      </c>
      <c r="H43" s="20">
        <f t="shared" si="18"/>
        <v>390321</v>
      </c>
      <c r="I43" s="20">
        <f t="shared" si="17"/>
        <v>1048765</v>
      </c>
      <c r="J43" s="26">
        <f>SUM(B43:I43)</f>
        <v>9713267</v>
      </c>
    </row>
    <row r="44" spans="1:10" x14ac:dyDescent="0.2">
      <c r="A44" s="59" t="s">
        <v>38</v>
      </c>
      <c r="B44" s="14">
        <f t="shared" si="17"/>
        <v>88713</v>
      </c>
      <c r="C44" s="14">
        <f t="shared" si="17"/>
        <v>3307632</v>
      </c>
      <c r="D44" s="14">
        <f t="shared" si="17"/>
        <v>380926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1079662</v>
      </c>
      <c r="J44" s="26">
        <f>SUM(B44:I44)</f>
        <v>4856933</v>
      </c>
    </row>
    <row r="45" spans="1:10" ht="15.75" thickBot="1" x14ac:dyDescent="0.3">
      <c r="A45" s="60" t="s">
        <v>46</v>
      </c>
      <c r="B45" s="279">
        <f t="shared" ref="B45:I45" si="20">SUM(B43:B44)</f>
        <v>146395</v>
      </c>
      <c r="C45" s="279">
        <f t="shared" si="20"/>
        <v>10723054</v>
      </c>
      <c r="D45" s="279">
        <f t="shared" si="20"/>
        <v>524247</v>
      </c>
      <c r="E45" s="279">
        <f t="shared" si="20"/>
        <v>0</v>
      </c>
      <c r="F45" s="279">
        <f t="shared" ref="F45:H45" si="21">SUM(F43:F44)</f>
        <v>96207</v>
      </c>
      <c r="G45" s="279">
        <f t="shared" si="21"/>
        <v>561549</v>
      </c>
      <c r="H45" s="279">
        <f t="shared" si="21"/>
        <v>390321</v>
      </c>
      <c r="I45" s="279">
        <f t="shared" si="20"/>
        <v>2128427</v>
      </c>
      <c r="J45" s="280">
        <f>SUM(B45:I45)</f>
        <v>14570200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1" t="s">
        <v>124</v>
      </c>
      <c r="C47" s="309">
        <f>[3]Delta!$FG$70+[3]Delta!$FG$73</f>
        <v>429265</v>
      </c>
      <c r="D47" s="296"/>
      <c r="E47" s="296"/>
      <c r="F47" s="296"/>
      <c r="G47" s="296"/>
      <c r="H47" s="296"/>
      <c r="I47" s="296"/>
      <c r="J47" s="297">
        <f>SUM(B47:I47)</f>
        <v>429265</v>
      </c>
    </row>
    <row r="48" spans="1:10" hidden="1" x14ac:dyDescent="0.2">
      <c r="A48" s="372" t="s">
        <v>125</v>
      </c>
      <c r="C48" s="309">
        <f>[3]Delta!$FG$71+[3]Delta!$FG$74</f>
        <v>553036</v>
      </c>
      <c r="D48" s="296"/>
      <c r="E48" s="296"/>
      <c r="F48" s="296"/>
      <c r="G48" s="296"/>
      <c r="H48" s="296"/>
      <c r="I48" s="296"/>
      <c r="J48" s="297">
        <f>SUM(B48:I48)</f>
        <v>553036</v>
      </c>
    </row>
    <row r="49" spans="1:10" hidden="1" x14ac:dyDescent="0.2">
      <c r="A49" s="373" t="s">
        <v>126</v>
      </c>
      <c r="C49" s="310">
        <f>SUM(C47:C48)</f>
        <v>982301</v>
      </c>
      <c r="J49" s="297">
        <f>SUM(B49:I49)</f>
        <v>982301</v>
      </c>
    </row>
    <row r="50" spans="1:10" x14ac:dyDescent="0.2">
      <c r="A50" s="371" t="s">
        <v>124</v>
      </c>
      <c r="B50" s="383"/>
      <c r="C50" s="312">
        <f>[3]Delta!$FG$70+[3]Delta!$FG$73</f>
        <v>429265</v>
      </c>
      <c r="D50" s="383"/>
      <c r="E50" s="312">
        <f>[3]Spirit!$FG$70+[3]Spirit!$FG$73</f>
        <v>0</v>
      </c>
      <c r="F50" s="383"/>
      <c r="G50" s="383"/>
      <c r="H50" s="383"/>
      <c r="I50" s="311">
        <f>'Other Major Airline Stats'!J48</f>
        <v>186721</v>
      </c>
      <c r="J50" s="300">
        <f>SUM(B50:I50)</f>
        <v>615986</v>
      </c>
    </row>
    <row r="51" spans="1:10" x14ac:dyDescent="0.2">
      <c r="A51" s="385" t="s">
        <v>125</v>
      </c>
      <c r="B51" s="383"/>
      <c r="C51" s="312">
        <f>[3]Delta!$FG$71+[3]Delta!$FG$74</f>
        <v>553036</v>
      </c>
      <c r="D51" s="383"/>
      <c r="E51" s="312">
        <f>[3]Spirit!$FG$71+[3]Spirit!$FG$74</f>
        <v>0</v>
      </c>
      <c r="F51" s="383"/>
      <c r="G51" s="383"/>
      <c r="H51" s="383"/>
      <c r="I51" s="311">
        <f>+'Other Major Airline Stats'!J49</f>
        <v>10849</v>
      </c>
      <c r="J51" s="300">
        <f>SUM(B51:I51)</f>
        <v>563885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3" zoomScaleNormal="100" workbookViewId="0">
      <selection activeCell="E55" sqref="E5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4">
        <v>42948</v>
      </c>
      <c r="B2" s="435" t="s">
        <v>47</v>
      </c>
      <c r="C2" s="435" t="s">
        <v>158</v>
      </c>
      <c r="D2" s="434" t="s">
        <v>205</v>
      </c>
      <c r="E2" s="434" t="s">
        <v>206</v>
      </c>
      <c r="F2" s="435" t="s">
        <v>48</v>
      </c>
      <c r="G2" s="434" t="s">
        <v>132</v>
      </c>
      <c r="H2" s="434" t="s">
        <v>49</v>
      </c>
      <c r="I2" s="434" t="s">
        <v>131</v>
      </c>
      <c r="J2" s="263" t="s">
        <v>61</v>
      </c>
    </row>
    <row r="3" spans="1:13" ht="15.75" thickTop="1" x14ac:dyDescent="0.25">
      <c r="A3" s="61" t="s">
        <v>3</v>
      </c>
      <c r="B3" s="118"/>
      <c r="C3" s="118"/>
      <c r="D3" s="118"/>
      <c r="E3" s="118"/>
      <c r="F3" s="118"/>
      <c r="G3" s="118"/>
      <c r="H3" s="118"/>
      <c r="I3" s="118"/>
      <c r="J3" s="145"/>
    </row>
    <row r="4" spans="1:13" x14ac:dyDescent="0.2">
      <c r="A4" s="59" t="s">
        <v>29</v>
      </c>
      <c r="B4" s="111"/>
      <c r="C4" s="111"/>
      <c r="D4" s="111"/>
      <c r="E4" s="111"/>
      <c r="F4" s="111"/>
      <c r="G4" s="111"/>
      <c r="H4" s="111"/>
      <c r="I4" s="111"/>
      <c r="J4" s="146"/>
    </row>
    <row r="5" spans="1:13" x14ac:dyDescent="0.2">
      <c r="A5" s="59" t="s">
        <v>30</v>
      </c>
      <c r="B5" s="139">
        <f>[3]Frontier!$FG$22</f>
        <v>12419</v>
      </c>
      <c r="C5" s="139">
        <f>'[3]Great Lakes'!$FG$22</f>
        <v>0</v>
      </c>
      <c r="D5" s="111">
        <f>'[3]Air Choice One'!$FG$22</f>
        <v>473</v>
      </c>
      <c r="E5" s="111">
        <f>'[3]Boutique Air'!$FG$22</f>
        <v>471</v>
      </c>
      <c r="F5" s="139">
        <f>[3]Icelandair!$FG$32</f>
        <v>6906</v>
      </c>
      <c r="G5" s="111">
        <f>[3]Southwest!$FG$22</f>
        <v>96117</v>
      </c>
      <c r="H5" s="111">
        <f>'[3]Sun Country'!$FG$22+'[3]Sun Country'!$FG$32</f>
        <v>102479</v>
      </c>
      <c r="I5" s="111">
        <f>[3]Alaska!$FG$22</f>
        <v>13846</v>
      </c>
      <c r="J5" s="140">
        <f>SUM(B5:I5)</f>
        <v>232711</v>
      </c>
      <c r="M5" s="123"/>
    </row>
    <row r="6" spans="1:13" x14ac:dyDescent="0.2">
      <c r="A6" s="59" t="s">
        <v>31</v>
      </c>
      <c r="B6" s="139">
        <f>[3]Frontier!$FG$23</f>
        <v>12739</v>
      </c>
      <c r="C6" s="139">
        <f>'[3]Great Lakes'!$FG$23</f>
        <v>0</v>
      </c>
      <c r="D6" s="111">
        <f>'[3]Air Choice One'!$FG$23</f>
        <v>468</v>
      </c>
      <c r="E6" s="111">
        <f>'[3]Boutique Air'!$FG$23</f>
        <v>495</v>
      </c>
      <c r="F6" s="139">
        <f>[3]Icelandair!$FG$33</f>
        <v>6878</v>
      </c>
      <c r="G6" s="111">
        <f>[3]Southwest!$FG$23</f>
        <v>97090</v>
      </c>
      <c r="H6" s="111">
        <f>'[3]Sun Country'!$FG$23+'[3]Sun Country'!$FG$33</f>
        <v>100480</v>
      </c>
      <c r="I6" s="111">
        <f>[3]Alaska!$FG$23</f>
        <v>13039</v>
      </c>
      <c r="J6" s="140">
        <f>SUM(B6:I6)</f>
        <v>231189</v>
      </c>
    </row>
    <row r="7" spans="1:13" ht="15" x14ac:dyDescent="0.25">
      <c r="A7" s="57" t="s">
        <v>7</v>
      </c>
      <c r="B7" s="148">
        <f t="shared" ref="B7:I7" si="0">SUM(B5:B6)</f>
        <v>25158</v>
      </c>
      <c r="C7" s="148">
        <f t="shared" si="0"/>
        <v>0</v>
      </c>
      <c r="D7" s="148">
        <f t="shared" ref="D7:E7" si="1">SUM(D5:D6)</f>
        <v>941</v>
      </c>
      <c r="E7" s="148">
        <f t="shared" si="1"/>
        <v>966</v>
      </c>
      <c r="F7" s="148">
        <f t="shared" si="0"/>
        <v>13784</v>
      </c>
      <c r="G7" s="148">
        <f t="shared" si="0"/>
        <v>193207</v>
      </c>
      <c r="H7" s="148">
        <f>SUM(H5:H6)</f>
        <v>202959</v>
      </c>
      <c r="I7" s="148">
        <f t="shared" si="0"/>
        <v>26885</v>
      </c>
      <c r="J7" s="149">
        <f>SUM(B7:I7)</f>
        <v>463900</v>
      </c>
    </row>
    <row r="8" spans="1:13" x14ac:dyDescent="0.2">
      <c r="A8" s="59"/>
      <c r="B8" s="147"/>
      <c r="C8" s="147"/>
      <c r="D8" s="147"/>
      <c r="E8" s="147"/>
      <c r="F8" s="147"/>
      <c r="G8" s="147"/>
      <c r="H8" s="147"/>
      <c r="I8" s="147"/>
      <c r="J8" s="140"/>
    </row>
    <row r="9" spans="1:13" x14ac:dyDescent="0.2">
      <c r="A9" s="59" t="s">
        <v>32</v>
      </c>
      <c r="B9" s="147"/>
      <c r="C9" s="147"/>
      <c r="D9" s="147"/>
      <c r="E9" s="147"/>
      <c r="F9" s="147"/>
      <c r="G9" s="147"/>
      <c r="H9" s="147"/>
      <c r="I9" s="147"/>
      <c r="J9" s="140"/>
    </row>
    <row r="10" spans="1:13" x14ac:dyDescent="0.2">
      <c r="A10" s="59" t="s">
        <v>30</v>
      </c>
      <c r="B10" s="147">
        <f>[3]Frontier!$FG$27</f>
        <v>146</v>
      </c>
      <c r="C10" s="147">
        <f>'[3]Great Lakes'!$FG$27</f>
        <v>0</v>
      </c>
      <c r="D10" s="147">
        <f>'[3]Air Choice One'!$FG$27</f>
        <v>0</v>
      </c>
      <c r="E10" s="147">
        <f>'[3]Boutique Air'!$FG$27</f>
        <v>0</v>
      </c>
      <c r="F10" s="147">
        <f>[3]Icelandair!$FG$37</f>
        <v>36</v>
      </c>
      <c r="G10" s="147">
        <f>[3]Southwest!$FG$27</f>
        <v>1737</v>
      </c>
      <c r="H10" s="147">
        <f>'[3]Sun Country'!$FG$27+'[3]Sun Country'!$FG$37</f>
        <v>2334</v>
      </c>
      <c r="I10" s="147">
        <f>[3]Alaska!$FG$27</f>
        <v>475</v>
      </c>
      <c r="J10" s="140">
        <f>SUM(B10:I10)</f>
        <v>4728</v>
      </c>
    </row>
    <row r="11" spans="1:13" x14ac:dyDescent="0.2">
      <c r="A11" s="59" t="s">
        <v>33</v>
      </c>
      <c r="B11" s="150">
        <f>[3]Frontier!$FG$28</f>
        <v>156</v>
      </c>
      <c r="C11" s="150">
        <f>'[3]Great Lakes'!$FG$28</f>
        <v>0</v>
      </c>
      <c r="D11" s="150">
        <f>'[3]Air Choice One'!$FG$28</f>
        <v>0</v>
      </c>
      <c r="E11" s="150">
        <f>'[3]Boutique Air'!$FG$28</f>
        <v>0</v>
      </c>
      <c r="F11" s="150">
        <f>[3]Icelandair!$FG$38</f>
        <v>45</v>
      </c>
      <c r="G11" s="150">
        <f>[3]Southwest!$FG$28</f>
        <v>1855</v>
      </c>
      <c r="H11" s="150">
        <f>'[3]Sun Country'!$FG$28+'[3]Sun Country'!$FG$38</f>
        <v>2125</v>
      </c>
      <c r="I11" s="150">
        <f>[3]Alaska!$FG$28</f>
        <v>584</v>
      </c>
      <c r="J11" s="140">
        <f>SUM(B11:I11)</f>
        <v>4765</v>
      </c>
    </row>
    <row r="12" spans="1:13" ht="15.75" thickBot="1" x14ac:dyDescent="0.3">
      <c r="A12" s="60" t="s">
        <v>34</v>
      </c>
      <c r="B12" s="143">
        <f t="shared" ref="B12:I12" si="2">SUM(B10:B11)</f>
        <v>302</v>
      </c>
      <c r="C12" s="143">
        <f t="shared" si="2"/>
        <v>0</v>
      </c>
      <c r="D12" s="143">
        <f t="shared" ref="D12:E12" si="3">SUM(D10:D11)</f>
        <v>0</v>
      </c>
      <c r="E12" s="143">
        <f t="shared" si="3"/>
        <v>0</v>
      </c>
      <c r="F12" s="143">
        <f t="shared" si="2"/>
        <v>81</v>
      </c>
      <c r="G12" s="143">
        <f t="shared" si="2"/>
        <v>3592</v>
      </c>
      <c r="H12" s="143">
        <f>SUM(H10:H11)</f>
        <v>4459</v>
      </c>
      <c r="I12" s="143">
        <f t="shared" si="2"/>
        <v>1059</v>
      </c>
      <c r="J12" s="151">
        <f>SUM(B12:I12)</f>
        <v>9493</v>
      </c>
      <c r="M12" s="123"/>
    </row>
    <row r="13" spans="1:13" ht="15" x14ac:dyDescent="0.25">
      <c r="A13" s="56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3" ht="13.5" thickBot="1" x14ac:dyDescent="0.25"/>
    <row r="15" spans="1:13" ht="15.75" thickTop="1" x14ac:dyDescent="0.25">
      <c r="A15" s="58" t="s">
        <v>9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3" x14ac:dyDescent="0.2">
      <c r="A16" s="59" t="s">
        <v>22</v>
      </c>
      <c r="B16" s="139">
        <f>[3]Frontier!$FG$4</f>
        <v>93</v>
      </c>
      <c r="C16" s="139">
        <f>'[3]Great Lakes'!$FG$4</f>
        <v>0</v>
      </c>
      <c r="D16" s="99">
        <f>'[3]Air Choice One'!$FG$4</f>
        <v>127</v>
      </c>
      <c r="E16" s="99">
        <f>'[3]Boutique Air'!$FG$4</f>
        <v>82</v>
      </c>
      <c r="F16" s="139">
        <f>[3]Icelandair!$FG$15</f>
        <v>31</v>
      </c>
      <c r="G16" s="99">
        <f>[3]Southwest!$FG$4</f>
        <v>796</v>
      </c>
      <c r="H16" s="111">
        <f>'[3]Sun Country'!$FG$4+'[3]Sun Country'!$FG$15</f>
        <v>794</v>
      </c>
      <c r="I16" s="111">
        <f>[3]Alaska!$FG$4</f>
        <v>88</v>
      </c>
      <c r="J16" s="140">
        <f>SUM(B16:I16)</f>
        <v>2011</v>
      </c>
    </row>
    <row r="17" spans="1:257" x14ac:dyDescent="0.2">
      <c r="A17" s="59" t="s">
        <v>23</v>
      </c>
      <c r="B17" s="139">
        <f>[3]Frontier!$FG$5</f>
        <v>94</v>
      </c>
      <c r="C17" s="139">
        <f>'[3]Great Lakes'!$FG$5</f>
        <v>0</v>
      </c>
      <c r="D17" s="99">
        <f>'[3]Air Choice One'!$FG$5</f>
        <v>127</v>
      </c>
      <c r="E17" s="99">
        <f>'[3]Boutique Air'!$FG$5</f>
        <v>82</v>
      </c>
      <c r="F17" s="139">
        <f>[3]Icelandair!$FG$16</f>
        <v>31</v>
      </c>
      <c r="G17" s="99">
        <f>[3]Southwest!$FG$5</f>
        <v>798</v>
      </c>
      <c r="H17" s="111">
        <f>'[3]Sun Country'!$FG$5+'[3]Sun Country'!$FG$16</f>
        <v>798</v>
      </c>
      <c r="I17" s="111">
        <f>[3]Alaska!$FG$5</f>
        <v>88</v>
      </c>
      <c r="J17" s="140">
        <f>SUM(B17:I17)</f>
        <v>2018</v>
      </c>
      <c r="N17" s="501"/>
    </row>
    <row r="18" spans="1:257" x14ac:dyDescent="0.2">
      <c r="A18" s="63" t="s">
        <v>24</v>
      </c>
      <c r="B18" s="141">
        <f t="shared" ref="B18:I18" si="4">SUM(B16:B17)</f>
        <v>187</v>
      </c>
      <c r="C18" s="141">
        <f t="shared" si="4"/>
        <v>0</v>
      </c>
      <c r="D18" s="141">
        <f t="shared" ref="D18:E18" si="5">SUM(D16:D17)</f>
        <v>254</v>
      </c>
      <c r="E18" s="141">
        <f t="shared" si="5"/>
        <v>164</v>
      </c>
      <c r="F18" s="141">
        <f t="shared" si="4"/>
        <v>62</v>
      </c>
      <c r="G18" s="141">
        <f t="shared" si="4"/>
        <v>1594</v>
      </c>
      <c r="H18" s="141">
        <f t="shared" si="4"/>
        <v>1592</v>
      </c>
      <c r="I18" s="141">
        <f t="shared" si="4"/>
        <v>176</v>
      </c>
      <c r="J18" s="142">
        <f>SUM(B18:I18)</f>
        <v>4029</v>
      </c>
    </row>
    <row r="19" spans="1:257" x14ac:dyDescent="0.2">
      <c r="A19" s="63"/>
      <c r="B19" s="109"/>
      <c r="C19" s="109"/>
      <c r="D19" s="109"/>
      <c r="E19" s="109"/>
      <c r="F19" s="109"/>
      <c r="G19" s="109"/>
      <c r="H19" s="109"/>
      <c r="I19" s="109"/>
      <c r="J19" s="140"/>
    </row>
    <row r="20" spans="1:257" x14ac:dyDescent="0.2">
      <c r="A20" s="59" t="s">
        <v>25</v>
      </c>
      <c r="B20" s="139">
        <f>[3]Frontier!$FG$8</f>
        <v>0</v>
      </c>
      <c r="C20" s="139">
        <f>'[3]Great Lakes'!$FG$8</f>
        <v>0</v>
      </c>
      <c r="D20" s="111">
        <f>'[3]Air Choice One'!$FG$8</f>
        <v>0</v>
      </c>
      <c r="E20" s="111">
        <f>'[3]Boutique Air'!$FG$8</f>
        <v>0</v>
      </c>
      <c r="F20" s="139">
        <f>[3]Icelandair!$FG$8</f>
        <v>0</v>
      </c>
      <c r="G20" s="111">
        <f>[3]Southwest!$FG$8</f>
        <v>4</v>
      </c>
      <c r="H20" s="111">
        <f>'[3]Sun Country'!$FG$8</f>
        <v>59</v>
      </c>
      <c r="I20" s="111">
        <f>[3]Alaska!$FG$8</f>
        <v>0</v>
      </c>
      <c r="J20" s="140">
        <f>SUM(B20:I20)</f>
        <v>63</v>
      </c>
    </row>
    <row r="21" spans="1:257" x14ac:dyDescent="0.2">
      <c r="A21" s="59" t="s">
        <v>26</v>
      </c>
      <c r="B21" s="139">
        <f>[3]Frontier!$FG$9</f>
        <v>0</v>
      </c>
      <c r="C21" s="139">
        <f>'[3]Great Lakes'!$FG$9</f>
        <v>0</v>
      </c>
      <c r="D21" s="111">
        <f>'[3]Air Choice One'!$FG$9</f>
        <v>0</v>
      </c>
      <c r="E21" s="111">
        <f>'[3]Boutique Air'!$FG$9</f>
        <v>0</v>
      </c>
      <c r="F21" s="139">
        <f>[3]Icelandair!$FG$9</f>
        <v>0</v>
      </c>
      <c r="G21" s="111">
        <f>[3]Southwest!$FG$9</f>
        <v>0</v>
      </c>
      <c r="H21" s="111">
        <f>'[3]Sun Country'!$FG$9</f>
        <v>62</v>
      </c>
      <c r="I21" s="111">
        <f>[3]Alaska!$FG$9</f>
        <v>0</v>
      </c>
      <c r="J21" s="140">
        <f>SUM(B21:I21)</f>
        <v>62</v>
      </c>
    </row>
    <row r="22" spans="1:257" x14ac:dyDescent="0.2">
      <c r="A22" s="63" t="s">
        <v>27</v>
      </c>
      <c r="B22" s="141">
        <f t="shared" ref="B22:I22" si="6">SUM(B20:B21)</f>
        <v>0</v>
      </c>
      <c r="C22" s="141">
        <f t="shared" si="6"/>
        <v>0</v>
      </c>
      <c r="D22" s="141">
        <f t="shared" ref="D22:E22" si="7">SUM(D20:D21)</f>
        <v>0</v>
      </c>
      <c r="E22" s="141">
        <f t="shared" si="7"/>
        <v>0</v>
      </c>
      <c r="F22" s="141">
        <f t="shared" si="6"/>
        <v>0</v>
      </c>
      <c r="G22" s="141">
        <f t="shared" si="6"/>
        <v>4</v>
      </c>
      <c r="H22" s="141">
        <f t="shared" si="6"/>
        <v>121</v>
      </c>
      <c r="I22" s="141">
        <f t="shared" si="6"/>
        <v>0</v>
      </c>
      <c r="J22" s="142">
        <f>SUM(B22:I22)</f>
        <v>125</v>
      </c>
    </row>
    <row r="23" spans="1:257" ht="15.75" thickBot="1" x14ac:dyDescent="0.3">
      <c r="A23" s="60" t="s">
        <v>28</v>
      </c>
      <c r="B23" s="143">
        <f t="shared" ref="B23:I23" si="8">B22+B18</f>
        <v>187</v>
      </c>
      <c r="C23" s="143">
        <f t="shared" si="8"/>
        <v>0</v>
      </c>
      <c r="D23" s="143">
        <f t="shared" ref="D23:E23" si="9">D22+D18</f>
        <v>254</v>
      </c>
      <c r="E23" s="143">
        <f t="shared" si="9"/>
        <v>164</v>
      </c>
      <c r="F23" s="143">
        <f t="shared" si="8"/>
        <v>62</v>
      </c>
      <c r="G23" s="143">
        <f t="shared" si="8"/>
        <v>1598</v>
      </c>
      <c r="H23" s="143">
        <f t="shared" si="8"/>
        <v>1713</v>
      </c>
      <c r="I23" s="143">
        <f t="shared" si="8"/>
        <v>176</v>
      </c>
      <c r="J23" s="144">
        <f>SUM(B23:I23)</f>
        <v>4154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09"/>
      <c r="C25" s="409"/>
      <c r="D25" s="409"/>
      <c r="E25" s="409"/>
      <c r="F25" s="409"/>
      <c r="G25" s="409"/>
      <c r="H25" s="409"/>
      <c r="I25" s="409"/>
      <c r="J25" s="123"/>
    </row>
    <row r="26" spans="1:257" ht="15.75" thickTop="1" x14ac:dyDescent="0.25">
      <c r="A26" s="62" t="s">
        <v>35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257" x14ac:dyDescent="0.2">
      <c r="A27" s="59" t="s">
        <v>36</v>
      </c>
      <c r="B27" s="154"/>
      <c r="C27" s="154"/>
      <c r="D27" s="154"/>
      <c r="E27" s="154"/>
      <c r="F27" s="154"/>
      <c r="G27" s="154"/>
      <c r="H27" s="154"/>
      <c r="I27" s="154"/>
      <c r="J27" s="146"/>
    </row>
    <row r="28" spans="1:257" x14ac:dyDescent="0.2">
      <c r="A28" s="59" t="s">
        <v>37</v>
      </c>
      <c r="B28" s="139">
        <f>[3]Frontier!$FG$47</f>
        <v>0</v>
      </c>
      <c r="C28" s="139">
        <f>'[3]Great Lakes'!$FG$47</f>
        <v>0</v>
      </c>
      <c r="D28" s="111">
        <f>'[3]Air Choice One'!$FG$47</f>
        <v>0</v>
      </c>
      <c r="E28" s="111">
        <f>'[3]Boutique Air'!$FG$47</f>
        <v>0</v>
      </c>
      <c r="F28" s="139">
        <f>[3]Icelandair!$FG$47</f>
        <v>143008</v>
      </c>
      <c r="G28" s="111">
        <f>[3]Southwest!$FG$47</f>
        <v>198409</v>
      </c>
      <c r="H28" s="111">
        <f>'[3]Sun Country'!$FG$47</f>
        <v>347805</v>
      </c>
      <c r="I28" s="111">
        <f>[3]Alaska!$FG$47</f>
        <v>26122</v>
      </c>
      <c r="J28" s="140">
        <f>SUM(B28:I28)</f>
        <v>715344</v>
      </c>
    </row>
    <row r="29" spans="1:257" x14ac:dyDescent="0.2">
      <c r="A29" s="59" t="s">
        <v>38</v>
      </c>
      <c r="B29" s="139">
        <f>[3]Frontier!$FG$48</f>
        <v>0</v>
      </c>
      <c r="C29" s="139">
        <f>'[3]Great Lakes'!$FG$48</f>
        <v>0</v>
      </c>
      <c r="D29" s="111">
        <f>'[3]Air Choice One'!$FG$48</f>
        <v>0</v>
      </c>
      <c r="E29" s="111">
        <f>'[3]Boutique Air'!$FG$48</f>
        <v>0</v>
      </c>
      <c r="F29" s="139">
        <f>[3]Icelandair!$FG$48</f>
        <v>0</v>
      </c>
      <c r="G29" s="111">
        <f>[3]Southwest!$FG$48</f>
        <v>0</v>
      </c>
      <c r="H29" s="111">
        <f>'[3]Sun Country'!$FG$48</f>
        <v>689326</v>
      </c>
      <c r="I29" s="111">
        <f>[3]Alaska!$FG$48</f>
        <v>44322</v>
      </c>
      <c r="J29" s="140">
        <f>SUM(B29:I29)</f>
        <v>733648</v>
      </c>
    </row>
    <row r="30" spans="1:257" x14ac:dyDescent="0.2">
      <c r="A30" s="63" t="s">
        <v>39</v>
      </c>
      <c r="B30" s="155">
        <f t="shared" ref="B30:I30" si="10">SUM(B28:B29)</f>
        <v>0</v>
      </c>
      <c r="C30" s="155">
        <f t="shared" si="10"/>
        <v>0</v>
      </c>
      <c r="D30" s="155">
        <f t="shared" ref="D30:E30" si="11">SUM(D28:D29)</f>
        <v>0</v>
      </c>
      <c r="E30" s="155">
        <f t="shared" si="11"/>
        <v>0</v>
      </c>
      <c r="F30" s="155">
        <f t="shared" si="10"/>
        <v>143008</v>
      </c>
      <c r="G30" s="155">
        <f t="shared" si="10"/>
        <v>198409</v>
      </c>
      <c r="H30" s="155">
        <f t="shared" si="10"/>
        <v>1037131</v>
      </c>
      <c r="I30" s="155">
        <f t="shared" si="10"/>
        <v>70444</v>
      </c>
      <c r="J30" s="158">
        <f>SUM(B30:I30)</f>
        <v>1448992</v>
      </c>
    </row>
    <row r="31" spans="1:257" x14ac:dyDescent="0.2">
      <c r="A31" s="59"/>
      <c r="B31" s="147"/>
      <c r="C31" s="147"/>
      <c r="D31" s="147"/>
      <c r="E31" s="147"/>
      <c r="F31" s="147"/>
      <c r="G31" s="147"/>
      <c r="H31" s="147"/>
      <c r="I31" s="147"/>
      <c r="J31" s="140"/>
    </row>
    <row r="32" spans="1:257" x14ac:dyDescent="0.2">
      <c r="A32" s="59" t="s">
        <v>40</v>
      </c>
      <c r="B32" s="139"/>
      <c r="C32" s="139"/>
      <c r="D32" s="111"/>
      <c r="E32" s="111"/>
      <c r="F32" s="139"/>
      <c r="G32" s="111"/>
      <c r="H32" s="111"/>
      <c r="I32" s="111"/>
      <c r="J32" s="140"/>
    </row>
    <row r="33" spans="1:10" x14ac:dyDescent="0.2">
      <c r="A33" s="59" t="s">
        <v>37</v>
      </c>
      <c r="B33" s="139">
        <f>[3]Frontier!$FG$52</f>
        <v>0</v>
      </c>
      <c r="C33" s="139">
        <f>'[3]Great Lakes'!$FG$52</f>
        <v>0</v>
      </c>
      <c r="D33" s="111">
        <f>'[3]Air Choice One'!$FG$52</f>
        <v>0</v>
      </c>
      <c r="E33" s="111">
        <f>'[3]Boutique Air'!$FG$52</f>
        <v>0</v>
      </c>
      <c r="F33" s="139">
        <f>[3]Icelandair!$FG$52</f>
        <v>6124</v>
      </c>
      <c r="G33" s="111">
        <f>[3]Southwest!$FG$52</f>
        <v>119288</v>
      </c>
      <c r="H33" s="111">
        <f>'[3]Sun Country'!$FG$52</f>
        <v>200010</v>
      </c>
      <c r="I33" s="111">
        <f>[3]Alaska!$FG$52</f>
        <v>7999</v>
      </c>
      <c r="J33" s="140">
        <f>SUM(B33:I33)</f>
        <v>333421</v>
      </c>
    </row>
    <row r="34" spans="1:10" x14ac:dyDescent="0.2">
      <c r="A34" s="59" t="s">
        <v>38</v>
      </c>
      <c r="B34" s="139">
        <f>[3]Frontier!$FG$53</f>
        <v>0</v>
      </c>
      <c r="C34" s="139">
        <f>'[3]Great Lakes'!$FG$53</f>
        <v>0</v>
      </c>
      <c r="D34" s="111">
        <f>'[3]Air Choice One'!$FG$53</f>
        <v>0</v>
      </c>
      <c r="E34" s="111">
        <f>'[3]Boutique Air'!$FG$53</f>
        <v>0</v>
      </c>
      <c r="F34" s="139">
        <f>[3]Icelandair!$FG$53</f>
        <v>0</v>
      </c>
      <c r="G34" s="111">
        <f>[3]Southwest!$FG$53</f>
        <v>0</v>
      </c>
      <c r="H34" s="111">
        <f>'[3]Sun Country'!$FG$53</f>
        <v>346014</v>
      </c>
      <c r="I34" s="111">
        <f>[3]Alaska!$FG$53</f>
        <v>0</v>
      </c>
      <c r="J34" s="156">
        <f>SUM(B34:I34)</f>
        <v>346014</v>
      </c>
    </row>
    <row r="35" spans="1:10" x14ac:dyDescent="0.2">
      <c r="A35" s="63" t="s">
        <v>41</v>
      </c>
      <c r="B35" s="157">
        <f t="shared" ref="B35:I35" si="12">SUM(B33:B34)</f>
        <v>0</v>
      </c>
      <c r="C35" s="157">
        <f t="shared" si="12"/>
        <v>0</v>
      </c>
      <c r="D35" s="157">
        <f t="shared" ref="D35:E35" si="13">SUM(D33:D34)</f>
        <v>0</v>
      </c>
      <c r="E35" s="157">
        <f t="shared" si="13"/>
        <v>0</v>
      </c>
      <c r="F35" s="157">
        <f t="shared" si="12"/>
        <v>6124</v>
      </c>
      <c r="G35" s="157">
        <f t="shared" si="12"/>
        <v>119288</v>
      </c>
      <c r="H35" s="157">
        <f t="shared" si="12"/>
        <v>546024</v>
      </c>
      <c r="I35" s="157">
        <f t="shared" si="12"/>
        <v>7999</v>
      </c>
      <c r="J35" s="158">
        <f>SUM(B35:I35)</f>
        <v>679435</v>
      </c>
    </row>
    <row r="36" spans="1:10" hidden="1" x14ac:dyDescent="0.2">
      <c r="A36" s="59"/>
      <c r="B36" s="147"/>
      <c r="C36" s="147"/>
      <c r="D36" s="147"/>
      <c r="E36" s="147"/>
      <c r="F36" s="147"/>
      <c r="G36" s="147"/>
      <c r="H36" s="147"/>
      <c r="I36" s="147"/>
      <c r="J36" s="140"/>
    </row>
    <row r="37" spans="1:10" hidden="1" x14ac:dyDescent="0.2">
      <c r="A37" s="59" t="s">
        <v>42</v>
      </c>
      <c r="B37" s="147"/>
      <c r="C37" s="147"/>
      <c r="D37" s="147"/>
      <c r="E37" s="147"/>
      <c r="F37" s="147"/>
      <c r="G37" s="147"/>
      <c r="H37" s="147"/>
      <c r="I37" s="147"/>
      <c r="J37" s="140"/>
    </row>
    <row r="38" spans="1:10" hidden="1" x14ac:dyDescent="0.2">
      <c r="A38" s="59" t="s">
        <v>37</v>
      </c>
      <c r="B38" s="147">
        <f>[3]Frontier!$FG$57</f>
        <v>0</v>
      </c>
      <c r="C38" s="147">
        <f>'[3]Great Lakes'!$FG$57</f>
        <v>0</v>
      </c>
      <c r="D38" s="147">
        <f>'[3]Air Choice One'!$FG$57</f>
        <v>0</v>
      </c>
      <c r="E38" s="147">
        <f>'[3]Boutique Air'!$FG$57</f>
        <v>0</v>
      </c>
      <c r="F38" s="147">
        <f>[3]Icelandair!$FG$57</f>
        <v>0</v>
      </c>
      <c r="G38" s="147">
        <f>[3]Southwest!$FG$57</f>
        <v>0</v>
      </c>
      <c r="H38" s="147">
        <f>'[3]Sun Country'!$FG$57</f>
        <v>0</v>
      </c>
      <c r="I38" s="147">
        <f>[3]Alaska!$FG$57</f>
        <v>0</v>
      </c>
      <c r="J38" s="140">
        <f>SUM(B38:H38)</f>
        <v>0</v>
      </c>
    </row>
    <row r="39" spans="1:10" hidden="1" x14ac:dyDescent="0.2">
      <c r="A39" s="59" t="s">
        <v>38</v>
      </c>
      <c r="B39" s="150">
        <f>[3]Frontier!$FG$58</f>
        <v>0</v>
      </c>
      <c r="C39" s="150">
        <f>'[3]Great Lakes'!$FG$58</f>
        <v>0</v>
      </c>
      <c r="D39" s="150">
        <f>'[3]Air Choice One'!$FG$58</f>
        <v>0</v>
      </c>
      <c r="E39" s="150">
        <f>'[3]Boutique Air'!$FG$58</f>
        <v>0</v>
      </c>
      <c r="F39" s="150">
        <f>[3]Icelandair!$FG$58</f>
        <v>0</v>
      </c>
      <c r="G39" s="150">
        <f>[3]Southwest!$FG$58</f>
        <v>0</v>
      </c>
      <c r="H39" s="150">
        <f>'[3]Sun Country'!$FG$58</f>
        <v>0</v>
      </c>
      <c r="I39" s="150">
        <f>[3]Alaska!$FG$58</f>
        <v>0</v>
      </c>
      <c r="J39" s="156">
        <f>SUM(B39:H39)</f>
        <v>0</v>
      </c>
    </row>
    <row r="40" spans="1:10" hidden="1" x14ac:dyDescent="0.2">
      <c r="A40" s="63" t="s">
        <v>43</v>
      </c>
      <c r="B40" s="159">
        <f t="shared" ref="B40:I40" si="14">SUM(B38:B39)</f>
        <v>0</v>
      </c>
      <c r="C40" s="159">
        <f t="shared" si="14"/>
        <v>0</v>
      </c>
      <c r="D40" s="159">
        <f t="shared" ref="D40:E40" si="15">SUM(D38:D39)</f>
        <v>0</v>
      </c>
      <c r="E40" s="159">
        <f t="shared" si="15"/>
        <v>0</v>
      </c>
      <c r="F40" s="159">
        <f t="shared" si="14"/>
        <v>0</v>
      </c>
      <c r="G40" s="159">
        <f t="shared" si="14"/>
        <v>0</v>
      </c>
      <c r="H40" s="159">
        <f t="shared" si="14"/>
        <v>0</v>
      </c>
      <c r="I40" s="159">
        <f t="shared" si="14"/>
        <v>0</v>
      </c>
      <c r="J40" s="140">
        <f>SUM(B40:H40)</f>
        <v>0</v>
      </c>
    </row>
    <row r="41" spans="1:10" x14ac:dyDescent="0.2">
      <c r="A41" s="59"/>
      <c r="B41" s="147"/>
      <c r="C41" s="147"/>
      <c r="D41" s="147"/>
      <c r="E41" s="147"/>
      <c r="F41" s="147"/>
      <c r="G41" s="147"/>
      <c r="H41" s="147"/>
      <c r="I41" s="147"/>
      <c r="J41" s="140"/>
    </row>
    <row r="42" spans="1:10" x14ac:dyDescent="0.2">
      <c r="A42" s="59" t="s">
        <v>44</v>
      </c>
      <c r="B42" s="147"/>
      <c r="C42" s="147"/>
      <c r="D42" s="147"/>
      <c r="E42" s="147"/>
      <c r="F42" s="147"/>
      <c r="G42" s="147"/>
      <c r="H42" s="147"/>
      <c r="I42" s="147"/>
      <c r="J42" s="140"/>
    </row>
    <row r="43" spans="1:10" x14ac:dyDescent="0.2">
      <c r="A43" s="59" t="s">
        <v>45</v>
      </c>
      <c r="B43" s="147">
        <f t="shared" ref="B43:I43" si="16">B28+B33+B38</f>
        <v>0</v>
      </c>
      <c r="C43" s="147">
        <f>C28+C33+C38</f>
        <v>0</v>
      </c>
      <c r="D43" s="147">
        <f t="shared" ref="D43:E43" si="17">D28+D33+D38</f>
        <v>0</v>
      </c>
      <c r="E43" s="147">
        <f t="shared" si="17"/>
        <v>0</v>
      </c>
      <c r="F43" s="147">
        <f t="shared" si="16"/>
        <v>149132</v>
      </c>
      <c r="G43" s="147">
        <f t="shared" si="16"/>
        <v>317697</v>
      </c>
      <c r="H43" s="147">
        <f t="shared" si="16"/>
        <v>547815</v>
      </c>
      <c r="I43" s="147">
        <f t="shared" si="16"/>
        <v>34121</v>
      </c>
      <c r="J43" s="140">
        <f>SUM(B43:I43)</f>
        <v>1048765</v>
      </c>
    </row>
    <row r="44" spans="1:10" x14ac:dyDescent="0.2">
      <c r="A44" s="59" t="s">
        <v>38</v>
      </c>
      <c r="B44" s="150">
        <f t="shared" ref="B44:I44" si="18">+B39+B34+B29</f>
        <v>0</v>
      </c>
      <c r="C44" s="150">
        <f>+C39+C34+C29</f>
        <v>0</v>
      </c>
      <c r="D44" s="150">
        <f t="shared" ref="D44:E44" si="19">+D39+D34+D29</f>
        <v>0</v>
      </c>
      <c r="E44" s="150">
        <f t="shared" si="19"/>
        <v>0</v>
      </c>
      <c r="F44" s="150">
        <f t="shared" si="18"/>
        <v>0</v>
      </c>
      <c r="G44" s="150">
        <f t="shared" si="18"/>
        <v>0</v>
      </c>
      <c r="H44" s="150">
        <f t="shared" si="18"/>
        <v>1035340</v>
      </c>
      <c r="I44" s="150">
        <f t="shared" si="18"/>
        <v>44322</v>
      </c>
      <c r="J44" s="140">
        <f>SUM(B44:I44)</f>
        <v>1079662</v>
      </c>
    </row>
    <row r="45" spans="1:10" ht="15.75" thickBot="1" x14ac:dyDescent="0.3">
      <c r="A45" s="60" t="s">
        <v>46</v>
      </c>
      <c r="B45" s="160">
        <f t="shared" ref="B45:I45" si="20">B43+B44</f>
        <v>0</v>
      </c>
      <c r="C45" s="160">
        <f t="shared" si="20"/>
        <v>0</v>
      </c>
      <c r="D45" s="160">
        <f t="shared" ref="D45:E45" si="21">D43+D44</f>
        <v>0</v>
      </c>
      <c r="E45" s="160">
        <f t="shared" si="21"/>
        <v>0</v>
      </c>
      <c r="F45" s="160">
        <f t="shared" si="20"/>
        <v>149132</v>
      </c>
      <c r="G45" s="160">
        <f t="shared" si="20"/>
        <v>317697</v>
      </c>
      <c r="H45" s="160">
        <f t="shared" si="20"/>
        <v>1583155</v>
      </c>
      <c r="I45" s="160">
        <f t="shared" si="20"/>
        <v>78443</v>
      </c>
      <c r="J45" s="161">
        <f>SUM(B45:I45)</f>
        <v>2128427</v>
      </c>
    </row>
    <row r="48" spans="1:10" x14ac:dyDescent="0.2">
      <c r="A48" s="371" t="s">
        <v>124</v>
      </c>
      <c r="B48" s="383"/>
      <c r="C48" s="383"/>
      <c r="D48" s="383"/>
      <c r="E48" s="383"/>
      <c r="G48" s="312">
        <f>[3]Southwest!$FG$70+[3]Southwest!$FG$73</f>
        <v>96147</v>
      </c>
      <c r="H48" s="312">
        <f>'[3]Sun Country'!$FG$70+'[3]Sun Country'!$FG$73</f>
        <v>90574</v>
      </c>
      <c r="I48" s="383"/>
      <c r="J48" s="300">
        <f>SUM(B48:I48)</f>
        <v>186721</v>
      </c>
    </row>
    <row r="49" spans="1:10" x14ac:dyDescent="0.2">
      <c r="A49" s="385" t="s">
        <v>125</v>
      </c>
      <c r="B49" s="383"/>
      <c r="C49" s="383"/>
      <c r="D49" s="383"/>
      <c r="E49" s="383"/>
      <c r="G49" s="312">
        <f>[3]Southwest!$FG$71+[3]Southwest!$FG$74</f>
        <v>943</v>
      </c>
      <c r="H49" s="312">
        <f>'[3]Sun Country'!$FG$71+'[3]Sun Country'!$FG$74</f>
        <v>9906</v>
      </c>
      <c r="I49" s="383"/>
      <c r="J49" s="300">
        <f>SUM(B49:I49)</f>
        <v>10849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August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G14" sqref="G1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1"/>
    </row>
    <row r="2" spans="1:13" s="7" customFormat="1" ht="51.75" thickBot="1" x14ac:dyDescent="0.25">
      <c r="A2" s="374">
        <v>42948</v>
      </c>
      <c r="B2" s="433" t="s">
        <v>162</v>
      </c>
      <c r="C2" s="433" t="s">
        <v>165</v>
      </c>
      <c r="D2" s="433" t="s">
        <v>184</v>
      </c>
      <c r="E2" s="433" t="s">
        <v>183</v>
      </c>
      <c r="F2" s="433" t="s">
        <v>185</v>
      </c>
      <c r="G2" s="433" t="s">
        <v>220</v>
      </c>
      <c r="H2" s="433" t="s">
        <v>189</v>
      </c>
      <c r="I2" s="433" t="s">
        <v>207</v>
      </c>
      <c r="J2" s="433" t="s">
        <v>225</v>
      </c>
      <c r="K2" s="433" t="s">
        <v>188</v>
      </c>
      <c r="L2" s="18" t="s">
        <v>118</v>
      </c>
      <c r="M2" s="18" t="s">
        <v>21</v>
      </c>
    </row>
    <row r="3" spans="1:13" ht="15.75" thickTop="1" x14ac:dyDescent="0.25">
      <c r="A3" s="270" t="s">
        <v>3</v>
      </c>
      <c r="B3" s="118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20"/>
    </row>
    <row r="4" spans="1:13" x14ac:dyDescent="0.2">
      <c r="A4" s="59" t="s">
        <v>29</v>
      </c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03"/>
    </row>
    <row r="5" spans="1:13" x14ac:dyDescent="0.2">
      <c r="A5" s="59" t="s">
        <v>30</v>
      </c>
      <c r="B5" s="124">
        <f>[3]Pinnacle!$FG$22+[3]Pinnacle!$FG$32</f>
        <v>78679</v>
      </c>
      <c r="C5" s="125">
        <f>[3]MESA_UA!$FG$22</f>
        <v>8304</v>
      </c>
      <c r="D5" s="123">
        <f>'[3]Sky West'!$FG$22+'[3]Sky West'!$FG$32</f>
        <v>154445</v>
      </c>
      <c r="E5" s="123">
        <f>'[3]Sky West_UA'!$FG$22</f>
        <v>6687</v>
      </c>
      <c r="F5" s="123">
        <f>'[3]Sky West_AS'!$FG$22</f>
        <v>5368</v>
      </c>
      <c r="G5" s="123">
        <f>'[3]Sky West_AA'!$FG$22</f>
        <v>188</v>
      </c>
      <c r="H5" s="123">
        <f>[3]Republic!$FG$22</f>
        <v>12324</v>
      </c>
      <c r="I5" s="123">
        <f>[3]Republic_UA!$FG$22</f>
        <v>12073</v>
      </c>
      <c r="J5" s="123">
        <f>'[3]Sky Regional'!$FG$32</f>
        <v>5708</v>
      </c>
      <c r="K5" s="123">
        <f>'[3]American Eagle'!$FG$22</f>
        <v>180</v>
      </c>
      <c r="L5" s="123">
        <f>'Other Regional'!L5</f>
        <v>50443</v>
      </c>
      <c r="M5" s="103">
        <f>SUM(B5:L5)</f>
        <v>334399</v>
      </c>
    </row>
    <row r="6" spans="1:13" s="10" customFormat="1" x14ac:dyDescent="0.2">
      <c r="A6" s="59" t="s">
        <v>31</v>
      </c>
      <c r="B6" s="124">
        <f>[3]Pinnacle!$FG$23+[3]Pinnacle!$FG$33</f>
        <v>78926</v>
      </c>
      <c r="C6" s="125">
        <f>[3]MESA_UA!$FG$23</f>
        <v>8333</v>
      </c>
      <c r="D6" s="123">
        <f>'[3]Sky West'!$FG$23+'[3]Sky West'!$FG$33</f>
        <v>155372</v>
      </c>
      <c r="E6" s="123">
        <f>'[3]Sky West_UA'!$FG$23</f>
        <v>6666</v>
      </c>
      <c r="F6" s="123">
        <f>'[3]Sky West_AS'!$FG$23</f>
        <v>5389</v>
      </c>
      <c r="G6" s="123">
        <f>'[3]Sky West_AA'!$FG$23</f>
        <v>187</v>
      </c>
      <c r="H6" s="123">
        <f>[3]Republic!$FG$23</f>
        <v>11794</v>
      </c>
      <c r="I6" s="123">
        <f>[3]Republic_UA!$FG$23</f>
        <v>13226</v>
      </c>
      <c r="J6" s="123">
        <f>'[3]Sky Regional'!$FG$33</f>
        <v>5406</v>
      </c>
      <c r="K6" s="123">
        <f>'[3]American Eagle'!$FG$23</f>
        <v>212</v>
      </c>
      <c r="L6" s="123">
        <f>'Other Regional'!L6</f>
        <v>50889</v>
      </c>
      <c r="M6" s="108">
        <f>SUM(B6:L6)</f>
        <v>336400</v>
      </c>
    </row>
    <row r="7" spans="1:13" ht="15" thickBot="1" x14ac:dyDescent="0.25">
      <c r="A7" s="70" t="s">
        <v>7</v>
      </c>
      <c r="B7" s="126">
        <f>SUM(B5:B6)</f>
        <v>157605</v>
      </c>
      <c r="C7" s="126">
        <f t="shared" ref="C7:L7" si="0">SUM(C5:C6)</f>
        <v>16637</v>
      </c>
      <c r="D7" s="126">
        <f t="shared" si="0"/>
        <v>309817</v>
      </c>
      <c r="E7" s="126">
        <f t="shared" si="0"/>
        <v>13353</v>
      </c>
      <c r="F7" s="126">
        <f t="shared" ref="F7:G7" si="1">SUM(F5:F6)</f>
        <v>10757</v>
      </c>
      <c r="G7" s="126">
        <f t="shared" si="1"/>
        <v>375</v>
      </c>
      <c r="H7" s="126">
        <f t="shared" si="0"/>
        <v>24118</v>
      </c>
      <c r="I7" s="126">
        <f t="shared" si="0"/>
        <v>25299</v>
      </c>
      <c r="J7" s="126">
        <f t="shared" si="0"/>
        <v>11114</v>
      </c>
      <c r="K7" s="126">
        <f t="shared" si="0"/>
        <v>392</v>
      </c>
      <c r="L7" s="126">
        <f t="shared" si="0"/>
        <v>101332</v>
      </c>
      <c r="M7" s="127">
        <f>SUM(B7:L7)</f>
        <v>670799</v>
      </c>
    </row>
    <row r="8" spans="1:13" ht="13.5" thickTop="1" x14ac:dyDescent="0.2">
      <c r="A8" s="59"/>
      <c r="B8" s="123"/>
      <c r="C8" s="125"/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3" s="10" customFormat="1" x14ac:dyDescent="0.2">
      <c r="A9" s="59" t="s">
        <v>32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03"/>
    </row>
    <row r="10" spans="1:13" x14ac:dyDescent="0.2">
      <c r="A10" s="59" t="s">
        <v>30</v>
      </c>
      <c r="B10" s="124">
        <f>[3]Pinnacle!$FG$27+[3]Pinnacle!$FG$37</f>
        <v>3209</v>
      </c>
      <c r="C10" s="125">
        <f>[3]MESA_UA!$FG$27</f>
        <v>379</v>
      </c>
      <c r="D10" s="123">
        <f>'[3]Sky West'!$FG$27+'[3]Sky West'!$FG$37</f>
        <v>5708</v>
      </c>
      <c r="E10" s="123">
        <f>'[3]Sky West_UA'!$FG$27</f>
        <v>112</v>
      </c>
      <c r="F10" s="123">
        <f>'[3]Sky West_AS'!$FG$27</f>
        <v>156</v>
      </c>
      <c r="G10" s="123">
        <f>'[3]Sky West_AA'!$FG$27</f>
        <v>11</v>
      </c>
      <c r="H10" s="123">
        <f>[3]Republic!$FG$27</f>
        <v>517</v>
      </c>
      <c r="I10" s="123">
        <f>[3]Republic_UA!$FG$27</f>
        <v>0</v>
      </c>
      <c r="J10" s="123">
        <f>'[3]Sky Regional'!$FG$37</f>
        <v>60</v>
      </c>
      <c r="K10" s="123">
        <f>'[3]American Eagle'!$FG$27</f>
        <v>11</v>
      </c>
      <c r="L10" s="123">
        <f>'Other Regional'!L10</f>
        <v>1795</v>
      </c>
      <c r="M10" s="103">
        <f>SUM(B10:L10)</f>
        <v>11958</v>
      </c>
    </row>
    <row r="11" spans="1:13" x14ac:dyDescent="0.2">
      <c r="A11" s="59" t="s">
        <v>33</v>
      </c>
      <c r="B11" s="124">
        <f>[3]Pinnacle!$FG$28+[3]Pinnacle!$FG$38</f>
        <v>3247</v>
      </c>
      <c r="C11" s="125">
        <f>[3]MESA_UA!$FG$28</f>
        <v>369</v>
      </c>
      <c r="D11" s="123">
        <f>'[3]Sky West'!$FG$28+'[3]Sky West'!$FG$38</f>
        <v>5993</v>
      </c>
      <c r="E11" s="123">
        <f>'[3]Sky West_UA'!$FG$28</f>
        <v>124</v>
      </c>
      <c r="F11" s="123">
        <f>'[3]Sky West_AS'!$FG$28</f>
        <v>138</v>
      </c>
      <c r="G11" s="123">
        <f>'[3]Sky West_AA'!$FG$28</f>
        <v>8</v>
      </c>
      <c r="H11" s="123">
        <f>[3]Republic!$FG$28</f>
        <v>641</v>
      </c>
      <c r="I11" s="123">
        <f>[3]Republic_UA!$FG$28</f>
        <v>0</v>
      </c>
      <c r="J11" s="123">
        <f>'[3]Sky Regional'!$FG$38</f>
        <v>62</v>
      </c>
      <c r="K11" s="123">
        <f>'[3]American Eagle'!$FG$28</f>
        <v>8</v>
      </c>
      <c r="L11" s="123">
        <f>'Other Regional'!L11</f>
        <v>1780</v>
      </c>
      <c r="M11" s="108">
        <f>SUM(B11:L11)</f>
        <v>12370</v>
      </c>
    </row>
    <row r="12" spans="1:13" ht="15" thickBot="1" x14ac:dyDescent="0.25">
      <c r="A12" s="71" t="s">
        <v>34</v>
      </c>
      <c r="B12" s="129">
        <f t="shared" ref="B12:L12" si="2">SUM(B10:B11)</f>
        <v>6456</v>
      </c>
      <c r="C12" s="129">
        <f t="shared" si="2"/>
        <v>748</v>
      </c>
      <c r="D12" s="129">
        <f t="shared" si="2"/>
        <v>11701</v>
      </c>
      <c r="E12" s="129">
        <f t="shared" si="2"/>
        <v>236</v>
      </c>
      <c r="F12" s="129">
        <f t="shared" ref="F12:G12" si="3">SUM(F10:F11)</f>
        <v>294</v>
      </c>
      <c r="G12" s="129">
        <f t="shared" si="3"/>
        <v>19</v>
      </c>
      <c r="H12" s="129">
        <f t="shared" si="2"/>
        <v>1158</v>
      </c>
      <c r="I12" s="129">
        <f t="shared" si="2"/>
        <v>0</v>
      </c>
      <c r="J12" s="129">
        <f t="shared" si="2"/>
        <v>122</v>
      </c>
      <c r="K12" s="129">
        <f t="shared" si="2"/>
        <v>19</v>
      </c>
      <c r="L12" s="129">
        <f t="shared" si="2"/>
        <v>3575</v>
      </c>
      <c r="M12" s="130">
        <f>SUM(B12:L12)</f>
        <v>24328</v>
      </c>
    </row>
    <row r="13" spans="1:13" ht="13.5" thickBot="1" x14ac:dyDescent="0.25"/>
    <row r="14" spans="1:13" ht="15.75" thickTop="1" x14ac:dyDescent="0.25">
      <c r="A14" s="58" t="s">
        <v>9</v>
      </c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8">
        <f t="shared" ref="M14" si="4">SUM(B14:L14)</f>
        <v>0</v>
      </c>
    </row>
    <row r="15" spans="1:13" x14ac:dyDescent="0.2">
      <c r="A15" s="59" t="s">
        <v>53</v>
      </c>
      <c r="B15" s="20">
        <f>[3]Pinnacle!$FG$4+[3]Pinnacle!$FG$15</f>
        <v>1621</v>
      </c>
      <c r="C15" s="101">
        <f>[3]MESA_UA!$FG$4</f>
        <v>145</v>
      </c>
      <c r="D15" s="99">
        <f>'[3]Sky West'!$FG$4+'[3]Sky West'!$FG$15</f>
        <v>3273</v>
      </c>
      <c r="E15" s="99">
        <f>'[3]Sky West_UA'!$FG$4</f>
        <v>96</v>
      </c>
      <c r="F15" s="99">
        <f>'[3]Sky West_AS'!$FG$4</f>
        <v>93</v>
      </c>
      <c r="G15" s="99">
        <f>'[3]Sky West_AA'!$FG$4</f>
        <v>3</v>
      </c>
      <c r="H15" s="102">
        <f>[3]Republic!$FG$4</f>
        <v>219</v>
      </c>
      <c r="I15" s="455">
        <f>[3]Republic_UA!$FG$4</f>
        <v>209</v>
      </c>
      <c r="J15" s="455">
        <f>'[3]Sky Regional'!$FG$15</f>
        <v>89</v>
      </c>
      <c r="K15" s="102">
        <f>'[3]American Eagle'!$FG$4</f>
        <v>3</v>
      </c>
      <c r="L15" s="100">
        <f>'Other Regional'!L15</f>
        <v>870</v>
      </c>
      <c r="M15" s="103">
        <f t="shared" ref="M15:M21" si="5">SUM(B15:L15)</f>
        <v>6621</v>
      </c>
    </row>
    <row r="16" spans="1:13" x14ac:dyDescent="0.2">
      <c r="A16" s="59" t="s">
        <v>54</v>
      </c>
      <c r="B16" s="14">
        <f>[3]Pinnacle!$FG$5+[3]Pinnacle!$FG$16</f>
        <v>1620</v>
      </c>
      <c r="C16" s="106">
        <f>[3]MESA_UA!$FG$5</f>
        <v>145</v>
      </c>
      <c r="D16" s="104">
        <f>'[3]Sky West'!$FG$5+'[3]Sky West'!$FG$16</f>
        <v>3265</v>
      </c>
      <c r="E16" s="104">
        <f>'[3]Sky West_UA'!$FG$5</f>
        <v>96</v>
      </c>
      <c r="F16" s="104">
        <f>'[3]Sky West_AS'!$FG$5</f>
        <v>93</v>
      </c>
      <c r="G16" s="104">
        <f>'[3]Sky West_AA'!$FG$5</f>
        <v>3</v>
      </c>
      <c r="H16" s="107">
        <f>[3]Republic!$FG$5</f>
        <v>219</v>
      </c>
      <c r="I16" s="287">
        <f>[3]Republic_UA!$FG$5</f>
        <v>209</v>
      </c>
      <c r="J16" s="287">
        <f>'[3]Sky Regional'!$FG$16</f>
        <v>89</v>
      </c>
      <c r="K16" s="107">
        <f>'[3]American Eagle'!$FG$5</f>
        <v>3</v>
      </c>
      <c r="L16" s="105">
        <f>'Other Regional'!L16</f>
        <v>865</v>
      </c>
      <c r="M16" s="108">
        <f t="shared" si="5"/>
        <v>6607</v>
      </c>
    </row>
    <row r="17" spans="1:13" x14ac:dyDescent="0.2">
      <c r="A17" s="68" t="s">
        <v>55</v>
      </c>
      <c r="B17" s="109">
        <f t="shared" ref="B17:K17" si="6">SUM(B15:B16)</f>
        <v>3241</v>
      </c>
      <c r="C17" s="109">
        <f t="shared" si="6"/>
        <v>290</v>
      </c>
      <c r="D17" s="109">
        <f t="shared" si="6"/>
        <v>6538</v>
      </c>
      <c r="E17" s="109">
        <f t="shared" si="6"/>
        <v>192</v>
      </c>
      <c r="F17" s="109">
        <f t="shared" ref="F17:G17" si="7">SUM(F15:F16)</f>
        <v>186</v>
      </c>
      <c r="G17" s="109">
        <f t="shared" si="7"/>
        <v>6</v>
      </c>
      <c r="H17" s="109">
        <f t="shared" si="6"/>
        <v>438</v>
      </c>
      <c r="I17" s="109">
        <f t="shared" ref="I17:J17" si="8">SUM(I15:I16)</f>
        <v>418</v>
      </c>
      <c r="J17" s="109">
        <f t="shared" si="8"/>
        <v>178</v>
      </c>
      <c r="K17" s="109">
        <f t="shared" si="6"/>
        <v>6</v>
      </c>
      <c r="L17" s="109">
        <f>SUM(L15:L16)</f>
        <v>1735</v>
      </c>
      <c r="M17" s="110">
        <f t="shared" si="5"/>
        <v>13228</v>
      </c>
    </row>
    <row r="18" spans="1:13" x14ac:dyDescent="0.2">
      <c r="A18" s="59" t="s">
        <v>56</v>
      </c>
      <c r="B18" s="111">
        <f>[3]Pinnacle!$FG$8</f>
        <v>0</v>
      </c>
      <c r="C18" s="112">
        <f>[3]MESA_UA!$FG$8</f>
        <v>0</v>
      </c>
      <c r="D18" s="111">
        <f>'[3]Sky West'!$FG$8</f>
        <v>0</v>
      </c>
      <c r="E18" s="111">
        <f>'[3]Sky West_UA'!$FG$8</f>
        <v>0</v>
      </c>
      <c r="F18" s="111">
        <f>'[3]Sky West_AS'!$FG$8</f>
        <v>0</v>
      </c>
      <c r="G18" s="111">
        <f>'[3]Sky West_AA'!$FG$8</f>
        <v>0</v>
      </c>
      <c r="H18" s="111">
        <f>[3]Republic!$FG$8</f>
        <v>3</v>
      </c>
      <c r="I18" s="111">
        <f>[3]Republic_UA!$FG$8</f>
        <v>0</v>
      </c>
      <c r="J18" s="111">
        <f>'[3]Sky Regional'!$FG$8</f>
        <v>0</v>
      </c>
      <c r="K18" s="111">
        <f>'[3]American Eagle'!$FG$8</f>
        <v>1</v>
      </c>
      <c r="L18" s="111">
        <f>'Other Regional'!L18</f>
        <v>0</v>
      </c>
      <c r="M18" s="103">
        <f t="shared" si="5"/>
        <v>4</v>
      </c>
    </row>
    <row r="19" spans="1:13" x14ac:dyDescent="0.2">
      <c r="A19" s="59" t="s">
        <v>57</v>
      </c>
      <c r="B19" s="113">
        <f>[3]Pinnacle!$FG$9</f>
        <v>2</v>
      </c>
      <c r="C19" s="114">
        <f>[3]MESA_UA!$FG$9</f>
        <v>0</v>
      </c>
      <c r="D19" s="113">
        <f>'[3]Sky West'!$FG$9</f>
        <v>5</v>
      </c>
      <c r="E19" s="113">
        <f>'[3]Sky West_UA'!$FG$9</f>
        <v>0</v>
      </c>
      <c r="F19" s="113">
        <f>'[3]Sky West_AS'!$FG$9</f>
        <v>0</v>
      </c>
      <c r="G19" s="113">
        <f>'[3]Sky West_AA'!$FG$9</f>
        <v>0</v>
      </c>
      <c r="H19" s="113">
        <f>[3]Republic!$FG$9</f>
        <v>3</v>
      </c>
      <c r="I19" s="113">
        <f>[3]Republic_UA!$FG$9</f>
        <v>0</v>
      </c>
      <c r="J19" s="113">
        <f>'[3]Sky Regional'!$FG$9</f>
        <v>0</v>
      </c>
      <c r="K19" s="113">
        <f>'[3]American Eagle'!$FG$9</f>
        <v>1</v>
      </c>
      <c r="L19" s="113">
        <f>'Other Regional'!L19</f>
        <v>6</v>
      </c>
      <c r="M19" s="108">
        <f t="shared" si="5"/>
        <v>17</v>
      </c>
    </row>
    <row r="20" spans="1:13" x14ac:dyDescent="0.2">
      <c r="A20" s="68" t="s">
        <v>58</v>
      </c>
      <c r="B20" s="109">
        <f t="shared" ref="B20:L20" si="9">SUM(B18:B19)</f>
        <v>2</v>
      </c>
      <c r="C20" s="109">
        <f t="shared" si="9"/>
        <v>0</v>
      </c>
      <c r="D20" s="109">
        <f t="shared" si="9"/>
        <v>5</v>
      </c>
      <c r="E20" s="109">
        <f t="shared" si="9"/>
        <v>0</v>
      </c>
      <c r="F20" s="109">
        <f t="shared" ref="F20:G20" si="10">SUM(F18:F19)</f>
        <v>0</v>
      </c>
      <c r="G20" s="109">
        <f t="shared" si="10"/>
        <v>0</v>
      </c>
      <c r="H20" s="109">
        <f t="shared" si="9"/>
        <v>6</v>
      </c>
      <c r="I20" s="109">
        <f t="shared" si="9"/>
        <v>0</v>
      </c>
      <c r="J20" s="109">
        <f t="shared" si="9"/>
        <v>0</v>
      </c>
      <c r="K20" s="109">
        <f t="shared" si="9"/>
        <v>2</v>
      </c>
      <c r="L20" s="109">
        <f t="shared" si="9"/>
        <v>6</v>
      </c>
      <c r="M20" s="110">
        <f t="shared" si="5"/>
        <v>21</v>
      </c>
    </row>
    <row r="21" spans="1:13" ht="15.75" thickBot="1" x14ac:dyDescent="0.3">
      <c r="A21" s="69" t="s">
        <v>28</v>
      </c>
      <c r="B21" s="115">
        <f t="shared" ref="B21:K21" si="11">SUM(B20,B17)</f>
        <v>3243</v>
      </c>
      <c r="C21" s="115">
        <f t="shared" si="11"/>
        <v>290</v>
      </c>
      <c r="D21" s="115">
        <f t="shared" si="11"/>
        <v>6543</v>
      </c>
      <c r="E21" s="115">
        <f t="shared" si="11"/>
        <v>192</v>
      </c>
      <c r="F21" s="115">
        <f t="shared" ref="F21:G21" si="12">SUM(F20,F17)</f>
        <v>186</v>
      </c>
      <c r="G21" s="115">
        <f t="shared" si="12"/>
        <v>6</v>
      </c>
      <c r="H21" s="115">
        <f t="shared" si="11"/>
        <v>444</v>
      </c>
      <c r="I21" s="115">
        <f t="shared" si="11"/>
        <v>418</v>
      </c>
      <c r="J21" s="115">
        <f t="shared" si="11"/>
        <v>178</v>
      </c>
      <c r="K21" s="115">
        <f t="shared" si="11"/>
        <v>8</v>
      </c>
      <c r="L21" s="115">
        <f>SUM(L20,L17)</f>
        <v>1741</v>
      </c>
      <c r="M21" s="116">
        <f t="shared" si="5"/>
        <v>13249</v>
      </c>
    </row>
    <row r="22" spans="1:13" ht="13.5" thickBot="1" x14ac:dyDescent="0.25"/>
    <row r="23" spans="1:13" ht="15.75" thickTop="1" x14ac:dyDescent="0.25">
      <c r="A23" s="62" t="s">
        <v>117</v>
      </c>
      <c r="B23" s="131"/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3"/>
    </row>
    <row r="24" spans="1:13" x14ac:dyDescent="0.2">
      <c r="A24" s="72" t="s">
        <v>36</v>
      </c>
      <c r="B24" s="123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03"/>
    </row>
    <row r="25" spans="1:13" x14ac:dyDescent="0.2">
      <c r="A25" s="72" t="s">
        <v>37</v>
      </c>
      <c r="B25" s="123">
        <f>[3]Pinnacle!$FG$47</f>
        <v>0</v>
      </c>
      <c r="C25" s="125">
        <f>[3]MESA_UA!$FG$47</f>
        <v>0</v>
      </c>
      <c r="D25" s="123">
        <f>'[3]Sky West'!$FG$47</f>
        <v>0</v>
      </c>
      <c r="E25" s="123">
        <f>'[3]Sky West_UA'!$FG$47</f>
        <v>0</v>
      </c>
      <c r="F25" s="123">
        <f>'[3]Sky West_AS'!$FG$47</f>
        <v>294</v>
      </c>
      <c r="G25" s="123">
        <f>'[3]Sky West_AA'!$FG$47</f>
        <v>0</v>
      </c>
      <c r="H25" s="123">
        <f>[3]Republic!$FG$47</f>
        <v>0</v>
      </c>
      <c r="I25" s="123">
        <f>[3]Republic_UA!$FG$47</f>
        <v>0</v>
      </c>
      <c r="J25" s="123">
        <f>'[3]Sky Regional'!$FG$47</f>
        <v>0</v>
      </c>
      <c r="K25" s="123">
        <f>'[3]American Eagle'!$FG$47</f>
        <v>0</v>
      </c>
      <c r="L25" s="123">
        <f>'Other Regional'!L25</f>
        <v>81</v>
      </c>
      <c r="M25" s="103">
        <f>SUM(B25:L25)</f>
        <v>375</v>
      </c>
    </row>
    <row r="26" spans="1:13" x14ac:dyDescent="0.2">
      <c r="A26" s="72" t="s">
        <v>38</v>
      </c>
      <c r="B26" s="123">
        <f>[3]Pinnacle!$FG$48</f>
        <v>0</v>
      </c>
      <c r="C26" s="125">
        <f>[3]MESA_UA!$FG$48</f>
        <v>0</v>
      </c>
      <c r="D26" s="123">
        <f>'[3]Sky West'!$FG$48</f>
        <v>0</v>
      </c>
      <c r="E26" s="123">
        <f>'[3]Sky West_UA'!$FG$48</f>
        <v>0</v>
      </c>
      <c r="F26" s="123">
        <f>'[3]Sky West_AS'!$FG$48</f>
        <v>242</v>
      </c>
      <c r="G26" s="123">
        <f>'[3]Sky West_AA'!$FG$48</f>
        <v>0</v>
      </c>
      <c r="H26" s="123">
        <f>[3]Republic!$FG$48</f>
        <v>0</v>
      </c>
      <c r="I26" s="123">
        <f>[3]Republic_UA!$FG$48</f>
        <v>0</v>
      </c>
      <c r="J26" s="123">
        <f>'[3]Sky Regional'!$FG$48</f>
        <v>0</v>
      </c>
      <c r="K26" s="123">
        <f>'[3]American Eagle'!$FG$48</f>
        <v>0</v>
      </c>
      <c r="L26" s="123">
        <f>'Other Regional'!L26</f>
        <v>0</v>
      </c>
      <c r="M26" s="103">
        <f>SUM(B26:L26)</f>
        <v>242</v>
      </c>
    </row>
    <row r="27" spans="1:13" ht="15" thickBot="1" x14ac:dyDescent="0.25">
      <c r="A27" s="70" t="s">
        <v>39</v>
      </c>
      <c r="B27" s="126">
        <f t="shared" ref="B27:L27" si="13">SUM(B25:B26)</f>
        <v>0</v>
      </c>
      <c r="C27" s="126">
        <f t="shared" si="13"/>
        <v>0</v>
      </c>
      <c r="D27" s="126">
        <f t="shared" si="13"/>
        <v>0</v>
      </c>
      <c r="E27" s="126">
        <f t="shared" si="13"/>
        <v>0</v>
      </c>
      <c r="F27" s="126">
        <f t="shared" ref="F27:G27" si="14">SUM(F25:F26)</f>
        <v>536</v>
      </c>
      <c r="G27" s="126">
        <f t="shared" si="14"/>
        <v>0</v>
      </c>
      <c r="H27" s="126">
        <f t="shared" si="13"/>
        <v>0</v>
      </c>
      <c r="I27" s="126">
        <f t="shared" si="13"/>
        <v>0</v>
      </c>
      <c r="J27" s="126">
        <f t="shared" si="13"/>
        <v>0</v>
      </c>
      <c r="K27" s="126">
        <f t="shared" si="13"/>
        <v>0</v>
      </c>
      <c r="L27" s="126">
        <f t="shared" si="13"/>
        <v>81</v>
      </c>
      <c r="M27" s="127">
        <f>SUM(B27:L27)</f>
        <v>617</v>
      </c>
    </row>
    <row r="28" spans="1:13" ht="13.5" thickTop="1" x14ac:dyDescent="0.2">
      <c r="A28" s="72"/>
      <c r="B28" s="123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03"/>
    </row>
    <row r="29" spans="1:13" x14ac:dyDescent="0.2">
      <c r="A29" s="72" t="s">
        <v>40</v>
      </c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M29" s="103"/>
    </row>
    <row r="30" spans="1:13" x14ac:dyDescent="0.2">
      <c r="A30" s="72" t="s">
        <v>59</v>
      </c>
      <c r="B30" s="123">
        <f>[3]Pinnacle!$FG$52</f>
        <v>0</v>
      </c>
      <c r="C30" s="125">
        <f>[3]MESA_UA!$FG$52</f>
        <v>0</v>
      </c>
      <c r="D30" s="123">
        <f>'[3]Sky West'!$FG$52</f>
        <v>0</v>
      </c>
      <c r="E30" s="123">
        <f>'[3]Sky West_UA'!$FG$52</f>
        <v>0</v>
      </c>
      <c r="F30" s="123">
        <f>'[3]Sky West_AS'!$FG$52</f>
        <v>0</v>
      </c>
      <c r="G30" s="123">
        <f>'[3]Sky West_AA'!$FG$52</f>
        <v>0</v>
      </c>
      <c r="H30" s="123">
        <f>[3]Republic!$FG$52</f>
        <v>1410</v>
      </c>
      <c r="I30" s="123">
        <f>[3]Republic_UA!$FG$52</f>
        <v>0</v>
      </c>
      <c r="J30" s="123">
        <f>'[3]Sky Regional'!$FG$52</f>
        <v>0</v>
      </c>
      <c r="K30" s="123">
        <f>'[3]American Eagle'!$FG$52</f>
        <v>0</v>
      </c>
      <c r="L30" s="123">
        <f>'Other Regional'!L30</f>
        <v>0</v>
      </c>
      <c r="M30" s="103">
        <f t="shared" ref="M30:M37" si="15">SUM(B30:L30)</f>
        <v>1410</v>
      </c>
    </row>
    <row r="31" spans="1:13" x14ac:dyDescent="0.2">
      <c r="A31" s="72" t="s">
        <v>60</v>
      </c>
      <c r="B31" s="123">
        <f>[3]Pinnacle!$FG$53</f>
        <v>0</v>
      </c>
      <c r="C31" s="125">
        <f>[3]MESA_UA!$FG$53</f>
        <v>0</v>
      </c>
      <c r="D31" s="123">
        <f>'[3]Sky West'!$FG$53</f>
        <v>0</v>
      </c>
      <c r="E31" s="123">
        <f>'[3]Sky West_UA'!$FG$53</f>
        <v>0</v>
      </c>
      <c r="F31" s="123">
        <f>'[3]Sky West_AS'!$FG$53</f>
        <v>0</v>
      </c>
      <c r="G31" s="123">
        <f>'[3]Sky West_AA'!$FG$53</f>
        <v>0</v>
      </c>
      <c r="H31" s="123">
        <f>[3]Republic!$FG$53</f>
        <v>0</v>
      </c>
      <c r="I31" s="123">
        <f>[3]Republic_UA!$FG$53</f>
        <v>0</v>
      </c>
      <c r="J31" s="123">
        <f>'[3]Sky Regional'!$FG$53</f>
        <v>0</v>
      </c>
      <c r="K31" s="123">
        <f>'[3]American Eagle'!$FG$53</f>
        <v>0</v>
      </c>
      <c r="L31" s="123">
        <f>'Other Regional'!L31</f>
        <v>0</v>
      </c>
      <c r="M31" s="103">
        <f t="shared" si="15"/>
        <v>0</v>
      </c>
    </row>
    <row r="32" spans="1:13" ht="15" thickBot="1" x14ac:dyDescent="0.25">
      <c r="A32" s="70" t="s">
        <v>41</v>
      </c>
      <c r="B32" s="126">
        <f t="shared" ref="B32:K32" si="16">SUM(B30:B31)</f>
        <v>0</v>
      </c>
      <c r="C32" s="126">
        <f t="shared" si="16"/>
        <v>0</v>
      </c>
      <c r="D32" s="126">
        <f t="shared" si="16"/>
        <v>0</v>
      </c>
      <c r="E32" s="126">
        <f t="shared" si="16"/>
        <v>0</v>
      </c>
      <c r="F32" s="126">
        <f t="shared" ref="F32:G32" si="17">SUM(F30:F31)</f>
        <v>0</v>
      </c>
      <c r="G32" s="126">
        <f t="shared" si="17"/>
        <v>0</v>
      </c>
      <c r="H32" s="126">
        <f t="shared" si="16"/>
        <v>1410</v>
      </c>
      <c r="I32" s="126">
        <f t="shared" si="16"/>
        <v>0</v>
      </c>
      <c r="J32" s="126">
        <f t="shared" si="16"/>
        <v>0</v>
      </c>
      <c r="K32" s="126">
        <f t="shared" si="16"/>
        <v>0</v>
      </c>
      <c r="L32" s="126">
        <f>SUM(L30:L31)</f>
        <v>0</v>
      </c>
      <c r="M32" s="127">
        <f t="shared" si="15"/>
        <v>1410</v>
      </c>
    </row>
    <row r="33" spans="1:13" ht="13.5" hidden="1" thickTop="1" x14ac:dyDescent="0.2">
      <c r="A33" s="72"/>
      <c r="B33" s="123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03">
        <f t="shared" si="15"/>
        <v>0</v>
      </c>
    </row>
    <row r="34" spans="1:13" ht="13.5" hidden="1" thickTop="1" x14ac:dyDescent="0.2">
      <c r="A34" s="72" t="s">
        <v>42</v>
      </c>
      <c r="B34" s="123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03">
        <f t="shared" si="15"/>
        <v>0</v>
      </c>
    </row>
    <row r="35" spans="1:13" ht="13.5" hidden="1" thickTop="1" x14ac:dyDescent="0.2">
      <c r="A35" s="72" t="s">
        <v>37</v>
      </c>
      <c r="B35" s="123">
        <f>[3]Pinnacle!$FG$57</f>
        <v>0</v>
      </c>
      <c r="C35" s="125">
        <f>[3]MESA_UA!$FG$57</f>
        <v>0</v>
      </c>
      <c r="D35" s="123">
        <f>'[3]Sky West'!$FG$57</f>
        <v>0</v>
      </c>
      <c r="E35" s="123">
        <f>'[3]Sky West_UA'!$FG$57</f>
        <v>0</v>
      </c>
      <c r="F35" s="123">
        <f>'[3]Sky West_AS'!$FG$57</f>
        <v>0</v>
      </c>
      <c r="G35" s="123">
        <f>'[3]Sky West_AA'!$FG$57</f>
        <v>0</v>
      </c>
      <c r="H35" s="123">
        <f>[3]Republic!$FG$57</f>
        <v>0</v>
      </c>
      <c r="I35" s="123">
        <f>[3]Republic!$FG$57</f>
        <v>0</v>
      </c>
      <c r="J35" s="123">
        <f>[3]Republic!$FG$57</f>
        <v>0</v>
      </c>
      <c r="K35" s="123">
        <f>'[3]American Eagle'!$FG$57</f>
        <v>0</v>
      </c>
      <c r="L35" s="123">
        <f>'Other Regional'!L35</f>
        <v>0</v>
      </c>
      <c r="M35" s="103">
        <f t="shared" si="15"/>
        <v>0</v>
      </c>
    </row>
    <row r="36" spans="1:13" ht="13.5" hidden="1" thickTop="1" x14ac:dyDescent="0.2">
      <c r="A36" s="72" t="s">
        <v>38</v>
      </c>
      <c r="B36" s="123">
        <f>[3]Pinnacle!$FG$58</f>
        <v>0</v>
      </c>
      <c r="C36" s="125">
        <f>[3]MESA_UA!$FG$58</f>
        <v>0</v>
      </c>
      <c r="D36" s="123">
        <f>'[3]Sky West'!$FG$58</f>
        <v>0</v>
      </c>
      <c r="E36" s="123">
        <f>'[3]Sky West_UA'!$FG$58</f>
        <v>0</v>
      </c>
      <c r="F36" s="123">
        <f>'[3]Sky West_AS'!$FG$58</f>
        <v>0</v>
      </c>
      <c r="G36" s="123">
        <f>'[3]Sky West_AA'!$FG$58</f>
        <v>0</v>
      </c>
      <c r="H36" s="123">
        <f>[3]Republic!$FG$58</f>
        <v>0</v>
      </c>
      <c r="I36" s="123">
        <f>[3]Republic!$FG$58</f>
        <v>0</v>
      </c>
      <c r="J36" s="123">
        <f>[3]Republic!$FG$58</f>
        <v>0</v>
      </c>
      <c r="K36" s="123">
        <f>'[3]American Eagle'!$FG$58</f>
        <v>0</v>
      </c>
      <c r="L36" s="123">
        <f>'Other Regional'!L36</f>
        <v>0</v>
      </c>
      <c r="M36" s="103">
        <f t="shared" si="15"/>
        <v>0</v>
      </c>
    </row>
    <row r="37" spans="1:13" ht="13.5" hidden="1" thickTop="1" x14ac:dyDescent="0.2">
      <c r="A37" s="73" t="s">
        <v>43</v>
      </c>
      <c r="B37" s="134">
        <f t="shared" ref="B37:K37" si="18">SUM(B35:B36)</f>
        <v>0</v>
      </c>
      <c r="C37" s="134">
        <f t="shared" si="18"/>
        <v>0</v>
      </c>
      <c r="D37" s="134">
        <f t="shared" si="18"/>
        <v>0</v>
      </c>
      <c r="E37" s="134">
        <f t="shared" si="18"/>
        <v>0</v>
      </c>
      <c r="F37" s="134">
        <f t="shared" ref="F37:G37" si="19">SUM(F35:F36)</f>
        <v>0</v>
      </c>
      <c r="G37" s="134">
        <f t="shared" si="19"/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>SUM(L35:L36)</f>
        <v>0</v>
      </c>
      <c r="M37" s="136">
        <f t="shared" si="15"/>
        <v>0</v>
      </c>
    </row>
    <row r="38" spans="1:13" ht="13.5" thickTop="1" x14ac:dyDescent="0.2">
      <c r="A38" s="72"/>
      <c r="B38" s="123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03"/>
    </row>
    <row r="39" spans="1:13" x14ac:dyDescent="0.2">
      <c r="A39" s="72" t="s">
        <v>44</v>
      </c>
      <c r="B39" s="123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03"/>
    </row>
    <row r="40" spans="1:13" x14ac:dyDescent="0.2">
      <c r="A40" s="72" t="s">
        <v>45</v>
      </c>
      <c r="B40" s="123">
        <f t="shared" ref="B40:J42" si="20">SUM(B35,B30,B25)</f>
        <v>0</v>
      </c>
      <c r="C40" s="123">
        <f>SUM(C35,C30,C25)</f>
        <v>0</v>
      </c>
      <c r="D40" s="123">
        <f t="shared" si="20"/>
        <v>0</v>
      </c>
      <c r="E40" s="123">
        <f t="shared" ref="E40:F42" si="21">SUM(E35,E30,E25)</f>
        <v>0</v>
      </c>
      <c r="F40" s="123">
        <f t="shared" si="21"/>
        <v>294</v>
      </c>
      <c r="G40" s="123">
        <f t="shared" ref="G40" si="22">SUM(G35,G30,G25)</f>
        <v>0</v>
      </c>
      <c r="H40" s="123">
        <f t="shared" si="20"/>
        <v>1410</v>
      </c>
      <c r="I40" s="123">
        <f t="shared" si="20"/>
        <v>0</v>
      </c>
      <c r="J40" s="123">
        <f t="shared" si="20"/>
        <v>0</v>
      </c>
      <c r="K40" s="123">
        <f>SUM(K35,K30,K25)</f>
        <v>0</v>
      </c>
      <c r="L40" s="123">
        <f>L35+L30+L25</f>
        <v>81</v>
      </c>
      <c r="M40" s="103">
        <f>SUM(B40:L40)</f>
        <v>1785</v>
      </c>
    </row>
    <row r="41" spans="1:13" x14ac:dyDescent="0.2">
      <c r="A41" s="72" t="s">
        <v>38</v>
      </c>
      <c r="B41" s="123">
        <f t="shared" si="20"/>
        <v>0</v>
      </c>
      <c r="C41" s="123">
        <f>SUM(C36,C31,C26)</f>
        <v>0</v>
      </c>
      <c r="D41" s="123">
        <f t="shared" si="20"/>
        <v>0</v>
      </c>
      <c r="E41" s="123">
        <f t="shared" si="21"/>
        <v>0</v>
      </c>
      <c r="F41" s="123">
        <f t="shared" si="21"/>
        <v>242</v>
      </c>
      <c r="G41" s="123">
        <f t="shared" ref="G41" si="23">SUM(G36,G31,G26)</f>
        <v>0</v>
      </c>
      <c r="H41" s="123">
        <f t="shared" si="20"/>
        <v>0</v>
      </c>
      <c r="I41" s="123">
        <f t="shared" si="20"/>
        <v>0</v>
      </c>
      <c r="J41" s="123">
        <f t="shared" si="20"/>
        <v>0</v>
      </c>
      <c r="K41" s="123">
        <f>SUM(K36,K31,K26)</f>
        <v>0</v>
      </c>
      <c r="L41" s="123">
        <f>L36+L31+L26</f>
        <v>0</v>
      </c>
      <c r="M41" s="103">
        <f>SUM(B41:L41)</f>
        <v>242</v>
      </c>
    </row>
    <row r="42" spans="1:13" ht="15" thickBot="1" x14ac:dyDescent="0.25">
      <c r="A42" s="71" t="s">
        <v>46</v>
      </c>
      <c r="B42" s="129">
        <f t="shared" si="20"/>
        <v>0</v>
      </c>
      <c r="C42" s="129">
        <f>SUM(C37,C32,C27)</f>
        <v>0</v>
      </c>
      <c r="D42" s="129">
        <f t="shared" si="20"/>
        <v>0</v>
      </c>
      <c r="E42" s="129">
        <f t="shared" si="21"/>
        <v>0</v>
      </c>
      <c r="F42" s="129">
        <f t="shared" si="21"/>
        <v>536</v>
      </c>
      <c r="G42" s="129">
        <f t="shared" ref="G42" si="24">SUM(G37,G32,G27)</f>
        <v>0</v>
      </c>
      <c r="H42" s="129">
        <f t="shared" si="20"/>
        <v>1410</v>
      </c>
      <c r="I42" s="129">
        <f t="shared" si="20"/>
        <v>0</v>
      </c>
      <c r="J42" s="129">
        <f t="shared" si="20"/>
        <v>0</v>
      </c>
      <c r="K42" s="129">
        <f>SUM(K37,K32,K27)</f>
        <v>0</v>
      </c>
      <c r="L42" s="129">
        <f>SUM(L37,L32,L27)</f>
        <v>81</v>
      </c>
      <c r="M42" s="130">
        <f>SUM(B42:L42)</f>
        <v>2027</v>
      </c>
    </row>
    <row r="44" spans="1:13" x14ac:dyDescent="0.2">
      <c r="A44" s="371" t="s">
        <v>124</v>
      </c>
      <c r="B44" s="311">
        <f>[3]Pinnacle!$FG$70+[3]Pinnacle!$FG$73</f>
        <v>23915</v>
      </c>
      <c r="D44" s="312">
        <f>'[3]Sky West'!$FG$70+'[3]Sky West'!$FG$73</f>
        <v>41174</v>
      </c>
      <c r="E44" s="5"/>
      <c r="F44" s="5"/>
      <c r="G44" s="5"/>
      <c r="L44" s="312">
        <f>+'Other Regional'!L46</f>
        <v>18002</v>
      </c>
      <c r="M44" s="300">
        <f>SUM(B44:L44)</f>
        <v>83091</v>
      </c>
    </row>
    <row r="45" spans="1:13" x14ac:dyDescent="0.2">
      <c r="A45" s="385" t="s">
        <v>125</v>
      </c>
      <c r="B45" s="311">
        <f>[3]Pinnacle!$FG$71+[3]Pinnacle!$FG$74</f>
        <v>55011</v>
      </c>
      <c r="D45" s="312">
        <f>'[3]Sky West'!$FG$71+'[3]Sky West'!$FG$74</f>
        <v>114198</v>
      </c>
      <c r="E45" s="5"/>
      <c r="F45" s="5"/>
      <c r="G45" s="5"/>
      <c r="L45" s="312">
        <f>+'Other Regional'!L47</f>
        <v>30109</v>
      </c>
      <c r="M45" s="300">
        <f>SUM(B45:L45)</f>
        <v>199318</v>
      </c>
    </row>
    <row r="46" spans="1:13" x14ac:dyDescent="0.2">
      <c r="A46" s="302" t="s">
        <v>126</v>
      </c>
      <c r="B46" s="303">
        <f>SUM(B44:B45)</f>
        <v>78926</v>
      </c>
      <c r="L46" s="2"/>
      <c r="M46" s="301"/>
    </row>
    <row r="47" spans="1:13" x14ac:dyDescent="0.2">
      <c r="A47" s="304"/>
      <c r="B47" s="30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August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7" zoomScaleNormal="100" zoomScaleSheetLayoutView="100" workbookViewId="0">
      <selection activeCell="D27" sqref="D2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5" customHeight="1" x14ac:dyDescent="0.2">
      <c r="A1" s="381"/>
    </row>
    <row r="2" spans="1:12" s="7" customFormat="1" ht="55.5" customHeight="1" thickBot="1" x14ac:dyDescent="0.25">
      <c r="A2" s="374">
        <v>42948</v>
      </c>
      <c r="B2" s="521" t="s">
        <v>187</v>
      </c>
      <c r="C2" s="521" t="s">
        <v>186</v>
      </c>
      <c r="D2" s="521" t="s">
        <v>208</v>
      </c>
      <c r="E2" s="521" t="s">
        <v>169</v>
      </c>
      <c r="F2" s="521" t="s">
        <v>192</v>
      </c>
      <c r="G2" s="521" t="s">
        <v>191</v>
      </c>
      <c r="H2" s="521" t="s">
        <v>164</v>
      </c>
      <c r="I2" s="521" t="s">
        <v>168</v>
      </c>
      <c r="J2" s="521" t="s">
        <v>193</v>
      </c>
      <c r="K2" s="521" t="s">
        <v>190</v>
      </c>
      <c r="L2" s="281" t="s">
        <v>21</v>
      </c>
    </row>
    <row r="3" spans="1:12" ht="15.75" thickTop="1" x14ac:dyDescent="0.25">
      <c r="A3" s="270" t="s">
        <v>3</v>
      </c>
      <c r="B3" s="397"/>
      <c r="C3" s="397"/>
      <c r="D3" s="397"/>
      <c r="E3" s="397"/>
      <c r="F3" s="398"/>
      <c r="G3" s="398"/>
      <c r="H3" s="398"/>
      <c r="I3" s="398"/>
      <c r="J3" s="398"/>
      <c r="K3" s="397"/>
      <c r="L3" s="520"/>
    </row>
    <row r="4" spans="1:12" x14ac:dyDescent="0.2">
      <c r="A4" s="59" t="s">
        <v>29</v>
      </c>
      <c r="B4" s="121"/>
      <c r="C4" s="121"/>
      <c r="D4" s="122"/>
      <c r="E4" s="123"/>
      <c r="F4" s="124"/>
      <c r="G4" s="124"/>
      <c r="H4" s="124"/>
      <c r="I4" s="124"/>
      <c r="J4" s="125"/>
      <c r="K4" s="123"/>
      <c r="L4" s="103"/>
    </row>
    <row r="5" spans="1:12" x14ac:dyDescent="0.2">
      <c r="A5" s="59" t="s">
        <v>30</v>
      </c>
      <c r="B5" s="124">
        <f>'[3]Shuttle America'!$FG$22</f>
        <v>0</v>
      </c>
      <c r="C5" s="124">
        <f>'[3]Shuttle America_Delta'!$FG$22</f>
        <v>0</v>
      </c>
      <c r="D5" s="456">
        <f>[3]PSA!$FG$22</f>
        <v>1271</v>
      </c>
      <c r="E5" s="20">
        <f>[3]Compass!$FG$22+[3]Compass!$FG$32</f>
        <v>31057</v>
      </c>
      <c r="F5" s="124">
        <f>'[3]Atlantic Southeast'!$FG$22+'[3]Atlantic Southeast'!$FG$32</f>
        <v>5328</v>
      </c>
      <c r="G5" s="124">
        <f>'[3]Continental Express'!$FG$22</f>
        <v>98</v>
      </c>
      <c r="H5" s="123">
        <f>'[3]Go Jet_UA'!$FG$22</f>
        <v>1300</v>
      </c>
      <c r="I5" s="20">
        <f>'[3]Go Jet'!$FG$22+'[3]Go Jet'!$FG$32</f>
        <v>11389</v>
      </c>
      <c r="J5" s="125">
        <f>'[3]Air Wisconsin'!$FG$22</f>
        <v>0</v>
      </c>
      <c r="K5" s="123">
        <f>[3]MESA!$FG$22</f>
        <v>0</v>
      </c>
      <c r="L5" s="103">
        <f>SUM(B5:K5)</f>
        <v>50443</v>
      </c>
    </row>
    <row r="6" spans="1:12" s="10" customFormat="1" x14ac:dyDescent="0.2">
      <c r="A6" s="59" t="s">
        <v>31</v>
      </c>
      <c r="B6" s="124">
        <f>'[3]Shuttle America'!$FG$23</f>
        <v>0</v>
      </c>
      <c r="C6" s="124">
        <f>'[3]Shuttle America_Delta'!$FG$23</f>
        <v>0</v>
      </c>
      <c r="D6" s="456">
        <f>[3]PSA!$FG$23</f>
        <v>1309</v>
      </c>
      <c r="E6" s="14">
        <f>[3]Compass!$FG$23+[3]Compass!$FG$33</f>
        <v>31204</v>
      </c>
      <c r="F6" s="124">
        <f>'[3]Atlantic Southeast'!$FG$23+'[3]Atlantic Southeast'!$FG$33</f>
        <v>5142</v>
      </c>
      <c r="G6" s="124">
        <f>'[3]Continental Express'!$FG$23</f>
        <v>100</v>
      </c>
      <c r="H6" s="123">
        <f>'[3]Go Jet_UA'!$FG$23</f>
        <v>1369</v>
      </c>
      <c r="I6" s="14">
        <f>'[3]Go Jet'!$FG$23+'[3]Go Jet'!$FG$33</f>
        <v>11765</v>
      </c>
      <c r="J6" s="125">
        <f>'[3]Air Wisconsin'!$FG$23</f>
        <v>0</v>
      </c>
      <c r="K6" s="123">
        <f>[3]MESA!$FG$23</f>
        <v>0</v>
      </c>
      <c r="L6" s="108">
        <f>SUM(B6:K6)</f>
        <v>50889</v>
      </c>
    </row>
    <row r="7" spans="1:12" ht="15" thickBot="1" x14ac:dyDescent="0.25">
      <c r="A7" s="70" t="s">
        <v>7</v>
      </c>
      <c r="B7" s="126">
        <f t="shared" ref="B7:K7" si="0">SUM(B5:B6)</f>
        <v>0</v>
      </c>
      <c r="C7" s="126">
        <f t="shared" si="0"/>
        <v>0</v>
      </c>
      <c r="D7" s="126">
        <f t="shared" si="0"/>
        <v>2580</v>
      </c>
      <c r="E7" s="126">
        <f>SUM(E5:E6)</f>
        <v>62261</v>
      </c>
      <c r="F7" s="126">
        <f t="shared" si="0"/>
        <v>10470</v>
      </c>
      <c r="G7" s="126">
        <f t="shared" si="0"/>
        <v>198</v>
      </c>
      <c r="H7" s="126">
        <f t="shared" si="0"/>
        <v>2669</v>
      </c>
      <c r="I7" s="126">
        <f>SUM(I5:I6)</f>
        <v>23154</v>
      </c>
      <c r="J7" s="126">
        <f t="shared" si="0"/>
        <v>0</v>
      </c>
      <c r="K7" s="126">
        <f t="shared" si="0"/>
        <v>0</v>
      </c>
      <c r="L7" s="127">
        <f>SUM(B7:K7)</f>
        <v>101332</v>
      </c>
    </row>
    <row r="8" spans="1:12" ht="13.5" thickTop="1" x14ac:dyDescent="0.2">
      <c r="A8" s="59"/>
      <c r="B8" s="124"/>
      <c r="C8" s="124"/>
      <c r="D8" s="456"/>
      <c r="E8" s="334"/>
      <c r="F8" s="124"/>
      <c r="G8" s="124"/>
      <c r="H8" s="123"/>
      <c r="I8" s="334"/>
      <c r="J8" s="125"/>
      <c r="K8" s="123"/>
      <c r="L8" s="128"/>
    </row>
    <row r="9" spans="1:12" s="10" customFormat="1" x14ac:dyDescent="0.2">
      <c r="A9" s="59" t="s">
        <v>32</v>
      </c>
      <c r="B9" s="124"/>
      <c r="C9" s="124"/>
      <c r="D9" s="456"/>
      <c r="E9" s="20"/>
      <c r="F9" s="124"/>
      <c r="G9" s="124"/>
      <c r="H9" s="123"/>
      <c r="I9" s="20"/>
      <c r="J9" s="125"/>
      <c r="K9" s="123"/>
      <c r="L9" s="103"/>
    </row>
    <row r="10" spans="1:12" x14ac:dyDescent="0.2">
      <c r="A10" s="59" t="s">
        <v>30</v>
      </c>
      <c r="B10" s="124">
        <f>'[3]Shuttle America'!$FG$27</f>
        <v>0</v>
      </c>
      <c r="C10" s="124">
        <f>'[3]Shuttle America_Delta'!$FG$27</f>
        <v>0</v>
      </c>
      <c r="D10" s="456">
        <f>[3]PSA!$FG$27</f>
        <v>47</v>
      </c>
      <c r="E10" s="20">
        <f>[3]Compass!$FG$27+[3]Compass!$FG$37</f>
        <v>1073</v>
      </c>
      <c r="F10" s="20">
        <f>'[3]Atlantic Southeast'!$FG$27+'[3]Atlantic Southeast'!$FG$37</f>
        <v>187</v>
      </c>
      <c r="G10" s="124">
        <f>'[3]Continental Express'!$FG$27</f>
        <v>0</v>
      </c>
      <c r="H10" s="123">
        <f>'[3]Go Jet_UA'!$FG$27</f>
        <v>51</v>
      </c>
      <c r="I10" s="20">
        <f>'[3]Go Jet'!$FG$27+'[3]Go Jet'!$FG$37</f>
        <v>437</v>
      </c>
      <c r="J10" s="125">
        <f>'[3]Air Wisconsin'!$FG$27</f>
        <v>0</v>
      </c>
      <c r="K10" s="123">
        <f>[3]MESA!$FG$27</f>
        <v>0</v>
      </c>
      <c r="L10" s="103">
        <f>SUM(B10:K10)</f>
        <v>1795</v>
      </c>
    </row>
    <row r="11" spans="1:12" x14ac:dyDescent="0.2">
      <c r="A11" s="59" t="s">
        <v>33</v>
      </c>
      <c r="B11" s="124">
        <f>'[3]Shuttle America'!$FG$28</f>
        <v>0</v>
      </c>
      <c r="C11" s="124">
        <f>'[3]Shuttle America_Delta'!$FG$28</f>
        <v>0</v>
      </c>
      <c r="D11" s="456">
        <f>[3]PSA!$FG$28</f>
        <v>44</v>
      </c>
      <c r="E11" s="14">
        <f>[3]Compass!$FG$28+[3]Compass!$FG$38</f>
        <v>1108</v>
      </c>
      <c r="F11" s="14">
        <f>'[3]Atlantic Southeast'!$FG$28+'[3]Atlantic Southeast'!$FG$38</f>
        <v>168</v>
      </c>
      <c r="G11" s="124">
        <f>'[3]Continental Express'!$FG$28</f>
        <v>0</v>
      </c>
      <c r="H11" s="123">
        <f>'[3]Go Jet_UA'!$FG$28</f>
        <v>14</v>
      </c>
      <c r="I11" s="14">
        <f>'[3]Go Jet'!$FG$28+'[3]Go Jet'!$FG$38</f>
        <v>446</v>
      </c>
      <c r="J11" s="125">
        <f>'[3]Air Wisconsin'!$FG$28</f>
        <v>0</v>
      </c>
      <c r="K11" s="123">
        <f>[3]MESA!$FG$28</f>
        <v>0</v>
      </c>
      <c r="L11" s="108">
        <f>SUM(B11:K11)</f>
        <v>1780</v>
      </c>
    </row>
    <row r="12" spans="1:12" ht="15" thickBot="1" x14ac:dyDescent="0.25">
      <c r="A12" s="71" t="s">
        <v>34</v>
      </c>
      <c r="B12" s="129">
        <f>SUM(B10:B11)</f>
        <v>0</v>
      </c>
      <c r="C12" s="129">
        <f>SUM(C10:C11)</f>
        <v>0</v>
      </c>
      <c r="D12" s="129">
        <f t="shared" ref="D12" si="1">SUM(D10:D11)</f>
        <v>91</v>
      </c>
      <c r="E12" s="129">
        <f t="shared" ref="E12:K12" si="2">SUM(E10:E11)</f>
        <v>2181</v>
      </c>
      <c r="F12" s="129">
        <f t="shared" si="2"/>
        <v>355</v>
      </c>
      <c r="G12" s="129">
        <f t="shared" si="2"/>
        <v>0</v>
      </c>
      <c r="H12" s="129">
        <f t="shared" si="2"/>
        <v>65</v>
      </c>
      <c r="I12" s="129">
        <f t="shared" ref="I12" si="3">SUM(I10:I11)</f>
        <v>883</v>
      </c>
      <c r="J12" s="129">
        <f t="shared" si="2"/>
        <v>0</v>
      </c>
      <c r="K12" s="129">
        <f t="shared" si="2"/>
        <v>0</v>
      </c>
      <c r="L12" s="130">
        <f>SUM(B12:K12)</f>
        <v>3575</v>
      </c>
    </row>
    <row r="13" spans="1:12" ht="6" customHeight="1" thickBot="1" x14ac:dyDescent="0.25"/>
    <row r="14" spans="1:12" ht="15.75" thickTop="1" x14ac:dyDescent="0.25">
      <c r="A14" s="58" t="s">
        <v>9</v>
      </c>
      <c r="B14" s="96"/>
      <c r="C14" s="96"/>
      <c r="D14" s="96"/>
      <c r="E14" s="96"/>
      <c r="F14" s="97"/>
      <c r="G14" s="97"/>
      <c r="H14" s="96"/>
      <c r="I14" s="96"/>
      <c r="J14" s="97"/>
      <c r="K14" s="96"/>
      <c r="L14" s="98"/>
    </row>
    <row r="15" spans="1:12" x14ac:dyDescent="0.2">
      <c r="A15" s="59" t="s">
        <v>53</v>
      </c>
      <c r="B15" s="99">
        <f>'[3]Shuttle America'!$FG$4</f>
        <v>0</v>
      </c>
      <c r="C15" s="99">
        <f>'[3]Shuttle America_Delta'!$FG$4</f>
        <v>0</v>
      </c>
      <c r="D15" s="457">
        <f>[3]PSA!$FG$4</f>
        <v>25</v>
      </c>
      <c r="E15" s="20">
        <f>[3]Compass!$FG$4+[3]Compass!$FG$15</f>
        <v>510</v>
      </c>
      <c r="F15" s="100">
        <f>'[3]Atlantic Southeast'!$FG$4+'[3]Atlantic Southeast'!$FG$15</f>
        <v>110</v>
      </c>
      <c r="G15" s="100">
        <f>'[3]Continental Express'!$FG$4</f>
        <v>2</v>
      </c>
      <c r="H15" s="99">
        <f>'[3]Go Jet_UA'!$FG$4</f>
        <v>20</v>
      </c>
      <c r="I15" s="20">
        <f>'[3]Go Jet'!$FG$4+'[3]Go Jet'!$FG$15</f>
        <v>203</v>
      </c>
      <c r="J15" s="101">
        <f>'[3]Air Wisconsin'!$FG$4</f>
        <v>0</v>
      </c>
      <c r="K15" s="99">
        <f>[3]MESA!$FG$4</f>
        <v>0</v>
      </c>
      <c r="L15" s="103">
        <f t="shared" ref="L15:L21" si="4">SUM(B15:K15)</f>
        <v>870</v>
      </c>
    </row>
    <row r="16" spans="1:12" x14ac:dyDescent="0.2">
      <c r="A16" s="59" t="s">
        <v>54</v>
      </c>
      <c r="B16" s="104">
        <f>'[3]Shuttle America'!$FG$5</f>
        <v>0</v>
      </c>
      <c r="C16" s="104">
        <f>'[3]Shuttle America_Delta'!$FG$5</f>
        <v>0</v>
      </c>
      <c r="D16" s="458">
        <f>[3]PSA!$FG$5</f>
        <v>25</v>
      </c>
      <c r="E16" s="14">
        <f>[3]Compass!$FG$5+[3]Compass!$FG$16</f>
        <v>508</v>
      </c>
      <c r="F16" s="105">
        <f>'[3]Atlantic Southeast'!$FG$5+'[3]Atlantic Southeast'!$FG$16</f>
        <v>109</v>
      </c>
      <c r="G16" s="105">
        <f>'[3]Continental Express'!$FG$5</f>
        <v>2</v>
      </c>
      <c r="H16" s="104">
        <f>'[3]Go Jet_UA'!$FG$5</f>
        <v>20</v>
      </c>
      <c r="I16" s="14">
        <f>'[3]Go Jet'!$FG$5+'[3]Go Jet'!$FG$16</f>
        <v>201</v>
      </c>
      <c r="J16" s="106">
        <f>'[3]Air Wisconsin'!$FG$5</f>
        <v>0</v>
      </c>
      <c r="K16" s="104">
        <f>[3]MESA!$FG$5</f>
        <v>0</v>
      </c>
      <c r="L16" s="108">
        <f t="shared" si="4"/>
        <v>865</v>
      </c>
    </row>
    <row r="17" spans="1:12" x14ac:dyDescent="0.2">
      <c r="A17" s="68" t="s">
        <v>55</v>
      </c>
      <c r="B17" s="109">
        <f>SUM(B15:B16)</f>
        <v>0</v>
      </c>
      <c r="C17" s="109">
        <f>SUM(C15:C16)</f>
        <v>0</v>
      </c>
      <c r="D17" s="109">
        <f t="shared" ref="D17" si="5">SUM(D15:D16)</f>
        <v>50</v>
      </c>
      <c r="E17" s="276">
        <f>SUM(E15:E16)</f>
        <v>1018</v>
      </c>
      <c r="F17" s="109">
        <f t="shared" ref="F17:K17" si="6">SUM(F15:F16)</f>
        <v>219</v>
      </c>
      <c r="G17" s="109">
        <f t="shared" si="6"/>
        <v>4</v>
      </c>
      <c r="H17" s="109">
        <f t="shared" si="6"/>
        <v>40</v>
      </c>
      <c r="I17" s="276">
        <f>SUM(I15:I16)</f>
        <v>404</v>
      </c>
      <c r="J17" s="109">
        <f t="shared" si="6"/>
        <v>0</v>
      </c>
      <c r="K17" s="109">
        <f t="shared" si="6"/>
        <v>0</v>
      </c>
      <c r="L17" s="110">
        <f t="shared" si="4"/>
        <v>1735</v>
      </c>
    </row>
    <row r="18" spans="1:12" x14ac:dyDescent="0.2">
      <c r="A18" s="59" t="s">
        <v>56</v>
      </c>
      <c r="B18" s="111">
        <f>'[3]Shuttle America'!$FG$8</f>
        <v>0</v>
      </c>
      <c r="C18" s="111">
        <f>'[3]Shuttle America_Delta'!$FG$8</f>
        <v>0</v>
      </c>
      <c r="D18" s="111">
        <f>[3]PSA!$FG$8</f>
        <v>0</v>
      </c>
      <c r="E18" s="20">
        <f>[3]Compass!$FG$8</f>
        <v>0</v>
      </c>
      <c r="F18" s="102">
        <f>'[3]Atlantic Southeast'!$FG$8</f>
        <v>0</v>
      </c>
      <c r="G18" s="102">
        <f>'[3]Continental Express'!$FG$8</f>
        <v>0</v>
      </c>
      <c r="H18" s="111">
        <f>'[3]Go Jet_UA'!$FG$8</f>
        <v>0</v>
      </c>
      <c r="I18" s="20">
        <f>'[3]Go Jet'!$FG$8</f>
        <v>0</v>
      </c>
      <c r="J18" s="112">
        <f>'[3]Air Wisconsin'!$FG$8</f>
        <v>0</v>
      </c>
      <c r="K18" s="111">
        <f>[3]MESA!$FG$8</f>
        <v>0</v>
      </c>
      <c r="L18" s="103">
        <f t="shared" si="4"/>
        <v>0</v>
      </c>
    </row>
    <row r="19" spans="1:12" x14ac:dyDescent="0.2">
      <c r="A19" s="59" t="s">
        <v>57</v>
      </c>
      <c r="B19" s="113">
        <f>'[3]Shuttle America'!$FG$9</f>
        <v>0</v>
      </c>
      <c r="C19" s="113">
        <f>'[3]Shuttle America_Delta'!$FG$9</f>
        <v>0</v>
      </c>
      <c r="D19" s="113">
        <f>[3]PSA!$FG$9</f>
        <v>0</v>
      </c>
      <c r="E19" s="14">
        <f>[3]Compass!$FG$9</f>
        <v>3</v>
      </c>
      <c r="F19" s="107">
        <f>'[3]Atlantic Southeast'!$FG$9</f>
        <v>1</v>
      </c>
      <c r="G19" s="107">
        <f>'[3]Continental Express'!$FG$9</f>
        <v>0</v>
      </c>
      <c r="H19" s="113">
        <f>'[3]Go Jet_UA'!$FG$9</f>
        <v>0</v>
      </c>
      <c r="I19" s="14">
        <f>'[3]Go Jet'!$FG$9</f>
        <v>2</v>
      </c>
      <c r="J19" s="114">
        <f>'[3]Air Wisconsin'!$FG$9</f>
        <v>0</v>
      </c>
      <c r="K19" s="113">
        <f>[3]MESA!$FG$9</f>
        <v>0</v>
      </c>
      <c r="L19" s="108">
        <f t="shared" si="4"/>
        <v>6</v>
      </c>
    </row>
    <row r="20" spans="1:12" x14ac:dyDescent="0.2">
      <c r="A20" s="68" t="s">
        <v>58</v>
      </c>
      <c r="B20" s="109">
        <f>SUM(B18:B19)</f>
        <v>0</v>
      </c>
      <c r="C20" s="109">
        <f>SUM(C18:C19)</f>
        <v>0</v>
      </c>
      <c r="D20" s="109">
        <f t="shared" ref="D20" si="7">SUM(D18:D19)</f>
        <v>0</v>
      </c>
      <c r="E20" s="276">
        <f>SUM(E18:E19)</f>
        <v>3</v>
      </c>
      <c r="F20" s="109">
        <f t="shared" ref="F20:K20" si="8">SUM(F18:F19)</f>
        <v>1</v>
      </c>
      <c r="G20" s="109">
        <f t="shared" si="8"/>
        <v>0</v>
      </c>
      <c r="H20" s="109">
        <f t="shared" si="8"/>
        <v>0</v>
      </c>
      <c r="I20" s="276">
        <f>SUM(I18:I19)</f>
        <v>2</v>
      </c>
      <c r="J20" s="109">
        <f t="shared" si="8"/>
        <v>0</v>
      </c>
      <c r="K20" s="109">
        <f t="shared" si="8"/>
        <v>0</v>
      </c>
      <c r="L20" s="110">
        <f t="shared" si="4"/>
        <v>6</v>
      </c>
    </row>
    <row r="21" spans="1:12" ht="15.75" thickBot="1" x14ac:dyDescent="0.3">
      <c r="A21" s="69" t="s">
        <v>28</v>
      </c>
      <c r="B21" s="115">
        <f>SUM(B20,B17)</f>
        <v>0</v>
      </c>
      <c r="C21" s="115">
        <f>SUM(C20,C17)</f>
        <v>0</v>
      </c>
      <c r="D21" s="115">
        <f t="shared" ref="D21" si="9">SUM(D20,D17)</f>
        <v>50</v>
      </c>
      <c r="E21" s="115">
        <f t="shared" ref="E21:K21" si="10">SUM(E20,E17)</f>
        <v>1021</v>
      </c>
      <c r="F21" s="115">
        <f t="shared" si="10"/>
        <v>220</v>
      </c>
      <c r="G21" s="115">
        <f t="shared" si="10"/>
        <v>4</v>
      </c>
      <c r="H21" s="115">
        <f t="shared" si="10"/>
        <v>40</v>
      </c>
      <c r="I21" s="115">
        <f t="shared" ref="I21" si="11">SUM(I20,I17)</f>
        <v>406</v>
      </c>
      <c r="J21" s="115">
        <f t="shared" si="10"/>
        <v>0</v>
      </c>
      <c r="K21" s="115">
        <f t="shared" si="10"/>
        <v>0</v>
      </c>
      <c r="L21" s="116">
        <f t="shared" si="4"/>
        <v>1741</v>
      </c>
    </row>
    <row r="22" spans="1:12" ht="3.75" customHeight="1" thickBot="1" x14ac:dyDescent="0.25"/>
    <row r="23" spans="1:12" ht="15.75" thickTop="1" x14ac:dyDescent="0.25">
      <c r="A23" s="62" t="s">
        <v>117</v>
      </c>
      <c r="B23" s="131"/>
      <c r="C23" s="131"/>
      <c r="D23" s="131"/>
      <c r="E23" s="131"/>
      <c r="F23" s="132"/>
      <c r="G23" s="132"/>
      <c r="H23" s="131"/>
      <c r="I23" s="131"/>
      <c r="J23" s="132"/>
      <c r="K23" s="131"/>
      <c r="L23" s="133"/>
    </row>
    <row r="24" spans="1:12" x14ac:dyDescent="0.2">
      <c r="A24" s="72" t="s">
        <v>36</v>
      </c>
      <c r="B24" s="123"/>
      <c r="C24" s="123"/>
      <c r="D24" s="123"/>
      <c r="F24" s="124"/>
      <c r="G24" s="124"/>
      <c r="H24" s="123"/>
      <c r="J24" s="125"/>
      <c r="K24" s="123"/>
      <c r="L24" s="103"/>
    </row>
    <row r="25" spans="1:12" x14ac:dyDescent="0.2">
      <c r="A25" s="72" t="s">
        <v>37</v>
      </c>
      <c r="B25" s="123">
        <f>'[3]Shuttle America'!$FG$47</f>
        <v>0</v>
      </c>
      <c r="C25" s="123">
        <f>'[3]Shuttle America_Delta'!$FG$47</f>
        <v>0</v>
      </c>
      <c r="D25" s="123">
        <f>[3]PSA!$FG$47</f>
        <v>0</v>
      </c>
      <c r="E25" s="123">
        <f>[3]Compass!$FG$47</f>
        <v>0</v>
      </c>
      <c r="F25" s="124">
        <f>'[3]Atlantic Southeast'!$FG$47</f>
        <v>0</v>
      </c>
      <c r="G25" s="124">
        <f>'[3]Continental Express'!$FG$47</f>
        <v>0</v>
      </c>
      <c r="H25" s="123">
        <f>'[3]Go Jet_UA'!$FG$47</f>
        <v>0</v>
      </c>
      <c r="I25" s="123">
        <f>'[3]Go Jet'!$FG$47</f>
        <v>81</v>
      </c>
      <c r="J25" s="125">
        <f>'[3]Air Wisconsin'!$FG$47</f>
        <v>0</v>
      </c>
      <c r="K25" s="123">
        <f>[3]MESA!$FG$47</f>
        <v>0</v>
      </c>
      <c r="L25" s="103">
        <f>SUM(B25:K25)</f>
        <v>81</v>
      </c>
    </row>
    <row r="26" spans="1:12" x14ac:dyDescent="0.2">
      <c r="A26" s="72" t="s">
        <v>38</v>
      </c>
      <c r="B26" s="123">
        <f>'[3]Shuttle America'!$FG$48</f>
        <v>0</v>
      </c>
      <c r="C26" s="123">
        <f>'[3]Shuttle America_Delta'!$FG$48</f>
        <v>0</v>
      </c>
      <c r="D26" s="123">
        <f>[3]PSA!$FG$48</f>
        <v>0</v>
      </c>
      <c r="E26" s="123">
        <f>[3]Compass!$FG$48</f>
        <v>0</v>
      </c>
      <c r="F26" s="124">
        <f>'[3]Atlantic Southeast'!$FG$48</f>
        <v>0</v>
      </c>
      <c r="G26" s="124">
        <f>'[3]Continental Express'!$FG$48</f>
        <v>0</v>
      </c>
      <c r="H26" s="123">
        <f>'[3]Go Jet_UA'!$FG$48</f>
        <v>0</v>
      </c>
      <c r="I26" s="123">
        <f>'[3]Go Jet'!$FG$48</f>
        <v>0</v>
      </c>
      <c r="J26" s="125">
        <f>'[3]Air Wisconsin'!$FG$48</f>
        <v>0</v>
      </c>
      <c r="K26" s="123">
        <f>[3]MESA!$FG$48</f>
        <v>0</v>
      </c>
      <c r="L26" s="103">
        <f>SUM(B26:K26)</f>
        <v>0</v>
      </c>
    </row>
    <row r="27" spans="1:12" ht="15" thickBot="1" x14ac:dyDescent="0.25">
      <c r="A27" s="70" t="s">
        <v>39</v>
      </c>
      <c r="B27" s="126">
        <f>SUM(B25:B26)</f>
        <v>0</v>
      </c>
      <c r="C27" s="126">
        <f>SUM(C25:C26)</f>
        <v>0</v>
      </c>
      <c r="D27" s="126">
        <f t="shared" ref="D27" si="12">SUM(D25:D26)</f>
        <v>0</v>
      </c>
      <c r="E27" s="126">
        <f>SUM(E25:E26)</f>
        <v>0</v>
      </c>
      <c r="F27" s="126">
        <f t="shared" ref="F27:K27" si="13">SUM(F25:F26)</f>
        <v>0</v>
      </c>
      <c r="G27" s="126">
        <f t="shared" si="13"/>
        <v>0</v>
      </c>
      <c r="H27" s="126">
        <f t="shared" si="13"/>
        <v>0</v>
      </c>
      <c r="I27" s="126">
        <f>SUM(I25:I26)</f>
        <v>81</v>
      </c>
      <c r="J27" s="126">
        <f t="shared" si="13"/>
        <v>0</v>
      </c>
      <c r="K27" s="126">
        <f t="shared" si="13"/>
        <v>0</v>
      </c>
      <c r="L27" s="127">
        <f>SUM(B27:K27)</f>
        <v>81</v>
      </c>
    </row>
    <row r="28" spans="1:12" ht="7.5" customHeight="1" thickTop="1" x14ac:dyDescent="0.2">
      <c r="A28" s="72"/>
      <c r="B28" s="123"/>
      <c r="C28" s="123"/>
      <c r="D28" s="123"/>
      <c r="E28" s="123"/>
      <c r="F28" s="124"/>
      <c r="G28" s="124"/>
      <c r="H28" s="123"/>
      <c r="I28" s="123"/>
      <c r="J28" s="125"/>
      <c r="K28" s="123"/>
      <c r="L28" s="103"/>
    </row>
    <row r="29" spans="1:12" x14ac:dyDescent="0.2">
      <c r="A29" s="72" t="s">
        <v>40</v>
      </c>
      <c r="B29" s="123"/>
      <c r="C29" s="123"/>
      <c r="D29" s="123"/>
      <c r="E29" s="123"/>
      <c r="F29" s="124"/>
      <c r="G29" s="124"/>
      <c r="H29" s="123"/>
      <c r="I29" s="123"/>
      <c r="J29" s="125"/>
      <c r="K29" s="123"/>
      <c r="L29" s="103"/>
    </row>
    <row r="30" spans="1:12" x14ac:dyDescent="0.2">
      <c r="A30" s="72" t="s">
        <v>59</v>
      </c>
      <c r="B30" s="123">
        <f>'[3]Shuttle America'!$FG$52</f>
        <v>0</v>
      </c>
      <c r="C30" s="123">
        <f>'[3]Shuttle America_Delta'!$FG$52</f>
        <v>0</v>
      </c>
      <c r="D30" s="123">
        <f>[3]PSA!$FG$52</f>
        <v>0</v>
      </c>
      <c r="E30" s="123">
        <f>[3]Compass!$FG$52</f>
        <v>0</v>
      </c>
      <c r="F30" s="124">
        <f>'[3]Atlantic Southeast'!$FG$52</f>
        <v>0</v>
      </c>
      <c r="G30" s="124">
        <f>'[3]Continental Express'!$FG$52</f>
        <v>0</v>
      </c>
      <c r="H30" s="123">
        <f>'[3]Go Jet_UA'!$FG$52</f>
        <v>0</v>
      </c>
      <c r="I30" s="123">
        <f>'[3]Go Jet'!$FG$52</f>
        <v>0</v>
      </c>
      <c r="J30" s="125">
        <f>'[3]Air Wisconsin'!BH$52</f>
        <v>0</v>
      </c>
      <c r="K30" s="123">
        <f>[3]MESA!$FG$52</f>
        <v>0</v>
      </c>
      <c r="L30" s="103">
        <f>SUM(B30:K30)</f>
        <v>0</v>
      </c>
    </row>
    <row r="31" spans="1:12" x14ac:dyDescent="0.2">
      <c r="A31" s="72" t="s">
        <v>60</v>
      </c>
      <c r="B31" s="123">
        <f>'[3]Shuttle America'!$FG$53</f>
        <v>0</v>
      </c>
      <c r="C31" s="123">
        <f>'[3]Shuttle America_Delta'!$FG$53</f>
        <v>0</v>
      </c>
      <c r="D31" s="123">
        <f>[3]PSA!$FG$53</f>
        <v>0</v>
      </c>
      <c r="E31" s="123">
        <f>[3]Compass!$FG$53</f>
        <v>0</v>
      </c>
      <c r="F31" s="124">
        <f>'[3]Atlantic Southeast'!$FG$53</f>
        <v>0</v>
      </c>
      <c r="G31" s="124">
        <f>'[3]Continental Express'!$FG$53</f>
        <v>0</v>
      </c>
      <c r="H31" s="123">
        <f>'[3]Go Jet_UA'!$FG$53</f>
        <v>0</v>
      </c>
      <c r="I31" s="123">
        <f>'[3]Go Jet'!$FG$53</f>
        <v>0</v>
      </c>
      <c r="J31" s="125">
        <f>'[3]Air Wisconsin'!$FG$53</f>
        <v>0</v>
      </c>
      <c r="K31" s="123">
        <f>[3]MESA!$FG$53</f>
        <v>0</v>
      </c>
      <c r="L31" s="103">
        <f>SUM(B31:K31)</f>
        <v>0</v>
      </c>
    </row>
    <row r="32" spans="1:12" ht="15" thickBot="1" x14ac:dyDescent="0.25">
      <c r="A32" s="70" t="s">
        <v>41</v>
      </c>
      <c r="B32" s="126">
        <f t="shared" ref="B32:K32" si="14">SUM(B30:B31)</f>
        <v>0</v>
      </c>
      <c r="C32" s="126">
        <f t="shared" si="14"/>
        <v>0</v>
      </c>
      <c r="D32" s="126">
        <f t="shared" si="14"/>
        <v>0</v>
      </c>
      <c r="E32" s="126">
        <f t="shared" si="14"/>
        <v>0</v>
      </c>
      <c r="F32" s="126">
        <f t="shared" si="14"/>
        <v>0</v>
      </c>
      <c r="G32" s="126">
        <f t="shared" si="14"/>
        <v>0</v>
      </c>
      <c r="H32" s="126">
        <f t="shared" si="14"/>
        <v>0</v>
      </c>
      <c r="I32" s="126">
        <f t="shared" ref="I32" si="15">SUM(I30:I31)</f>
        <v>0</v>
      </c>
      <c r="J32" s="126">
        <f t="shared" si="14"/>
        <v>0</v>
      </c>
      <c r="K32" s="126">
        <f t="shared" si="14"/>
        <v>0</v>
      </c>
      <c r="L32" s="127">
        <f>SUM(B32:K32)</f>
        <v>0</v>
      </c>
    </row>
    <row r="33" spans="1:12" ht="13.5" hidden="1" thickTop="1" x14ac:dyDescent="0.2">
      <c r="A33" s="72"/>
      <c r="B33" s="123"/>
      <c r="C33" s="123"/>
      <c r="D33" s="123"/>
      <c r="E33" s="123"/>
      <c r="F33" s="124"/>
      <c r="G33" s="124"/>
      <c r="H33" s="123"/>
      <c r="I33" s="123"/>
      <c r="J33" s="125"/>
      <c r="K33" s="123"/>
      <c r="L33" s="103"/>
    </row>
    <row r="34" spans="1:12" ht="13.5" hidden="1" thickTop="1" x14ac:dyDescent="0.2">
      <c r="A34" s="72" t="s">
        <v>42</v>
      </c>
      <c r="B34" s="123"/>
      <c r="C34" s="123"/>
      <c r="D34" s="123"/>
      <c r="E34" s="123"/>
      <c r="F34" s="124"/>
      <c r="G34" s="124"/>
      <c r="H34" s="123"/>
      <c r="I34" s="123"/>
      <c r="J34" s="125"/>
      <c r="K34" s="123"/>
      <c r="L34" s="103"/>
    </row>
    <row r="35" spans="1:12" ht="13.5" hidden="1" thickTop="1" x14ac:dyDescent="0.2">
      <c r="A35" s="72" t="s">
        <v>37</v>
      </c>
      <c r="B35" s="123">
        <f>'[3]Shuttle America'!$FG$57</f>
        <v>0</v>
      </c>
      <c r="C35" s="123">
        <f>'[3]Shuttle America_Delta'!$FG$57</f>
        <v>0</v>
      </c>
      <c r="D35" s="123">
        <f>[3]PSA!$FG$57</f>
        <v>0</v>
      </c>
      <c r="E35" s="123">
        <f>[3]Compass!$FG$57</f>
        <v>0</v>
      </c>
      <c r="F35" s="124">
        <f>'[3]Atlantic Southeast'!$FG$57</f>
        <v>0</v>
      </c>
      <c r="G35" s="124">
        <f>'[3]Continental Express'!$FG$57</f>
        <v>0</v>
      </c>
      <c r="H35" s="123">
        <f>'[3]Go Jet_UA'!$AJ$57</f>
        <v>0</v>
      </c>
      <c r="I35" s="123">
        <f>'[3]Go Jet'!$FG$57</f>
        <v>0</v>
      </c>
      <c r="J35" s="125">
        <f>'[3]Air Wisconsin'!BG$57</f>
        <v>0</v>
      </c>
      <c r="K35" s="123">
        <f>[3]MESA!$AJ$57</f>
        <v>0</v>
      </c>
      <c r="L35" s="103">
        <f>SUM(B35:K35)</f>
        <v>0</v>
      </c>
    </row>
    <row r="36" spans="1:12" ht="13.5" hidden="1" thickTop="1" x14ac:dyDescent="0.2">
      <c r="A36" s="72" t="s">
        <v>38</v>
      </c>
      <c r="B36" s="123">
        <f>'[3]Shuttle America'!BG$58</f>
        <v>0</v>
      </c>
      <c r="C36" s="123">
        <f>'[3]Shuttle America_Delta'!BH$58</f>
        <v>0</v>
      </c>
      <c r="D36" s="123">
        <f>[3]PSA!BG$58</f>
        <v>0</v>
      </c>
      <c r="E36" s="123">
        <f>[3]Compass!BG$58</f>
        <v>0</v>
      </c>
      <c r="F36" s="124">
        <f>'[3]Atlantic Southeast'!BG$58</f>
        <v>0</v>
      </c>
      <c r="G36" s="124">
        <f>'[3]Continental Express'!BG$58</f>
        <v>0</v>
      </c>
      <c r="H36" s="123">
        <f>'[3]Go Jet_UA'!$AJ$58</f>
        <v>0</v>
      </c>
      <c r="I36" s="123">
        <f>'[3]Go Jet'!BK$58</f>
        <v>0</v>
      </c>
      <c r="J36" s="125">
        <f>'[3]Air Wisconsin'!BG$58</f>
        <v>0</v>
      </c>
      <c r="K36" s="123">
        <f>[3]MESA!$AJ$58</f>
        <v>0</v>
      </c>
      <c r="L36" s="103">
        <f>SUM(B36:K36)</f>
        <v>0</v>
      </c>
    </row>
    <row r="37" spans="1:12" ht="13.5" hidden="1" thickTop="1" x14ac:dyDescent="0.2">
      <c r="A37" s="73" t="s">
        <v>43</v>
      </c>
      <c r="B37" s="134">
        <f>SUM(B35:B36)</f>
        <v>0</v>
      </c>
      <c r="C37" s="134">
        <f>SUM(C35:C36)</f>
        <v>0</v>
      </c>
      <c r="D37" s="134">
        <f t="shared" ref="D37" si="16">SUM(D35:D36)</f>
        <v>0</v>
      </c>
      <c r="E37" s="134">
        <f>SUM(E35:E36)</f>
        <v>0</v>
      </c>
      <c r="F37" s="135">
        <f t="shared" ref="F37:K37" si="17">SUM(F35:F36)</f>
        <v>0</v>
      </c>
      <c r="G37" s="135">
        <f t="shared" si="17"/>
        <v>0</v>
      </c>
      <c r="H37" s="134">
        <f t="shared" si="17"/>
        <v>0</v>
      </c>
      <c r="I37" s="134">
        <f>SUM(I35:I36)</f>
        <v>0</v>
      </c>
      <c r="J37" s="134">
        <f t="shared" si="17"/>
        <v>0</v>
      </c>
      <c r="K37" s="134">
        <f t="shared" si="17"/>
        <v>0</v>
      </c>
      <c r="L37" s="136">
        <f>SUM(B37:K37)</f>
        <v>0</v>
      </c>
    </row>
    <row r="38" spans="1:12" ht="6.75" customHeight="1" thickTop="1" x14ac:dyDescent="0.2">
      <c r="A38" s="72"/>
      <c r="B38" s="123"/>
      <c r="C38" s="123"/>
      <c r="D38" s="123"/>
      <c r="E38" s="123"/>
      <c r="F38" s="124"/>
      <c r="G38" s="124"/>
      <c r="H38" s="123"/>
      <c r="I38" s="123"/>
      <c r="J38" s="125"/>
      <c r="K38" s="123"/>
      <c r="L38" s="103"/>
    </row>
    <row r="39" spans="1:12" x14ac:dyDescent="0.2">
      <c r="A39" s="72" t="s">
        <v>44</v>
      </c>
      <c r="B39" s="123"/>
      <c r="C39" s="123"/>
      <c r="D39" s="123"/>
      <c r="E39" s="123"/>
      <c r="F39" s="124"/>
      <c r="G39" s="124"/>
      <c r="H39" s="123"/>
      <c r="I39" s="123"/>
      <c r="J39" s="125"/>
      <c r="K39" s="123"/>
      <c r="L39" s="103"/>
    </row>
    <row r="40" spans="1:12" x14ac:dyDescent="0.2">
      <c r="A40" s="72" t="s">
        <v>45</v>
      </c>
      <c r="B40" s="123">
        <f t="shared" ref="B40:K40" si="18">SUM(B35,B30,B25)</f>
        <v>0</v>
      </c>
      <c r="C40" s="123">
        <f>SUM(C35,C30,C25)</f>
        <v>0</v>
      </c>
      <c r="D40" s="123">
        <f t="shared" ref="D40:D41" si="19">SUM(D35,D30,D25)</f>
        <v>0</v>
      </c>
      <c r="E40" s="123">
        <f t="shared" si="18"/>
        <v>0</v>
      </c>
      <c r="F40" s="123">
        <f t="shared" si="18"/>
        <v>0</v>
      </c>
      <c r="G40" s="123">
        <f t="shared" si="18"/>
        <v>0</v>
      </c>
      <c r="H40" s="123">
        <f>SUM(H35,H30,H25)</f>
        <v>0</v>
      </c>
      <c r="I40" s="123">
        <f t="shared" ref="I40" si="20">SUM(I35,I30,I25)</f>
        <v>81</v>
      </c>
      <c r="J40" s="123">
        <f t="shared" si="18"/>
        <v>0</v>
      </c>
      <c r="K40" s="123">
        <f t="shared" si="18"/>
        <v>0</v>
      </c>
      <c r="L40" s="103">
        <f>SUM(B40:K40)</f>
        <v>81</v>
      </c>
    </row>
    <row r="41" spans="1:12" x14ac:dyDescent="0.2">
      <c r="A41" s="72" t="s">
        <v>38</v>
      </c>
      <c r="B41" s="123">
        <f>SUM(B36,B31,B26)</f>
        <v>0</v>
      </c>
      <c r="C41" s="123">
        <f>SUM(C36,C31,C26)</f>
        <v>0</v>
      </c>
      <c r="D41" s="123">
        <f t="shared" si="19"/>
        <v>0</v>
      </c>
      <c r="E41" s="123">
        <f t="shared" ref="E41:K41" si="21">SUM(E36,E31,E26)</f>
        <v>0</v>
      </c>
      <c r="F41" s="123">
        <f t="shared" si="21"/>
        <v>0</v>
      </c>
      <c r="G41" s="123">
        <f t="shared" si="21"/>
        <v>0</v>
      </c>
      <c r="H41" s="123">
        <f>SUM(H36,H31,H26)</f>
        <v>0</v>
      </c>
      <c r="I41" s="123">
        <f t="shared" ref="I41" si="22">SUM(I36,I31,I26)</f>
        <v>0</v>
      </c>
      <c r="J41" s="123">
        <f t="shared" si="21"/>
        <v>0</v>
      </c>
      <c r="K41" s="123">
        <f t="shared" si="21"/>
        <v>0</v>
      </c>
      <c r="L41" s="103">
        <f>SUM(B41:K41)</f>
        <v>0</v>
      </c>
    </row>
    <row r="42" spans="1:12" ht="15" thickBot="1" x14ac:dyDescent="0.25">
      <c r="A42" s="71" t="s">
        <v>46</v>
      </c>
      <c r="B42" s="129">
        <f>SUM(B40:B41)</f>
        <v>0</v>
      </c>
      <c r="C42" s="129">
        <f>SUM(C40:C41)</f>
        <v>0</v>
      </c>
      <c r="D42" s="129">
        <f t="shared" ref="D42" si="23">SUM(D40:D41)</f>
        <v>0</v>
      </c>
      <c r="E42" s="129">
        <f t="shared" ref="E42:K42" si="24">SUM(E40:E41)</f>
        <v>0</v>
      </c>
      <c r="F42" s="129">
        <f t="shared" si="24"/>
        <v>0</v>
      </c>
      <c r="G42" s="129">
        <f t="shared" si="24"/>
        <v>0</v>
      </c>
      <c r="H42" s="129">
        <f t="shared" si="24"/>
        <v>0</v>
      </c>
      <c r="I42" s="129">
        <f t="shared" ref="I42" si="25">SUM(I40:I41)</f>
        <v>81</v>
      </c>
      <c r="J42" s="129">
        <f t="shared" si="24"/>
        <v>0</v>
      </c>
      <c r="K42" s="129">
        <f t="shared" si="24"/>
        <v>0</v>
      </c>
      <c r="L42" s="130">
        <f>SUM(B42:K42)</f>
        <v>81</v>
      </c>
    </row>
    <row r="43" spans="1:12" ht="4.5" customHeight="1" x14ac:dyDescent="0.2"/>
    <row r="44" spans="1:12" hidden="1" x14ac:dyDescent="0.2">
      <c r="A44" s="313" t="s">
        <v>127</v>
      </c>
      <c r="E44" s="312">
        <f>[3]Compass!BG$70+[3]Compass!BG$73</f>
        <v>27782</v>
      </c>
      <c r="F44" s="298"/>
      <c r="I44" s="312">
        <f>'[3]Go Jet'!BK$70+'[3]Go Jet'!BK$73</f>
        <v>0</v>
      </c>
      <c r="L44" s="300">
        <f>SUM(E44:E44)</f>
        <v>27782</v>
      </c>
    </row>
    <row r="45" spans="1:12" hidden="1" x14ac:dyDescent="0.2">
      <c r="A45" s="313" t="s">
        <v>128</v>
      </c>
      <c r="E45" s="312">
        <f>[3]Compass!BG$71+[3]Compass!BG$74</f>
        <v>47176</v>
      </c>
      <c r="F45" s="316"/>
      <c r="I45" s="312">
        <f>'[3]Go Jet'!BK$71+'[3]Go Jet'!BK$74</f>
        <v>0</v>
      </c>
      <c r="L45" s="300">
        <f>SUM(E45:E45)</f>
        <v>47176</v>
      </c>
    </row>
    <row r="46" spans="1:12" x14ac:dyDescent="0.2">
      <c r="A46" s="371" t="s">
        <v>124</v>
      </c>
      <c r="C46" s="312">
        <f>'[3]Shuttle America_Delta'!$FG$70+'[3]Shuttle America_Delta'!$FG$73</f>
        <v>0</v>
      </c>
      <c r="E46" s="312">
        <f>[3]Compass!$FG$70+[3]Compass!$FG$73</f>
        <v>11451</v>
      </c>
      <c r="F46" s="312">
        <f>'[3]Atlantic Southeast'!$FG$70+'[3]Atlantic Southeast'!$FG$73</f>
        <v>1810</v>
      </c>
      <c r="I46" s="312">
        <f>'[3]Go Jet'!$FG$70+'[3]Go Jet'!$FG$73</f>
        <v>4741</v>
      </c>
      <c r="L46" s="384">
        <f>SUM(B46:K46)</f>
        <v>18002</v>
      </c>
    </row>
    <row r="47" spans="1:12" x14ac:dyDescent="0.2">
      <c r="A47" s="385" t="s">
        <v>125</v>
      </c>
      <c r="C47" s="312">
        <f>'[3]Shuttle America_Delta'!$FG$71+'[3]Shuttle America_Delta'!$FG$74</f>
        <v>0</v>
      </c>
      <c r="E47" s="312">
        <f>[3]Compass!$FG$71+[3]Compass!$FG$74</f>
        <v>19753</v>
      </c>
      <c r="F47" s="312">
        <f>'[3]Atlantic Southeast'!$FG$71+'[3]Atlantic Southeast'!$FG$74</f>
        <v>3332</v>
      </c>
      <c r="I47" s="312">
        <f>'[3]Go Jet'!$FG$71+'[3]Go Jet'!$FG$74</f>
        <v>7024</v>
      </c>
      <c r="L47" s="384">
        <f>SUM(B47:K47)</f>
        <v>30109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August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I24" sqref="I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4">
        <v>42948</v>
      </c>
      <c r="B2" s="173" t="s">
        <v>119</v>
      </c>
      <c r="C2" s="173" t="s">
        <v>156</v>
      </c>
      <c r="D2" s="95" t="s">
        <v>78</v>
      </c>
      <c r="E2" s="95" t="s">
        <v>157</v>
      </c>
      <c r="F2" s="173" t="s">
        <v>133</v>
      </c>
      <c r="G2" s="167" t="s">
        <v>79</v>
      </c>
    </row>
    <row r="3" spans="1:17" x14ac:dyDescent="0.2">
      <c r="A3" s="269" t="s">
        <v>3</v>
      </c>
      <c r="B3" s="179"/>
      <c r="C3" s="178"/>
      <c r="D3" s="178"/>
      <c r="E3" s="178"/>
      <c r="F3" s="178"/>
      <c r="G3" s="260"/>
    </row>
    <row r="4" spans="1:17" x14ac:dyDescent="0.2">
      <c r="A4" s="59" t="s">
        <v>29</v>
      </c>
      <c r="B4" s="413"/>
      <c r="C4" s="177"/>
      <c r="D4" s="177"/>
      <c r="E4" s="177"/>
      <c r="F4" s="177"/>
      <c r="G4" s="247"/>
    </row>
    <row r="5" spans="1:17" x14ac:dyDescent="0.2">
      <c r="A5" s="59" t="s">
        <v>30</v>
      </c>
      <c r="B5" s="413">
        <f>'[3]Charter Misc'!$FG$22</f>
        <v>181</v>
      </c>
      <c r="C5" s="177">
        <f>[3]Ryan!$FG$22</f>
        <v>0</v>
      </c>
      <c r="D5" s="177">
        <f>'[3]Charter Misc'!$FG$32</f>
        <v>105</v>
      </c>
      <c r="E5" s="177">
        <f>[3]Omni!$FG$32</f>
        <v>0</v>
      </c>
      <c r="F5" s="177">
        <f>[3]Xtra!$FG$32+[3]Xtra!$FG$22</f>
        <v>0</v>
      </c>
      <c r="G5" s="333">
        <f>SUM(B5:F5)</f>
        <v>286</v>
      </c>
    </row>
    <row r="6" spans="1:17" x14ac:dyDescent="0.2">
      <c r="A6" s="59" t="s">
        <v>31</v>
      </c>
      <c r="B6" s="414">
        <f>'[3]Charter Misc'!$FG$23</f>
        <v>181</v>
      </c>
      <c r="C6" s="180">
        <f>[3]Ryan!$FG$23</f>
        <v>0</v>
      </c>
      <c r="D6" s="180">
        <f>'[3]Charter Misc'!$FG$33</f>
        <v>0</v>
      </c>
      <c r="E6" s="180">
        <f>[3]Omni!$FG$33</f>
        <v>0</v>
      </c>
      <c r="F6" s="180">
        <f>[3]Xtra!$FG$33+[3]Xtra!$FG$23</f>
        <v>0</v>
      </c>
      <c r="G6" s="332">
        <f>SUM(B6:F6)</f>
        <v>181</v>
      </c>
    </row>
    <row r="7" spans="1:17" ht="15.75" thickBot="1" x14ac:dyDescent="0.3">
      <c r="A7" s="176" t="s">
        <v>7</v>
      </c>
      <c r="B7" s="415">
        <f>SUM(B5:B6)</f>
        <v>362</v>
      </c>
      <c r="C7" s="288">
        <f>SUM(C5:C6)</f>
        <v>0</v>
      </c>
      <c r="D7" s="288">
        <f>SUM(D5:D6)</f>
        <v>105</v>
      </c>
      <c r="E7" s="288">
        <f>SUM(E5:E6)</f>
        <v>0</v>
      </c>
      <c r="F7" s="288">
        <f>SUM(F5:F6)</f>
        <v>0</v>
      </c>
      <c r="G7" s="289">
        <f>SUM(B7:F7)</f>
        <v>467</v>
      </c>
    </row>
    <row r="8" spans="1:17" ht="13.5" thickBot="1" x14ac:dyDescent="0.25"/>
    <row r="9" spans="1:17" x14ac:dyDescent="0.2">
      <c r="A9" s="174" t="s">
        <v>9</v>
      </c>
      <c r="B9" s="416"/>
      <c r="C9" s="44"/>
      <c r="D9" s="44"/>
      <c r="E9" s="44"/>
      <c r="F9" s="44"/>
      <c r="G9" s="55"/>
    </row>
    <row r="10" spans="1:17" x14ac:dyDescent="0.2">
      <c r="A10" s="175" t="s">
        <v>80</v>
      </c>
      <c r="B10" s="413">
        <f>'[3]Charter Misc'!$FG$4</f>
        <v>3</v>
      </c>
      <c r="C10" s="177">
        <f>[3]Ryan!$FG$4</f>
        <v>0</v>
      </c>
      <c r="D10" s="177">
        <f>'[3]Charter Misc'!$FG$15</f>
        <v>0</v>
      </c>
      <c r="E10" s="177">
        <f>[3]Omni!$FG$15</f>
        <v>0</v>
      </c>
      <c r="F10" s="177">
        <f>[3]Xtra!$FG$15+[3]Xtra!$FG$4</f>
        <v>0</v>
      </c>
      <c r="G10" s="332">
        <f>SUM(B10:F10)</f>
        <v>3</v>
      </c>
    </row>
    <row r="11" spans="1:17" x14ac:dyDescent="0.2">
      <c r="A11" s="175" t="s">
        <v>81</v>
      </c>
      <c r="B11" s="413">
        <f>'[3]Charter Misc'!$FG$5</f>
        <v>2</v>
      </c>
      <c r="C11" s="177">
        <f>[3]Ryan!$FG$5</f>
        <v>0</v>
      </c>
      <c r="D11" s="177">
        <f>'[3]Charter Misc'!$FG$16</f>
        <v>0</v>
      </c>
      <c r="E11" s="177">
        <f>[3]Omni!$FG$16</f>
        <v>0</v>
      </c>
      <c r="F11" s="177">
        <f>[3]Xtra!$FG$16+[3]Xtra!$FG$5</f>
        <v>0</v>
      </c>
      <c r="G11" s="332">
        <f>SUM(B11:F11)</f>
        <v>2</v>
      </c>
    </row>
    <row r="12" spans="1:17" ht="15.75" thickBot="1" x14ac:dyDescent="0.3">
      <c r="A12" s="268" t="s">
        <v>28</v>
      </c>
      <c r="B12" s="417">
        <f>SUM(B10:B11)</f>
        <v>5</v>
      </c>
      <c r="C12" s="290">
        <f>SUM(C10:C11)</f>
        <v>0</v>
      </c>
      <c r="D12" s="290">
        <f>SUM(D10:D11)</f>
        <v>0</v>
      </c>
      <c r="E12" s="290">
        <f>SUM(E10:E11)</f>
        <v>0</v>
      </c>
      <c r="F12" s="290">
        <f>SUM(F10:F11)</f>
        <v>0</v>
      </c>
      <c r="G12" s="291">
        <f>SUM(B12:F12)</f>
        <v>5</v>
      </c>
      <c r="Q12" s="123"/>
    </row>
    <row r="17" spans="1:16" x14ac:dyDescent="0.2">
      <c r="B17" s="536" t="s">
        <v>154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8"/>
    </row>
    <row r="18" spans="1:16" ht="13.5" thickBot="1" x14ac:dyDescent="0.25">
      <c r="A18" s="307"/>
      <c r="E18" s="219"/>
      <c r="G18" s="219"/>
      <c r="H18" s="219"/>
      <c r="L18" s="226"/>
      <c r="N18" s="227"/>
    </row>
    <row r="19" spans="1:16" ht="13.5" customHeight="1" thickBot="1" x14ac:dyDescent="0.25">
      <c r="A19" s="399"/>
      <c r="B19" s="539" t="s">
        <v>121</v>
      </c>
      <c r="C19" s="540"/>
      <c r="D19" s="540"/>
      <c r="E19" s="541"/>
      <c r="G19" s="539" t="s">
        <v>122</v>
      </c>
      <c r="H19" s="542"/>
      <c r="I19" s="542"/>
      <c r="J19" s="543"/>
      <c r="L19" s="544" t="s">
        <v>123</v>
      </c>
      <c r="M19" s="545"/>
      <c r="N19" s="545"/>
      <c r="O19" s="546"/>
    </row>
    <row r="20" spans="1:16" ht="13.5" thickBot="1" x14ac:dyDescent="0.25">
      <c r="A20" s="230" t="s">
        <v>102</v>
      </c>
      <c r="B20" s="235" t="s">
        <v>103</v>
      </c>
      <c r="C20" s="8" t="s">
        <v>104</v>
      </c>
      <c r="D20" s="8" t="s">
        <v>199</v>
      </c>
      <c r="E20" s="8" t="s">
        <v>173</v>
      </c>
      <c r="F20" s="236" t="s">
        <v>99</v>
      </c>
      <c r="G20" s="8" t="s">
        <v>103</v>
      </c>
      <c r="H20" s="8" t="s">
        <v>104</v>
      </c>
      <c r="I20" s="449" t="s">
        <v>199</v>
      </c>
      <c r="J20" s="449" t="s">
        <v>173</v>
      </c>
      <c r="K20" s="236" t="s">
        <v>99</v>
      </c>
      <c r="L20" s="235" t="s">
        <v>103</v>
      </c>
      <c r="M20" s="229" t="s">
        <v>104</v>
      </c>
      <c r="N20" s="449" t="s">
        <v>199</v>
      </c>
      <c r="O20" s="449" t="s">
        <v>173</v>
      </c>
      <c r="P20" s="236" t="s">
        <v>99</v>
      </c>
    </row>
    <row r="21" spans="1:16" ht="14.1" customHeight="1" x14ac:dyDescent="0.2">
      <c r="A21" s="239" t="s">
        <v>105</v>
      </c>
      <c r="B21" s="499">
        <f>+[4]Charter!$B$21</f>
        <v>129673</v>
      </c>
      <c r="C21" s="500">
        <f>+[4]Charter!$C$21</f>
        <v>127074</v>
      </c>
      <c r="D21" s="327">
        <f t="shared" ref="D21:D31" si="0">SUM(B21:C21)</f>
        <v>256747</v>
      </c>
      <c r="E21" s="328">
        <f>[5]Charter!$D$21</f>
        <v>268275</v>
      </c>
      <c r="F21" s="331">
        <f t="shared" ref="F21:F32" si="1">(D21-E21)/E21</f>
        <v>-4.2970832168483832E-2</v>
      </c>
      <c r="G21" s="326">
        <f t="shared" ref="G21:H23" si="2">L21-B21</f>
        <v>1206061</v>
      </c>
      <c r="H21" s="327">
        <f t="shared" si="2"/>
        <v>1229618</v>
      </c>
      <c r="I21" s="327">
        <f>SUM(G21:H21)</f>
        <v>2435679</v>
      </c>
      <c r="J21" s="328">
        <f>[5]Charter!$I$21</f>
        <v>2429109</v>
      </c>
      <c r="K21" s="240">
        <f t="shared" ref="K21:K32" si="3">(I21-J21)/J21</f>
        <v>2.7046954253596689E-3</v>
      </c>
      <c r="L21" s="326">
        <f>+[4]Charter!$L$21</f>
        <v>1335734</v>
      </c>
      <c r="M21" s="327">
        <f>+[4]Charter!$M$21</f>
        <v>1356692</v>
      </c>
      <c r="N21" s="327">
        <f t="shared" ref="N21:N32" si="4">SUM(L21:M21)</f>
        <v>2692426</v>
      </c>
      <c r="O21" s="328">
        <f>[5]Charter!$N$21</f>
        <v>2697384</v>
      </c>
      <c r="P21" s="240">
        <f>(N21-O21)/O21</f>
        <v>-1.8380771888615044E-3</v>
      </c>
    </row>
    <row r="22" spans="1:16" ht="14.1" customHeight="1" x14ac:dyDescent="0.2">
      <c r="A22" s="241" t="s">
        <v>106</v>
      </c>
      <c r="B22" s="322">
        <f>+[6]Charter!$B$22</f>
        <v>134960</v>
      </c>
      <c r="C22" s="324">
        <f>+[6]Charter!$C$22</f>
        <v>137503</v>
      </c>
      <c r="D22" s="323">
        <f t="shared" si="0"/>
        <v>272463</v>
      </c>
      <c r="E22" s="330">
        <f>[7]Charter!$D$22</f>
        <v>281871</v>
      </c>
      <c r="F22" s="325">
        <f t="shared" si="1"/>
        <v>-3.3376970316208475E-2</v>
      </c>
      <c r="G22" s="322">
        <f t="shared" si="2"/>
        <v>1162157</v>
      </c>
      <c r="H22" s="324">
        <f t="shared" si="2"/>
        <v>1175802</v>
      </c>
      <c r="I22" s="323">
        <f>SUM(G22:H22)</f>
        <v>2337959</v>
      </c>
      <c r="J22" s="330">
        <f>[7]Charter!$I$22</f>
        <v>2359956</v>
      </c>
      <c r="K22" s="243">
        <f t="shared" si="3"/>
        <v>-9.3209364920362921E-3</v>
      </c>
      <c r="L22" s="322">
        <f>+[6]Charter!$L$22</f>
        <v>1297117</v>
      </c>
      <c r="M22" s="324">
        <f>+[6]Charter!$M$22</f>
        <v>1313305</v>
      </c>
      <c r="N22" s="323">
        <f t="shared" si="4"/>
        <v>2610422</v>
      </c>
      <c r="O22" s="330">
        <f>[7]Charter!$N$22</f>
        <v>2641827</v>
      </c>
      <c r="P22" s="242">
        <f t="shared" ref="P22:P32" si="5">(N22-O22)/O22</f>
        <v>-1.1887606569241664E-2</v>
      </c>
    </row>
    <row r="23" spans="1:16" ht="14.1" customHeight="1" x14ac:dyDescent="0.2">
      <c r="A23" s="241" t="s">
        <v>107</v>
      </c>
      <c r="B23" s="322">
        <f>+[8]Charter!$B$23</f>
        <v>173394</v>
      </c>
      <c r="C23" s="324">
        <f>+[8]Charter!$C$23</f>
        <v>175057</v>
      </c>
      <c r="D23" s="323">
        <f t="shared" si="0"/>
        <v>348451</v>
      </c>
      <c r="E23" s="330">
        <f>[9]Charter!$D$23</f>
        <v>340464</v>
      </c>
      <c r="F23" s="242">
        <f t="shared" si="1"/>
        <v>2.3459161614737534E-2</v>
      </c>
      <c r="G23" s="322">
        <f t="shared" si="2"/>
        <v>1526700</v>
      </c>
      <c r="H23" s="324">
        <f t="shared" si="2"/>
        <v>1556530</v>
      </c>
      <c r="I23" s="323">
        <f>SUM(G23:H23)</f>
        <v>3083230</v>
      </c>
      <c r="J23" s="330">
        <f>[9]Charter!$I$23</f>
        <v>2975759</v>
      </c>
      <c r="K23" s="243">
        <f t="shared" si="3"/>
        <v>3.611549187955073E-2</v>
      </c>
      <c r="L23" s="322">
        <f>+[8]Charter!$L$23</f>
        <v>1700094</v>
      </c>
      <c r="M23" s="324">
        <f>+[8]Charter!$M$23</f>
        <v>1731587</v>
      </c>
      <c r="N23" s="323">
        <f t="shared" ref="N23" si="6">SUM(L23:M23)</f>
        <v>3431681</v>
      </c>
      <c r="O23" s="330">
        <f>[9]Charter!$N$23</f>
        <v>3316223</v>
      </c>
      <c r="P23" s="242">
        <f t="shared" si="5"/>
        <v>3.4816114597842181E-2</v>
      </c>
    </row>
    <row r="24" spans="1:16" ht="14.1" customHeight="1" x14ac:dyDescent="0.2">
      <c r="A24" s="241" t="s">
        <v>108</v>
      </c>
      <c r="B24" s="322">
        <f>+[10]Charter!$B$24</f>
        <v>133972</v>
      </c>
      <c r="C24" s="324">
        <f>+[10]Charter!$C$24</f>
        <v>117419</v>
      </c>
      <c r="D24" s="323">
        <f t="shared" si="0"/>
        <v>251391</v>
      </c>
      <c r="E24" s="330">
        <f>[11]Charter!$D$24</f>
        <v>226655</v>
      </c>
      <c r="F24" s="242">
        <f t="shared" si="1"/>
        <v>0.10913502900884604</v>
      </c>
      <c r="G24" s="322">
        <f t="shared" ref="G24:G25" si="7">L24-B24</f>
        <v>1461023</v>
      </c>
      <c r="H24" s="324">
        <f t="shared" ref="H24:H25" si="8">M24-C24</f>
        <v>1382650</v>
      </c>
      <c r="I24" s="323">
        <f t="shared" ref="I24:I25" si="9">SUM(G24:H24)</f>
        <v>2843673</v>
      </c>
      <c r="J24" s="330">
        <f>[11]Charter!$I$24</f>
        <v>2776287</v>
      </c>
      <c r="K24" s="243">
        <f t="shared" si="3"/>
        <v>2.4271986289601904E-2</v>
      </c>
      <c r="L24" s="322">
        <f>+[10]Charter!$L$24</f>
        <v>1594995</v>
      </c>
      <c r="M24" s="324">
        <f>+[10]Charter!$M$24</f>
        <v>1500069</v>
      </c>
      <c r="N24" s="323">
        <f t="shared" ref="N24" si="10">SUM(L24:M24)</f>
        <v>3095064</v>
      </c>
      <c r="O24" s="330">
        <f>[11]Charter!$N$24</f>
        <v>3002942</v>
      </c>
      <c r="P24" s="242">
        <f t="shared" si="5"/>
        <v>3.0677249177639795E-2</v>
      </c>
    </row>
    <row r="25" spans="1:16" ht="14.1" customHeight="1" x14ac:dyDescent="0.2">
      <c r="A25" s="228" t="s">
        <v>76</v>
      </c>
      <c r="B25" s="322">
        <f>+[12]Charter!$B$25</f>
        <v>109004</v>
      </c>
      <c r="C25" s="324">
        <f>+[12]Charter!$C$25</f>
        <v>116438</v>
      </c>
      <c r="D25" s="323">
        <f t="shared" si="0"/>
        <v>225442</v>
      </c>
      <c r="E25" s="330">
        <f>[13]Charter!$D$25</f>
        <v>198145</v>
      </c>
      <c r="F25" s="231">
        <f t="shared" si="1"/>
        <v>0.13776274950162759</v>
      </c>
      <c r="G25" s="322">
        <f t="shared" si="7"/>
        <v>1503452</v>
      </c>
      <c r="H25" s="324">
        <f t="shared" si="8"/>
        <v>1476784</v>
      </c>
      <c r="I25" s="323">
        <f t="shared" si="9"/>
        <v>2980236</v>
      </c>
      <c r="J25" s="330">
        <f>[13]Charter!$I$25</f>
        <v>2966121</v>
      </c>
      <c r="K25" s="237">
        <f t="shared" si="3"/>
        <v>4.7587404559692606E-3</v>
      </c>
      <c r="L25" s="322">
        <f>+[12]Charter!$L$25</f>
        <v>1612456</v>
      </c>
      <c r="M25" s="324">
        <f>+[12]Charter!$M$25</f>
        <v>1593222</v>
      </c>
      <c r="N25" s="323">
        <f t="shared" ref="N25" si="11">SUM(L25:M25)</f>
        <v>3205678</v>
      </c>
      <c r="O25" s="330">
        <f>[13]Charter!$N$25</f>
        <v>3164266</v>
      </c>
      <c r="P25" s="231">
        <f t="shared" si="5"/>
        <v>1.308739530747415E-2</v>
      </c>
    </row>
    <row r="26" spans="1:16" ht="14.1" customHeight="1" x14ac:dyDescent="0.2">
      <c r="A26" s="241" t="s">
        <v>109</v>
      </c>
      <c r="B26" s="322">
        <f>+[14]Charter!$B$26</f>
        <v>122393</v>
      </c>
      <c r="C26" s="324">
        <f>+[14]Charter!$C$26</f>
        <v>126058</v>
      </c>
      <c r="D26" s="323">
        <f t="shared" si="0"/>
        <v>248451</v>
      </c>
      <c r="E26" s="330">
        <f>[15]Charter!$D$26</f>
        <v>244833</v>
      </c>
      <c r="F26" s="242">
        <f t="shared" si="1"/>
        <v>1.4777419710578232E-2</v>
      </c>
      <c r="G26" s="322">
        <f t="shared" ref="G26" si="12">L26-B26</f>
        <v>1634451</v>
      </c>
      <c r="H26" s="324">
        <f t="shared" ref="H26" si="13">M26-C26</f>
        <v>1612700</v>
      </c>
      <c r="I26" s="323">
        <f t="shared" ref="I26" si="14">SUM(G26:H26)</f>
        <v>3247151</v>
      </c>
      <c r="J26" s="330">
        <f>[15]Charter!$I$26</f>
        <v>3212037</v>
      </c>
      <c r="K26" s="243">
        <f t="shared" si="3"/>
        <v>1.0932003585263805E-2</v>
      </c>
      <c r="L26" s="322">
        <f>+[14]Charter!$L$26</f>
        <v>1756844</v>
      </c>
      <c r="M26" s="324">
        <f>+[14]Charter!$M$26</f>
        <v>1738758</v>
      </c>
      <c r="N26" s="323">
        <f t="shared" ref="N26" si="15">SUM(L26:M26)</f>
        <v>3495602</v>
      </c>
      <c r="O26" s="330">
        <f>[15]Charter!$N$26</f>
        <v>3456870</v>
      </c>
      <c r="P26" s="242">
        <f t="shared" si="5"/>
        <v>1.1204355385073781E-2</v>
      </c>
    </row>
    <row r="27" spans="1:16" ht="14.1" customHeight="1" x14ac:dyDescent="0.2">
      <c r="A27" s="228" t="s">
        <v>110</v>
      </c>
      <c r="B27" s="322">
        <f>+[2]Charter!$B$27</f>
        <v>138487</v>
      </c>
      <c r="C27" s="324">
        <f>+[2]Charter!$C$27</f>
        <v>125223</v>
      </c>
      <c r="D27" s="323">
        <f t="shared" si="0"/>
        <v>263710</v>
      </c>
      <c r="E27" s="330">
        <f>[16]Charter!$D$27</f>
        <v>275365</v>
      </c>
      <c r="F27" s="231">
        <f t="shared" si="1"/>
        <v>-4.2325640513500261E-2</v>
      </c>
      <c r="G27" s="322">
        <f t="shared" ref="G27" si="16">L27-B27</f>
        <v>1691560</v>
      </c>
      <c r="H27" s="324">
        <f t="shared" ref="H27" si="17">M27-C27</f>
        <v>1706300</v>
      </c>
      <c r="I27" s="323">
        <f t="shared" ref="I27" si="18">SUM(G27:H27)</f>
        <v>3397860</v>
      </c>
      <c r="J27" s="330">
        <f>[16]Charter!$I$27</f>
        <v>3371549</v>
      </c>
      <c r="K27" s="237">
        <f t="shared" si="3"/>
        <v>7.8038314139880511E-3</v>
      </c>
      <c r="L27" s="322">
        <f>+[2]Charter!$L$27</f>
        <v>1830047</v>
      </c>
      <c r="M27" s="324">
        <f>+[2]Charter!$M$27</f>
        <v>1831523</v>
      </c>
      <c r="N27" s="323">
        <f t="shared" ref="N27" si="19">SUM(L27:M27)</f>
        <v>3661570</v>
      </c>
      <c r="O27" s="330">
        <f>[16]Charter!$N$27</f>
        <v>3646914</v>
      </c>
      <c r="P27" s="231">
        <f t="shared" si="5"/>
        <v>4.018740228039378E-3</v>
      </c>
    </row>
    <row r="28" spans="1:16" ht="14.1" customHeight="1" x14ac:dyDescent="0.2">
      <c r="A28" s="241" t="s">
        <v>111</v>
      </c>
      <c r="B28" s="322">
        <f>'Intl Detail'!$P$4+'Intl Detail'!$P$9</f>
        <v>137397</v>
      </c>
      <c r="C28" s="324">
        <f>'Intl Detail'!$P$5+'Intl Detail'!$P$10</f>
        <v>129761</v>
      </c>
      <c r="D28" s="323">
        <f t="shared" si="0"/>
        <v>267158</v>
      </c>
      <c r="E28" s="330">
        <f>[1]Charter!$D$28</f>
        <v>254609</v>
      </c>
      <c r="F28" s="242">
        <f t="shared" si="1"/>
        <v>4.9287338625107514E-2</v>
      </c>
      <c r="G28" s="322">
        <f t="shared" ref="G28" si="20">L28-B28</f>
        <v>1701660</v>
      </c>
      <c r="H28" s="324">
        <f t="shared" ref="H28" si="21">M28-C28</f>
        <v>1699381</v>
      </c>
      <c r="I28" s="323">
        <f t="shared" ref="I28" si="22">SUM(G28:H28)</f>
        <v>3401041</v>
      </c>
      <c r="J28" s="330">
        <f>[1]Charter!$I$28</f>
        <v>3290947</v>
      </c>
      <c r="K28" s="243">
        <f t="shared" si="3"/>
        <v>3.3453592537345631E-2</v>
      </c>
      <c r="L28" s="322">
        <f>'Monthly Summary'!$B$11</f>
        <v>1839057</v>
      </c>
      <c r="M28" s="324">
        <f>'Monthly Summary'!$C$11</f>
        <v>1829142</v>
      </c>
      <c r="N28" s="323">
        <f t="shared" ref="N28" si="23">SUM(L28:M28)</f>
        <v>3668199</v>
      </c>
      <c r="O28" s="330">
        <f>[1]Charter!$N$28</f>
        <v>3545556</v>
      </c>
      <c r="P28" s="242">
        <f t="shared" si="5"/>
        <v>3.4590625560560882E-2</v>
      </c>
    </row>
    <row r="29" spans="1:16" ht="14.1" customHeight="1" x14ac:dyDescent="0.2">
      <c r="A29" s="228" t="s">
        <v>112</v>
      </c>
      <c r="B29" s="322"/>
      <c r="C29" s="324"/>
      <c r="D29" s="323">
        <f t="shared" si="0"/>
        <v>0</v>
      </c>
      <c r="E29" s="329"/>
      <c r="F29" s="231" t="e">
        <f t="shared" si="1"/>
        <v>#DIV/0!</v>
      </c>
      <c r="G29" s="322"/>
      <c r="H29" s="324"/>
      <c r="I29" s="323">
        <f t="shared" ref="I29:I32" si="24">SUM(G29:H29)</f>
        <v>0</v>
      </c>
      <c r="J29" s="329"/>
      <c r="K29" s="237" t="e">
        <f t="shared" si="3"/>
        <v>#DIV/0!</v>
      </c>
      <c r="L29" s="322"/>
      <c r="M29" s="324"/>
      <c r="N29" s="323">
        <f t="shared" si="4"/>
        <v>0</v>
      </c>
      <c r="O29" s="329"/>
      <c r="P29" s="231" t="e">
        <f t="shared" si="5"/>
        <v>#DIV/0!</v>
      </c>
    </row>
    <row r="30" spans="1:16" ht="14.1" customHeight="1" x14ac:dyDescent="0.2">
      <c r="A30" s="241" t="s">
        <v>113</v>
      </c>
      <c r="B30" s="322"/>
      <c r="C30" s="324"/>
      <c r="D30" s="323">
        <f t="shared" si="0"/>
        <v>0</v>
      </c>
      <c r="E30" s="329"/>
      <c r="F30" s="242" t="e">
        <f t="shared" si="1"/>
        <v>#DIV/0!</v>
      </c>
      <c r="G30" s="322"/>
      <c r="H30" s="324"/>
      <c r="I30" s="323">
        <f>SUM(G30:H30)</f>
        <v>0</v>
      </c>
      <c r="J30" s="329"/>
      <c r="K30" s="243" t="e">
        <f t="shared" si="3"/>
        <v>#DIV/0!</v>
      </c>
      <c r="L30" s="322"/>
      <c r="M30" s="324"/>
      <c r="N30" s="323">
        <f>SUM(L30:M30)</f>
        <v>0</v>
      </c>
      <c r="O30" s="329"/>
      <c r="P30" s="242" t="e">
        <f t="shared" si="5"/>
        <v>#DIV/0!</v>
      </c>
    </row>
    <row r="31" spans="1:16" ht="14.1" customHeight="1" x14ac:dyDescent="0.2">
      <c r="A31" s="228" t="s">
        <v>114</v>
      </c>
      <c r="B31" s="322"/>
      <c r="C31" s="324"/>
      <c r="D31" s="323">
        <f t="shared" si="0"/>
        <v>0</v>
      </c>
      <c r="E31" s="329"/>
      <c r="F31" s="231" t="e">
        <f t="shared" si="1"/>
        <v>#DIV/0!</v>
      </c>
      <c r="G31" s="322"/>
      <c r="H31" s="324"/>
      <c r="I31" s="323">
        <f t="shared" si="24"/>
        <v>0</v>
      </c>
      <c r="J31" s="329"/>
      <c r="K31" s="237" t="e">
        <f t="shared" si="3"/>
        <v>#DIV/0!</v>
      </c>
      <c r="L31" s="322"/>
      <c r="M31" s="324"/>
      <c r="N31" s="323">
        <f>SUM(L31:M31)</f>
        <v>0</v>
      </c>
      <c r="O31" s="329"/>
      <c r="P31" s="231" t="e">
        <f t="shared" si="5"/>
        <v>#DIV/0!</v>
      </c>
    </row>
    <row r="32" spans="1:16" ht="14.1" customHeight="1" x14ac:dyDescent="0.2">
      <c r="A32" s="244" t="s">
        <v>115</v>
      </c>
      <c r="B32" s="322"/>
      <c r="C32" s="324"/>
      <c r="D32" s="154">
        <f t="shared" ref="D32" si="25">SUM(B32:C32)</f>
        <v>0</v>
      </c>
      <c r="E32" s="329"/>
      <c r="F32" s="245" t="e">
        <f t="shared" si="1"/>
        <v>#DIV/0!</v>
      </c>
      <c r="G32" s="246"/>
      <c r="H32" s="154"/>
      <c r="I32" s="154">
        <f t="shared" si="24"/>
        <v>0</v>
      </c>
      <c r="J32" s="329"/>
      <c r="K32" s="245" t="e">
        <f t="shared" si="3"/>
        <v>#DIV/0!</v>
      </c>
      <c r="L32" s="322"/>
      <c r="M32" s="324"/>
      <c r="N32" s="154">
        <f t="shared" si="4"/>
        <v>0</v>
      </c>
      <c r="O32" s="329"/>
      <c r="P32" s="245" t="e">
        <f t="shared" si="5"/>
        <v>#DIV/0!</v>
      </c>
    </row>
    <row r="33" spans="1:16" ht="13.5" thickBot="1" x14ac:dyDescent="0.25">
      <c r="A33" s="238" t="s">
        <v>77</v>
      </c>
      <c r="B33" s="248">
        <f>SUM(B21:B32)</f>
        <v>1079280</v>
      </c>
      <c r="C33" s="249">
        <f>SUM(C21:C32)</f>
        <v>1054533</v>
      </c>
      <c r="D33" s="249">
        <f>SUM(D21:D32)</f>
        <v>2133813</v>
      </c>
      <c r="E33" s="250">
        <f>SUM(E21:E32)</f>
        <v>2090217</v>
      </c>
      <c r="F33" s="233">
        <f>(D33-E33)/E33</f>
        <v>2.0857164591044853E-2</v>
      </c>
      <c r="G33" s="251">
        <f>SUM(G21:G32)</f>
        <v>11887064</v>
      </c>
      <c r="H33" s="249">
        <f>SUM(H21:H32)</f>
        <v>11839765</v>
      </c>
      <c r="I33" s="249">
        <f>SUM(I21:I32)</f>
        <v>23726829</v>
      </c>
      <c r="J33" s="252">
        <f>SUM(J21:J32)</f>
        <v>23381765</v>
      </c>
      <c r="K33" s="234">
        <f>(I33-J33)/J33</f>
        <v>1.4757825168459268E-2</v>
      </c>
      <c r="L33" s="251">
        <f>SUM(L21:L32)</f>
        <v>12966344</v>
      </c>
      <c r="M33" s="249">
        <f>SUM(M21:M32)</f>
        <v>12894298</v>
      </c>
      <c r="N33" s="249">
        <f>SUM(N21:N32)</f>
        <v>25860642</v>
      </c>
      <c r="O33" s="250">
        <f>SUM(O21:O32)</f>
        <v>25471982</v>
      </c>
      <c r="P33" s="232">
        <f>(N33-O33)/O33</f>
        <v>1.5258333646749594E-2</v>
      </c>
    </row>
    <row r="35" spans="1:16" x14ac:dyDescent="0.2">
      <c r="N35" s="123"/>
      <c r="O35" s="123"/>
    </row>
    <row r="36" spans="1:16" x14ac:dyDescent="0.2">
      <c r="O36" s="123"/>
    </row>
    <row r="37" spans="1:16" x14ac:dyDescent="0.2">
      <c r="N37" s="123"/>
      <c r="O37" s="12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B4" sqref="B4:M35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3" customFormat="1" ht="15.75" thickBot="1" x14ac:dyDescent="0.3">
      <c r="B1" s="550"/>
      <c r="C1" s="550"/>
      <c r="D1" s="550"/>
      <c r="E1" s="447"/>
      <c r="F1" s="551" t="s">
        <v>94</v>
      </c>
      <c r="G1" s="552"/>
      <c r="H1" s="552"/>
      <c r="I1" s="552"/>
      <c r="J1" s="552"/>
      <c r="K1" s="552"/>
      <c r="L1" s="553"/>
    </row>
    <row r="2" spans="1:20" s="184" customFormat="1" ht="30.75" customHeight="1" thickBot="1" x14ac:dyDescent="0.25">
      <c r="A2" s="374">
        <v>42948</v>
      </c>
      <c r="B2" s="436" t="s">
        <v>194</v>
      </c>
      <c r="C2" s="8" t="s">
        <v>82</v>
      </c>
      <c r="D2" s="8" t="s">
        <v>83</v>
      </c>
      <c r="E2" s="192"/>
      <c r="F2" s="173" t="s">
        <v>84</v>
      </c>
      <c r="G2" s="173" t="s">
        <v>195</v>
      </c>
      <c r="H2" s="173" t="s">
        <v>166</v>
      </c>
      <c r="I2" s="95" t="s">
        <v>85</v>
      </c>
      <c r="J2" s="8" t="s">
        <v>86</v>
      </c>
      <c r="K2" s="173" t="s">
        <v>87</v>
      </c>
      <c r="L2" s="173" t="s">
        <v>130</v>
      </c>
      <c r="M2" s="173" t="s">
        <v>21</v>
      </c>
    </row>
    <row r="3" spans="1:20" ht="15" x14ac:dyDescent="0.25">
      <c r="A3" s="193" t="s">
        <v>219</v>
      </c>
      <c r="B3" s="194"/>
      <c r="C3" s="194"/>
      <c r="D3" s="194"/>
      <c r="E3" s="195"/>
      <c r="F3" s="44"/>
      <c r="G3" s="44"/>
      <c r="H3" s="44"/>
      <c r="I3" s="44"/>
      <c r="J3" s="54"/>
      <c r="K3" s="44"/>
      <c r="L3" s="44"/>
      <c r="M3" s="196"/>
    </row>
    <row r="4" spans="1:20" x14ac:dyDescent="0.2">
      <c r="A4" s="52" t="s">
        <v>53</v>
      </c>
      <c r="B4" s="154">
        <f>[3]DHL!$FG$4</f>
        <v>22</v>
      </c>
      <c r="C4" s="154">
        <f>[3]FedEx!$FG$4+[3]FedEx!$FG$15</f>
        <v>140</v>
      </c>
      <c r="D4" s="154">
        <f>[3]UPS!$FG$4+[3]UPS!$FG$15</f>
        <v>124</v>
      </c>
      <c r="E4" s="185"/>
      <c r="F4" s="111">
        <f>[3]ATI_BAX!$FG$4</f>
        <v>0</v>
      </c>
      <c r="G4" s="154">
        <f>[3]IFL!$FG$4+[3]IFL!$FG$15</f>
        <v>19</v>
      </c>
      <c r="H4" s="111">
        <f>'[3]Suburban Air Freight'!$FG$15</f>
        <v>23</v>
      </c>
      <c r="I4" s="111">
        <f>[3]Bemidji!$FG$4</f>
        <v>299</v>
      </c>
      <c r="J4" s="111">
        <f>'[3]CSA Air'!$FG$4</f>
        <v>0</v>
      </c>
      <c r="K4" s="111">
        <f>'[3]Mountain Cargo'!$FG$4</f>
        <v>23</v>
      </c>
      <c r="L4" s="111">
        <f>'[3]Misc Cargo'!$FG$4</f>
        <v>25</v>
      </c>
      <c r="M4" s="197">
        <f>SUM(B4:L4)</f>
        <v>675</v>
      </c>
    </row>
    <row r="5" spans="1:20" x14ac:dyDescent="0.2">
      <c r="A5" s="52" t="s">
        <v>54</v>
      </c>
      <c r="B5" s="191">
        <f>[3]DHL!$FG$5</f>
        <v>22</v>
      </c>
      <c r="C5" s="191">
        <f>[3]FedEx!$FG$5</f>
        <v>140</v>
      </c>
      <c r="D5" s="191">
        <f>[3]UPS!$FG$5+[3]UPS!$FG$16</f>
        <v>124</v>
      </c>
      <c r="E5" s="185"/>
      <c r="F5" s="113">
        <f>[3]ATI_BAX!$FG$5</f>
        <v>0</v>
      </c>
      <c r="G5" s="191">
        <f>[3]IFL!$FG$5</f>
        <v>19</v>
      </c>
      <c r="H5" s="113">
        <f>'[3]Suburban Air Freight'!$FG$16</f>
        <v>23</v>
      </c>
      <c r="I5" s="113">
        <f>[3]Bemidji!$FG$5</f>
        <v>299</v>
      </c>
      <c r="J5" s="113">
        <f>'[3]CSA Air'!$FG$5</f>
        <v>0</v>
      </c>
      <c r="K5" s="113">
        <f>'[3]Mountain Cargo'!$FG$5</f>
        <v>23</v>
      </c>
      <c r="L5" s="113">
        <f>'[3]Misc Cargo'!$FG$5</f>
        <v>25</v>
      </c>
      <c r="M5" s="201">
        <f>SUM(B5:L5)</f>
        <v>675</v>
      </c>
    </row>
    <row r="6" spans="1:20" s="182" customFormat="1" x14ac:dyDescent="0.2">
      <c r="A6" s="198" t="s">
        <v>55</v>
      </c>
      <c r="B6" s="199">
        <f>SUM(B4:B5)</f>
        <v>44</v>
      </c>
      <c r="C6" s="199">
        <f>SUM(C4:C5)</f>
        <v>280</v>
      </c>
      <c r="D6" s="199">
        <f>SUM(D4:D5)</f>
        <v>248</v>
      </c>
      <c r="E6" s="186"/>
      <c r="F6" s="181">
        <f t="shared" ref="F6:L6" si="0">SUM(F4:F5)</f>
        <v>0</v>
      </c>
      <c r="G6" s="199">
        <f>SUM(G4:G5)</f>
        <v>38</v>
      </c>
      <c r="H6" s="181">
        <f t="shared" si="0"/>
        <v>46</v>
      </c>
      <c r="I6" s="181">
        <f t="shared" si="0"/>
        <v>598</v>
      </c>
      <c r="J6" s="181">
        <f t="shared" si="0"/>
        <v>0</v>
      </c>
      <c r="K6" s="181">
        <f t="shared" si="0"/>
        <v>46</v>
      </c>
      <c r="L6" s="181">
        <f t="shared" si="0"/>
        <v>50</v>
      </c>
      <c r="M6" s="200">
        <f>SUM(B6:L6)</f>
        <v>1350</v>
      </c>
    </row>
    <row r="7" spans="1:20" x14ac:dyDescent="0.2">
      <c r="A7" s="52"/>
      <c r="B7" s="154"/>
      <c r="C7" s="154"/>
      <c r="D7" s="154"/>
      <c r="E7" s="185"/>
      <c r="F7" s="111"/>
      <c r="G7" s="154"/>
      <c r="H7" s="111"/>
      <c r="I7" s="111"/>
      <c r="J7" s="111"/>
      <c r="K7" s="111"/>
      <c r="L7" s="111"/>
      <c r="M7" s="197"/>
    </row>
    <row r="8" spans="1:20" x14ac:dyDescent="0.2">
      <c r="A8" s="52" t="s">
        <v>56</v>
      </c>
      <c r="B8" s="154"/>
      <c r="C8" s="154"/>
      <c r="D8" s="154"/>
      <c r="E8" s="185"/>
      <c r="F8" s="111"/>
      <c r="G8" s="154"/>
      <c r="H8" s="111"/>
      <c r="I8" s="111"/>
      <c r="J8" s="111"/>
      <c r="K8" s="111"/>
      <c r="L8" s="111">
        <f>'[3]Misc Cargo'!$FG$8</f>
        <v>0</v>
      </c>
      <c r="M8" s="197">
        <f>SUM(B8:L8)</f>
        <v>0</v>
      </c>
    </row>
    <row r="9" spans="1:20" ht="15" x14ac:dyDescent="0.25">
      <c r="A9" s="52" t="s">
        <v>57</v>
      </c>
      <c r="B9" s="191"/>
      <c r="C9" s="191"/>
      <c r="D9" s="191"/>
      <c r="E9" s="185"/>
      <c r="F9" s="113"/>
      <c r="G9" s="191"/>
      <c r="H9" s="113"/>
      <c r="I9" s="113"/>
      <c r="J9" s="113"/>
      <c r="K9" s="113"/>
      <c r="L9" s="113">
        <f>'[3]Misc Cargo'!$FG$9</f>
        <v>0</v>
      </c>
      <c r="M9" s="201">
        <f>SUM(B9:L9)</f>
        <v>0</v>
      </c>
      <c r="P9" s="15"/>
      <c r="Q9" s="317"/>
      <c r="R9" s="317"/>
      <c r="S9" s="317"/>
      <c r="T9" s="317"/>
    </row>
    <row r="10" spans="1:20" s="182" customFormat="1" x14ac:dyDescent="0.2">
      <c r="A10" s="198" t="s">
        <v>58</v>
      </c>
      <c r="B10" s="199">
        <f>SUM(B8:B9)</f>
        <v>0</v>
      </c>
      <c r="C10" s="199">
        <f>SUM(C8:C9)</f>
        <v>0</v>
      </c>
      <c r="D10" s="199">
        <f>SUM(D8:D9)</f>
        <v>0</v>
      </c>
      <c r="E10" s="186"/>
      <c r="F10" s="181">
        <f t="shared" ref="F10:L10" si="1">SUM(F8:F9)</f>
        <v>0</v>
      </c>
      <c r="G10" s="199">
        <f>SUM(G8:G9)</f>
        <v>0</v>
      </c>
      <c r="H10" s="181">
        <f t="shared" si="1"/>
        <v>0</v>
      </c>
      <c r="I10" s="181">
        <f t="shared" si="1"/>
        <v>0</v>
      </c>
      <c r="J10" s="181">
        <f t="shared" si="1"/>
        <v>0</v>
      </c>
      <c r="K10" s="181">
        <f t="shared" si="1"/>
        <v>0</v>
      </c>
      <c r="L10" s="181">
        <f t="shared" si="1"/>
        <v>0</v>
      </c>
      <c r="M10" s="200">
        <f>SUM(B10:L10)</f>
        <v>0</v>
      </c>
    </row>
    <row r="11" spans="1:20" x14ac:dyDescent="0.2">
      <c r="A11" s="52"/>
      <c r="B11" s="154"/>
      <c r="C11" s="154"/>
      <c r="D11" s="154"/>
      <c r="E11" s="185"/>
      <c r="F11" s="111"/>
      <c r="G11" s="154"/>
      <c r="H11" s="111"/>
      <c r="I11" s="111"/>
      <c r="J11" s="111"/>
      <c r="K11" s="111"/>
      <c r="L11" s="111"/>
      <c r="M11" s="163"/>
    </row>
    <row r="12" spans="1:20" ht="18" customHeight="1" thickBot="1" x14ac:dyDescent="0.25">
      <c r="A12" s="202" t="s">
        <v>28</v>
      </c>
      <c r="B12" s="203">
        <f>B6+B10</f>
        <v>44</v>
      </c>
      <c r="C12" s="203">
        <f>C6+C10</f>
        <v>280</v>
      </c>
      <c r="D12" s="203">
        <f>D6+D10</f>
        <v>248</v>
      </c>
      <c r="E12" s="204"/>
      <c r="F12" s="205">
        <f t="shared" ref="F12:L12" si="2">F6+F10</f>
        <v>0</v>
      </c>
      <c r="G12" s="203">
        <f>G6+G10</f>
        <v>38</v>
      </c>
      <c r="H12" s="205">
        <f t="shared" si="2"/>
        <v>46</v>
      </c>
      <c r="I12" s="205">
        <f t="shared" si="2"/>
        <v>598</v>
      </c>
      <c r="J12" s="205">
        <f t="shared" si="2"/>
        <v>0</v>
      </c>
      <c r="K12" s="205">
        <f t="shared" si="2"/>
        <v>46</v>
      </c>
      <c r="L12" s="205">
        <f t="shared" si="2"/>
        <v>50</v>
      </c>
      <c r="M12" s="206">
        <f>SUM(B12:L12)</f>
        <v>1350</v>
      </c>
    </row>
    <row r="13" spans="1:20" ht="18" customHeight="1" thickBot="1" x14ac:dyDescent="0.25">
      <c r="A13" s="170"/>
      <c r="B13" s="187"/>
      <c r="C13" s="187"/>
      <c r="D13" s="187"/>
      <c r="E13" s="188"/>
      <c r="F13" s="189"/>
      <c r="G13" s="187"/>
      <c r="H13" s="189"/>
      <c r="I13" s="171"/>
      <c r="J13" s="171"/>
      <c r="K13" s="171"/>
      <c r="L13" s="171"/>
      <c r="M13" s="5"/>
    </row>
    <row r="14" spans="1:20" ht="15" x14ac:dyDescent="0.25">
      <c r="A14" s="207" t="s">
        <v>95</v>
      </c>
      <c r="B14" s="208"/>
      <c r="C14" s="208"/>
      <c r="D14" s="208"/>
      <c r="E14" s="209"/>
      <c r="F14" s="168"/>
      <c r="G14" s="208"/>
      <c r="H14" s="168"/>
      <c r="I14" s="78"/>
      <c r="J14" s="78"/>
      <c r="K14" s="78"/>
      <c r="L14" s="78"/>
      <c r="M14" s="210"/>
    </row>
    <row r="15" spans="1:20" x14ac:dyDescent="0.2">
      <c r="A15" s="211" t="s">
        <v>96</v>
      </c>
      <c r="B15" s="154"/>
      <c r="C15" s="154"/>
      <c r="D15" s="154"/>
      <c r="E15" s="185"/>
      <c r="F15" s="111"/>
      <c r="G15" s="154"/>
      <c r="H15" s="111"/>
      <c r="I15" s="5"/>
      <c r="J15" s="5"/>
      <c r="K15" s="5"/>
      <c r="L15" s="5"/>
      <c r="M15" s="172"/>
    </row>
    <row r="16" spans="1:20" x14ac:dyDescent="0.2">
      <c r="A16" s="52" t="s">
        <v>37</v>
      </c>
      <c r="B16" s="154">
        <f>[3]DHL!$FG$47</f>
        <v>773396</v>
      </c>
      <c r="C16" s="154">
        <f>[3]FedEx!$FG$47</f>
        <v>9175456</v>
      </c>
      <c r="D16" s="154">
        <f>[3]UPS!$FG$47</f>
        <v>6694499</v>
      </c>
      <c r="E16" s="185"/>
      <c r="F16" s="111">
        <f>[3]ATI_BAX!$FG$47</f>
        <v>0</v>
      </c>
      <c r="G16" s="154">
        <f>[3]IFL!$FG$47</f>
        <v>21020</v>
      </c>
      <c r="H16" s="111">
        <f>'[3]Suburban Air Freight'!$FG$47</f>
        <v>21493</v>
      </c>
      <c r="I16" s="547" t="s">
        <v>88</v>
      </c>
      <c r="J16" s="111">
        <f>'[3]CSA Air'!$FG$47</f>
        <v>0</v>
      </c>
      <c r="K16" s="111">
        <f>'[3]Mountain Cargo'!$FG$47</f>
        <v>63078</v>
      </c>
      <c r="L16" s="111">
        <f>'[3]Misc Cargo'!$FG$47</f>
        <v>62441</v>
      </c>
      <c r="M16" s="197">
        <f>SUM(B16:H16)+SUM(J16:L16)</f>
        <v>16811383</v>
      </c>
    </row>
    <row r="17" spans="1:14" x14ac:dyDescent="0.2">
      <c r="A17" s="52" t="s">
        <v>38</v>
      </c>
      <c r="B17" s="154">
        <f>[3]DHL!$FG$48</f>
        <v>0</v>
      </c>
      <c r="C17" s="154">
        <f>[3]FedEx!$FG$48</f>
        <v>0</v>
      </c>
      <c r="D17" s="154">
        <f>[3]UPS!$FG$48</f>
        <v>313</v>
      </c>
      <c r="E17" s="185"/>
      <c r="F17" s="111">
        <f>[3]ATI_BAX!$FG$48</f>
        <v>0</v>
      </c>
      <c r="G17" s="154">
        <f>[3]IFL!$FG$48</f>
        <v>0</v>
      </c>
      <c r="H17" s="111">
        <f>'[3]Suburban Air Freight'!$FG$48</f>
        <v>0</v>
      </c>
      <c r="I17" s="548"/>
      <c r="J17" s="111">
        <f>'[3]CSA Air'!$FG$48</f>
        <v>0</v>
      </c>
      <c r="K17" s="111">
        <f>'[3]Mountain Cargo'!$FG$48</f>
        <v>0</v>
      </c>
      <c r="L17" s="111">
        <f>'[3]Misc Cargo'!$FG$48</f>
        <v>0</v>
      </c>
      <c r="M17" s="197">
        <f>SUM(B17:H17)+SUM(J17:L17)</f>
        <v>313</v>
      </c>
    </row>
    <row r="18" spans="1:14" ht="18" customHeight="1" x14ac:dyDescent="0.2">
      <c r="A18" s="212" t="s">
        <v>39</v>
      </c>
      <c r="B18" s="292">
        <f>SUM(B16:B17)</f>
        <v>773396</v>
      </c>
      <c r="C18" s="292">
        <f>SUM(C16:C17)</f>
        <v>9175456</v>
      </c>
      <c r="D18" s="292">
        <f>SUM(D16:D17)</f>
        <v>6694812</v>
      </c>
      <c r="E18" s="190"/>
      <c r="F18" s="293">
        <f>SUM(F16:F17)</f>
        <v>0</v>
      </c>
      <c r="G18" s="292">
        <f>SUM(G16:G17)</f>
        <v>21020</v>
      </c>
      <c r="H18" s="293">
        <f>SUM(H16:H17)</f>
        <v>21493</v>
      </c>
      <c r="I18" s="548"/>
      <c r="J18" s="293">
        <f>SUM(J16:J17)</f>
        <v>0</v>
      </c>
      <c r="K18" s="293">
        <f>SUM(K16:K17)</f>
        <v>63078</v>
      </c>
      <c r="L18" s="293">
        <f>SUM(L16:L17)</f>
        <v>62441</v>
      </c>
      <c r="M18" s="213">
        <f>SUM(B18:H18)+SUM(J18:L18)</f>
        <v>16811696</v>
      </c>
      <c r="N18" s="7"/>
    </row>
    <row r="19" spans="1:14" x14ac:dyDescent="0.2">
      <c r="A19" s="52"/>
      <c r="B19" s="154"/>
      <c r="C19" s="154"/>
      <c r="D19" s="154"/>
      <c r="E19" s="185"/>
      <c r="F19" s="111"/>
      <c r="G19" s="154"/>
      <c r="H19" s="111"/>
      <c r="I19" s="548"/>
      <c r="J19" s="111"/>
      <c r="K19" s="111"/>
      <c r="L19" s="111"/>
      <c r="M19" s="197"/>
    </row>
    <row r="20" spans="1:14" x14ac:dyDescent="0.2">
      <c r="A20" s="214" t="s">
        <v>89</v>
      </c>
      <c r="B20" s="154"/>
      <c r="C20" s="154"/>
      <c r="D20" s="154"/>
      <c r="E20" s="185"/>
      <c r="F20" s="111"/>
      <c r="G20" s="154"/>
      <c r="H20" s="111"/>
      <c r="I20" s="548"/>
      <c r="J20" s="111"/>
      <c r="K20" s="111"/>
      <c r="L20" s="111"/>
      <c r="M20" s="197"/>
    </row>
    <row r="21" spans="1:14" x14ac:dyDescent="0.2">
      <c r="A21" s="52" t="s">
        <v>59</v>
      </c>
      <c r="B21" s="154">
        <f>[3]DHL!$FG$52</f>
        <v>618860</v>
      </c>
      <c r="C21" s="154">
        <f>[3]FedEx!$FG$52</f>
        <v>8857107</v>
      </c>
      <c r="D21" s="154">
        <f>[3]UPS!$FG$52</f>
        <v>5682762</v>
      </c>
      <c r="E21" s="185"/>
      <c r="F21" s="111">
        <f>[3]ATI_BAX!$FG$52</f>
        <v>0</v>
      </c>
      <c r="G21" s="154">
        <f>[3]IFL!$FG$52</f>
        <v>0</v>
      </c>
      <c r="H21" s="111">
        <f>'[3]Suburban Air Freight'!$FG$52</f>
        <v>78258</v>
      </c>
      <c r="I21" s="548"/>
      <c r="J21" s="111">
        <f>'[3]CSA Air'!$FG$52</f>
        <v>0</v>
      </c>
      <c r="K21" s="111">
        <f>'[3]Mountain Cargo'!$FG$52</f>
        <v>141968</v>
      </c>
      <c r="L21" s="111">
        <f>'[3]Misc Cargo'!$FG$52</f>
        <v>40303</v>
      </c>
      <c r="M21" s="197">
        <f>SUM(B21:H21)+SUM(J21:L21)</f>
        <v>15419258</v>
      </c>
    </row>
    <row r="22" spans="1:14" x14ac:dyDescent="0.2">
      <c r="A22" s="52" t="s">
        <v>60</v>
      </c>
      <c r="B22" s="154">
        <f>[3]DHL!$FG$53</f>
        <v>0</v>
      </c>
      <c r="C22" s="154">
        <f>[3]FedEx!$FG$53</f>
        <v>0</v>
      </c>
      <c r="D22" s="154">
        <f>[3]UPS!$FG$53</f>
        <v>744698</v>
      </c>
      <c r="E22" s="185"/>
      <c r="F22" s="111">
        <f>[3]ATI_BAX!$FG$53</f>
        <v>0</v>
      </c>
      <c r="G22" s="154">
        <f>[3]IFL!$FG$53</f>
        <v>0</v>
      </c>
      <c r="H22" s="111">
        <f>'[3]Suburban Air Freight'!$FG$53</f>
        <v>0</v>
      </c>
      <c r="I22" s="548"/>
      <c r="J22" s="111">
        <f>'[3]CSA Air'!$FG$53</f>
        <v>0</v>
      </c>
      <c r="K22" s="111">
        <f>'[3]Mountain Cargo'!$FG$53</f>
        <v>0</v>
      </c>
      <c r="L22" s="111">
        <f>'[3]Misc Cargo'!$FG$53</f>
        <v>0</v>
      </c>
      <c r="M22" s="197">
        <f>SUM(B22:H22)+SUM(J22:L22)</f>
        <v>744698</v>
      </c>
    </row>
    <row r="23" spans="1:14" ht="18" customHeight="1" x14ac:dyDescent="0.2">
      <c r="A23" s="212" t="s">
        <v>41</v>
      </c>
      <c r="B23" s="292">
        <f>SUM(B21:B22)</f>
        <v>618860</v>
      </c>
      <c r="C23" s="292">
        <f>SUM(C21:C22)</f>
        <v>8857107</v>
      </c>
      <c r="D23" s="292">
        <f>SUM(D21:D22)</f>
        <v>6427460</v>
      </c>
      <c r="E23" s="190"/>
      <c r="F23" s="293">
        <f>SUM(F21:F22)</f>
        <v>0</v>
      </c>
      <c r="G23" s="292">
        <f>SUM(G21:G22)</f>
        <v>0</v>
      </c>
      <c r="H23" s="293">
        <f>SUM(H21:H22)</f>
        <v>78258</v>
      </c>
      <c r="I23" s="548"/>
      <c r="J23" s="293">
        <f>SUM(J21:J22)</f>
        <v>0</v>
      </c>
      <c r="K23" s="293">
        <f>SUM(K21:K22)</f>
        <v>141968</v>
      </c>
      <c r="L23" s="293">
        <f>SUM(L21:L22)</f>
        <v>40303</v>
      </c>
      <c r="M23" s="213">
        <f>SUM(B23:H23)+SUM(J23:L23)</f>
        <v>16163956</v>
      </c>
    </row>
    <row r="24" spans="1:14" x14ac:dyDescent="0.2">
      <c r="A24" s="52"/>
      <c r="B24" s="154"/>
      <c r="C24" s="154"/>
      <c r="D24" s="154"/>
      <c r="E24" s="185"/>
      <c r="F24" s="111"/>
      <c r="G24" s="154"/>
      <c r="H24" s="111"/>
      <c r="I24" s="548"/>
      <c r="J24" s="111"/>
      <c r="K24" s="111"/>
      <c r="L24" s="111"/>
      <c r="M24" s="197"/>
    </row>
    <row r="25" spans="1:14" x14ac:dyDescent="0.2">
      <c r="A25" s="214" t="s">
        <v>97</v>
      </c>
      <c r="B25" s="154"/>
      <c r="C25" s="154"/>
      <c r="D25" s="154"/>
      <c r="E25" s="185"/>
      <c r="F25" s="111"/>
      <c r="G25" s="154"/>
      <c r="H25" s="111"/>
      <c r="I25" s="548"/>
      <c r="J25" s="111"/>
      <c r="K25" s="111"/>
      <c r="L25" s="111"/>
      <c r="M25" s="197"/>
    </row>
    <row r="26" spans="1:14" x14ac:dyDescent="0.2">
      <c r="A26" s="52" t="s">
        <v>59</v>
      </c>
      <c r="B26" s="154">
        <f>[3]DHL!$FG$57</f>
        <v>0</v>
      </c>
      <c r="C26" s="154">
        <f>[3]FedEx!$FG$57</f>
        <v>0</v>
      </c>
      <c r="D26" s="154">
        <f>[3]UPS!$FG$57</f>
        <v>0</v>
      </c>
      <c r="E26" s="185"/>
      <c r="F26" s="111">
        <f>[3]ATI_BAX!$FG$57</f>
        <v>0</v>
      </c>
      <c r="G26" s="154">
        <f>[3]IFL!$FG$57</f>
        <v>0</v>
      </c>
      <c r="H26" s="111">
        <f>'[3]Suburban Air Freight'!$FG$57</f>
        <v>0</v>
      </c>
      <c r="I26" s="548"/>
      <c r="J26" s="111">
        <f>'[3]CSA Air'!$FG$57</f>
        <v>0</v>
      </c>
      <c r="K26" s="111">
        <f>'[3]Mountain Cargo'!$FG$57</f>
        <v>0</v>
      </c>
      <c r="L26" s="111">
        <f>'[3]Misc Cargo'!$FG$57</f>
        <v>0</v>
      </c>
      <c r="M26" s="197">
        <f>SUM(B26:H26)+SUM(J26:L26)</f>
        <v>0</v>
      </c>
    </row>
    <row r="27" spans="1:14" x14ac:dyDescent="0.2">
      <c r="A27" s="52" t="s">
        <v>60</v>
      </c>
      <c r="B27" s="154">
        <f>[3]DHL!$FG$58</f>
        <v>0</v>
      </c>
      <c r="C27" s="154">
        <f>[3]FedEx!$FG$58</f>
        <v>0</v>
      </c>
      <c r="D27" s="154">
        <f>[3]UPS!$FG$58</f>
        <v>0</v>
      </c>
      <c r="E27" s="185"/>
      <c r="F27" s="111">
        <f>[3]ATI_BAX!$FG$58</f>
        <v>0</v>
      </c>
      <c r="G27" s="154">
        <f>[3]IFL!$FG$58</f>
        <v>0</v>
      </c>
      <c r="H27" s="111">
        <f>'[3]Suburban Air Freight'!$FG$58</f>
        <v>0</v>
      </c>
      <c r="I27" s="548"/>
      <c r="J27" s="111">
        <f>'[3]CSA Air'!$FG$58</f>
        <v>0</v>
      </c>
      <c r="K27" s="111">
        <f>'[3]Mountain Cargo'!$FG$58</f>
        <v>0</v>
      </c>
      <c r="L27" s="111">
        <f>'[3]Misc Cargo'!$FG$58</f>
        <v>0</v>
      </c>
      <c r="M27" s="197">
        <f>SUM(B27:H27)+SUM(J27:L27)</f>
        <v>0</v>
      </c>
    </row>
    <row r="28" spans="1:14" ht="18" customHeight="1" x14ac:dyDescent="0.2">
      <c r="A28" s="212" t="s">
        <v>43</v>
      </c>
      <c r="B28" s="292">
        <f>SUM(B26:B27)</f>
        <v>0</v>
      </c>
      <c r="C28" s="292">
        <f>SUM(C26:C27)</f>
        <v>0</v>
      </c>
      <c r="D28" s="292">
        <f>SUM(D26:D27)</f>
        <v>0</v>
      </c>
      <c r="E28" s="190"/>
      <c r="F28" s="293">
        <f>SUM(F26:F27)</f>
        <v>0</v>
      </c>
      <c r="G28" s="292">
        <f>SUM(G26:G27)</f>
        <v>0</v>
      </c>
      <c r="H28" s="293">
        <f>SUM(H26:H27)</f>
        <v>0</v>
      </c>
      <c r="I28" s="548"/>
      <c r="J28" s="293">
        <f>SUM(J26:J27)</f>
        <v>0</v>
      </c>
      <c r="K28" s="293">
        <f>SUM(K26:K27)</f>
        <v>0</v>
      </c>
      <c r="L28" s="293">
        <f>SUM(L26:L27)</f>
        <v>0</v>
      </c>
      <c r="M28" s="213">
        <f>SUM(B28:H28)+SUM(J28:L28)</f>
        <v>0</v>
      </c>
    </row>
    <row r="29" spans="1:14" x14ac:dyDescent="0.2">
      <c r="A29" s="52"/>
      <c r="B29" s="154"/>
      <c r="C29" s="154"/>
      <c r="D29" s="154"/>
      <c r="E29" s="185"/>
      <c r="F29" s="111"/>
      <c r="G29" s="154"/>
      <c r="H29" s="111"/>
      <c r="I29" s="548"/>
      <c r="J29" s="111"/>
      <c r="K29" s="111"/>
      <c r="L29" s="111"/>
      <c r="M29" s="197"/>
    </row>
    <row r="30" spans="1:14" x14ac:dyDescent="0.2">
      <c r="A30" s="215" t="s">
        <v>44</v>
      </c>
      <c r="B30" s="154"/>
      <c r="C30" s="154"/>
      <c r="D30" s="154"/>
      <c r="E30" s="185"/>
      <c r="F30" s="111"/>
      <c r="G30" s="154"/>
      <c r="H30" s="111"/>
      <c r="I30" s="548"/>
      <c r="J30" s="111"/>
      <c r="K30" s="111"/>
      <c r="L30" s="111"/>
      <c r="M30" s="197"/>
    </row>
    <row r="31" spans="1:14" x14ac:dyDescent="0.2">
      <c r="A31" s="52" t="s">
        <v>90</v>
      </c>
      <c r="B31" s="154">
        <f t="shared" ref="B31:D33" si="3">B26+B21+B16</f>
        <v>1392256</v>
      </c>
      <c r="C31" s="154">
        <f t="shared" si="3"/>
        <v>18032563</v>
      </c>
      <c r="D31" s="154">
        <f t="shared" si="3"/>
        <v>12377261</v>
      </c>
      <c r="E31" s="185"/>
      <c r="F31" s="111">
        <f t="shared" ref="F31:H33" si="4">F26+F21+F16</f>
        <v>0</v>
      </c>
      <c r="G31" s="154">
        <f t="shared" si="4"/>
        <v>21020</v>
      </c>
      <c r="H31" s="111">
        <f t="shared" si="4"/>
        <v>99751</v>
      </c>
      <c r="I31" s="548"/>
      <c r="J31" s="111">
        <f t="shared" ref="J31:L33" si="5">J26+J21+J16</f>
        <v>0</v>
      </c>
      <c r="K31" s="111">
        <f t="shared" si="5"/>
        <v>205046</v>
      </c>
      <c r="L31" s="111">
        <f>L26+L21+L16</f>
        <v>102744</v>
      </c>
      <c r="M31" s="197">
        <f>SUM(B31:H31)+SUM(J31:L31)</f>
        <v>32230641</v>
      </c>
    </row>
    <row r="32" spans="1:14" x14ac:dyDescent="0.2">
      <c r="A32" s="52" t="s">
        <v>60</v>
      </c>
      <c r="B32" s="154">
        <f t="shared" si="3"/>
        <v>0</v>
      </c>
      <c r="C32" s="154">
        <f t="shared" si="3"/>
        <v>0</v>
      </c>
      <c r="D32" s="154">
        <f t="shared" si="3"/>
        <v>745011</v>
      </c>
      <c r="E32" s="185"/>
      <c r="F32" s="111">
        <f t="shared" si="4"/>
        <v>0</v>
      </c>
      <c r="G32" s="154">
        <f t="shared" si="4"/>
        <v>0</v>
      </c>
      <c r="H32" s="111">
        <f t="shared" si="4"/>
        <v>0</v>
      </c>
      <c r="I32" s="549"/>
      <c r="J32" s="111">
        <f t="shared" si="5"/>
        <v>0</v>
      </c>
      <c r="K32" s="111">
        <f t="shared" si="5"/>
        <v>0</v>
      </c>
      <c r="L32" s="111">
        <f>L27+L22+L17</f>
        <v>0</v>
      </c>
      <c r="M32" s="201">
        <f>SUM(B32:H32)+SUM(J32:L32)</f>
        <v>745011</v>
      </c>
    </row>
    <row r="33" spans="1:13" ht="18" customHeight="1" thickBot="1" x14ac:dyDescent="0.25">
      <c r="A33" s="202" t="s">
        <v>46</v>
      </c>
      <c r="B33" s="203">
        <f t="shared" si="3"/>
        <v>1392256</v>
      </c>
      <c r="C33" s="203">
        <f t="shared" si="3"/>
        <v>18032563</v>
      </c>
      <c r="D33" s="203">
        <f t="shared" si="3"/>
        <v>13122272</v>
      </c>
      <c r="E33" s="216"/>
      <c r="F33" s="205">
        <f t="shared" si="4"/>
        <v>0</v>
      </c>
      <c r="G33" s="203">
        <f t="shared" si="4"/>
        <v>21020</v>
      </c>
      <c r="H33" s="205">
        <f t="shared" si="4"/>
        <v>99751</v>
      </c>
      <c r="I33" s="294">
        <f>I28+I23+I18</f>
        <v>0</v>
      </c>
      <c r="J33" s="205">
        <f t="shared" si="5"/>
        <v>0</v>
      </c>
      <c r="K33" s="205">
        <f t="shared" si="5"/>
        <v>205046</v>
      </c>
      <c r="L33" s="205">
        <f t="shared" si="5"/>
        <v>102744</v>
      </c>
      <c r="M33" s="206">
        <f>SUM(B33:H33)+SUM(J33:L33)</f>
        <v>32975652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83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August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4">
        <v>42948</v>
      </c>
      <c r="B2" s="74" t="s">
        <v>63</v>
      </c>
      <c r="C2" s="74" t="s">
        <v>64</v>
      </c>
      <c r="D2" s="74" t="s">
        <v>65</v>
      </c>
      <c r="E2" s="306" t="s">
        <v>75</v>
      </c>
      <c r="F2" s="75" t="s">
        <v>200</v>
      </c>
      <c r="G2" s="75" t="s">
        <v>174</v>
      </c>
      <c r="H2" s="76" t="s">
        <v>66</v>
      </c>
      <c r="I2" s="77" t="s">
        <v>197</v>
      </c>
      <c r="J2" s="77" t="s">
        <v>172</v>
      </c>
      <c r="K2" s="87" t="s">
        <v>2</v>
      </c>
    </row>
    <row r="3" spans="1:18" ht="20.25" customHeight="1" x14ac:dyDescent="0.2">
      <c r="A3" s="84" t="s">
        <v>67</v>
      </c>
      <c r="B3" s="86"/>
      <c r="C3" s="78"/>
      <c r="D3" s="78"/>
      <c r="E3" s="78"/>
      <c r="F3" s="79"/>
      <c r="G3" s="79"/>
      <c r="H3" s="80"/>
      <c r="I3" s="79"/>
      <c r="J3" s="79"/>
      <c r="K3" s="81"/>
    </row>
    <row r="4" spans="1:18" x14ac:dyDescent="0.2">
      <c r="A4" s="59" t="s">
        <v>68</v>
      </c>
      <c r="B4" s="162"/>
      <c r="C4" s="111"/>
      <c r="D4" s="111"/>
      <c r="E4" s="111"/>
      <c r="F4" s="111"/>
      <c r="G4" s="139"/>
      <c r="H4" s="111"/>
      <c r="I4" s="139"/>
      <c r="J4" s="139"/>
      <c r="K4" s="163"/>
    </row>
    <row r="5" spans="1:18" x14ac:dyDescent="0.2">
      <c r="A5" s="59" t="s">
        <v>69</v>
      </c>
      <c r="B5" s="162">
        <f>'Major Airline Stats'!J28</f>
        <v>6467577</v>
      </c>
      <c r="C5" s="111">
        <f>'Regional Major'!M25</f>
        <v>375</v>
      </c>
      <c r="D5" s="111">
        <f>Cargo!M16</f>
        <v>16811383</v>
      </c>
      <c r="E5" s="111">
        <f>SUM(B5:D5)</f>
        <v>23279335</v>
      </c>
      <c r="F5" s="111">
        <f>E5*0.00045359237</f>
        <v>10559.328734673949</v>
      </c>
      <c r="G5" s="139">
        <f>'[1]Cargo Summary'!F5</f>
        <v>9480.7749829184704</v>
      </c>
      <c r="H5" s="93">
        <f>(F5-G5)/G5</f>
        <v>0.11376219282692721</v>
      </c>
      <c r="I5" s="139">
        <f>+F5+'[2]Cargo Summary'!I5</f>
        <v>74326.740266588808</v>
      </c>
      <c r="J5" s="139">
        <f>'[1]Cargo Summary'!I5</f>
        <v>64442.777005009477</v>
      </c>
      <c r="K5" s="82">
        <f>(I5-J5)/J5</f>
        <v>0.15337581216915896</v>
      </c>
      <c r="M5" s="34"/>
    </row>
    <row r="6" spans="1:18" x14ac:dyDescent="0.2">
      <c r="A6" s="59" t="s">
        <v>16</v>
      </c>
      <c r="B6" s="162">
        <f>'Major Airline Stats'!J29</f>
        <v>2502933</v>
      </c>
      <c r="C6" s="111">
        <f>'Regional Major'!M26</f>
        <v>242</v>
      </c>
      <c r="D6" s="111">
        <f>Cargo!M17</f>
        <v>313</v>
      </c>
      <c r="E6" s="111">
        <f>SUM(B6:D6)</f>
        <v>2503488</v>
      </c>
      <c r="F6" s="111">
        <f>E6*0.00045359237</f>
        <v>1135.56305518656</v>
      </c>
      <c r="G6" s="139">
        <f>'[1]Cargo Summary'!F6</f>
        <v>660.68268807771994</v>
      </c>
      <c r="H6" s="36">
        <f>(F6-G6)/G6</f>
        <v>0.71877222708910615</v>
      </c>
      <c r="I6" s="139">
        <f>+F6+'[2]Cargo Summary'!I6</f>
        <v>7425.2794277654293</v>
      </c>
      <c r="J6" s="139">
        <f>'[1]Cargo Summary'!I6</f>
        <v>4020.7695676126636</v>
      </c>
      <c r="K6" s="82">
        <f>(I6-J6)/J6</f>
        <v>0.84673090633597214</v>
      </c>
      <c r="M6" s="34"/>
    </row>
    <row r="7" spans="1:18" ht="18" customHeight="1" thickBot="1" x14ac:dyDescent="0.25">
      <c r="A7" s="70" t="s">
        <v>72</v>
      </c>
      <c r="B7" s="164">
        <f>SUM(B5:B6)</f>
        <v>8970510</v>
      </c>
      <c r="C7" s="126">
        <f t="shared" ref="C7:J7" si="0">SUM(C5:C6)</f>
        <v>617</v>
      </c>
      <c r="D7" s="126">
        <f t="shared" si="0"/>
        <v>16811696</v>
      </c>
      <c r="E7" s="126">
        <f t="shared" si="0"/>
        <v>25782823</v>
      </c>
      <c r="F7" s="126">
        <f t="shared" si="0"/>
        <v>11694.891789860509</v>
      </c>
      <c r="G7" s="126">
        <f t="shared" si="0"/>
        <v>10141.457670996191</v>
      </c>
      <c r="H7" s="43">
        <f>(F7-G7)/G7</f>
        <v>0.1531766112190186</v>
      </c>
      <c r="I7" s="126">
        <f t="shared" si="0"/>
        <v>81752.01969435424</v>
      </c>
      <c r="J7" s="126">
        <f t="shared" si="0"/>
        <v>68463.546572622145</v>
      </c>
      <c r="K7" s="308">
        <f>(I7-J7)/J7</f>
        <v>0.19409559958505007</v>
      </c>
      <c r="M7" s="34"/>
    </row>
    <row r="8" spans="1:18" ht="13.5" thickTop="1" x14ac:dyDescent="0.2">
      <c r="A8" s="59"/>
      <c r="B8" s="162"/>
      <c r="C8" s="111"/>
      <c r="D8" s="111"/>
      <c r="E8" s="111"/>
      <c r="F8" s="139"/>
      <c r="G8" s="139"/>
      <c r="H8" s="38"/>
      <c r="I8" s="139"/>
      <c r="J8" s="139"/>
      <c r="K8" s="83"/>
      <c r="M8" s="34"/>
    </row>
    <row r="9" spans="1:18" x14ac:dyDescent="0.2">
      <c r="A9" s="59" t="s">
        <v>70</v>
      </c>
      <c r="B9" s="162"/>
      <c r="C9" s="111"/>
      <c r="D9" s="111"/>
      <c r="E9" s="111"/>
      <c r="F9" s="139"/>
      <c r="G9" s="139"/>
      <c r="H9" s="38"/>
      <c r="I9" s="139"/>
      <c r="J9" s="139"/>
      <c r="K9" s="83"/>
      <c r="M9" s="34"/>
    </row>
    <row r="10" spans="1:18" x14ac:dyDescent="0.2">
      <c r="A10" s="59" t="s">
        <v>69</v>
      </c>
      <c r="B10" s="162">
        <f>'Major Airline Stats'!J33</f>
        <v>3245690</v>
      </c>
      <c r="C10" s="111">
        <f>'Regional Major'!M30</f>
        <v>1410</v>
      </c>
      <c r="D10" s="111">
        <f>Cargo!M21</f>
        <v>15419258</v>
      </c>
      <c r="E10" s="111">
        <f>SUM(B10:D10)</f>
        <v>18666358</v>
      </c>
      <c r="F10" s="111">
        <f>E10*0.00045359237</f>
        <v>8466.9175644884599</v>
      </c>
      <c r="G10" s="139">
        <f>'[1]Cargo Summary'!F10</f>
        <v>7381.57897806252</v>
      </c>
      <c r="H10" s="36">
        <f>(F10-G10)/G10</f>
        <v>0.14703339077607677</v>
      </c>
      <c r="I10" s="139">
        <f>+F10+'[2]Cargo Summary'!I10</f>
        <v>60979.033176781719</v>
      </c>
      <c r="J10" s="139">
        <f>'[1]Cargo Summary'!I10</f>
        <v>57311.994237836028</v>
      </c>
      <c r="K10" s="82">
        <f>(I10-J10)/J10</f>
        <v>6.3983795847829664E-2</v>
      </c>
      <c r="M10" s="34"/>
    </row>
    <row r="11" spans="1:18" x14ac:dyDescent="0.2">
      <c r="A11" s="59" t="s">
        <v>16</v>
      </c>
      <c r="B11" s="162">
        <f>'Major Airline Stats'!J34</f>
        <v>2354000</v>
      </c>
      <c r="C11" s="111">
        <f>'Regional Major'!M31</f>
        <v>0</v>
      </c>
      <c r="D11" s="111">
        <f>Cargo!M22</f>
        <v>744698</v>
      </c>
      <c r="E11" s="111">
        <f>SUM(B11:D11)</f>
        <v>3098698</v>
      </c>
      <c r="F11" s="111">
        <f>E11*0.00045359237</f>
        <v>1405.5457697342599</v>
      </c>
      <c r="G11" s="139">
        <f>'[1]Cargo Summary'!F11</f>
        <v>975.75520575763994</v>
      </c>
      <c r="H11" s="34">
        <f>(F11-G11)/G11</f>
        <v>0.44046966025961665</v>
      </c>
      <c r="I11" s="139">
        <f>+F11+'[2]Cargo Summary'!I11</f>
        <v>9752.0957949576696</v>
      </c>
      <c r="J11" s="139">
        <f>'[1]Cargo Summary'!I11</f>
        <v>4758.6593261037597</v>
      </c>
      <c r="K11" s="82">
        <f>(I11-J11)/J11</f>
        <v>1.0493368250721948</v>
      </c>
      <c r="M11" s="34"/>
    </row>
    <row r="12" spans="1:18" ht="18" customHeight="1" thickBot="1" x14ac:dyDescent="0.25">
      <c r="A12" s="70" t="s">
        <v>73</v>
      </c>
      <c r="B12" s="164">
        <f>SUM(B10:B11)</f>
        <v>5599690</v>
      </c>
      <c r="C12" s="126">
        <f t="shared" ref="C12:J12" si="1">SUM(C10:C11)</f>
        <v>1410</v>
      </c>
      <c r="D12" s="126">
        <f t="shared" si="1"/>
        <v>16163956</v>
      </c>
      <c r="E12" s="126">
        <f t="shared" si="1"/>
        <v>21765056</v>
      </c>
      <c r="F12" s="126">
        <f t="shared" si="1"/>
        <v>9872.4633342227207</v>
      </c>
      <c r="G12" s="126">
        <f t="shared" si="1"/>
        <v>8357.3341838201595</v>
      </c>
      <c r="H12" s="43">
        <f>(F12-G12)/G12</f>
        <v>0.18129335468430338</v>
      </c>
      <c r="I12" s="126">
        <f t="shared" si="1"/>
        <v>70731.128971739381</v>
      </c>
      <c r="J12" s="126">
        <f t="shared" si="1"/>
        <v>62070.653563939792</v>
      </c>
      <c r="K12" s="308">
        <f>(I12-J12)/J12</f>
        <v>0.13952608697568039</v>
      </c>
      <c r="M12" s="34"/>
    </row>
    <row r="13" spans="1:18" ht="13.5" thickTop="1" x14ac:dyDescent="0.2">
      <c r="A13" s="59"/>
      <c r="B13" s="162"/>
      <c r="C13" s="111"/>
      <c r="D13" s="111"/>
      <c r="E13" s="111"/>
      <c r="F13" s="139"/>
      <c r="G13" s="139"/>
      <c r="H13" s="38"/>
      <c r="I13" s="139"/>
      <c r="J13" s="139"/>
      <c r="K13" s="83"/>
      <c r="M13" s="34"/>
    </row>
    <row r="14" spans="1:18" x14ac:dyDescent="0.2">
      <c r="A14" s="59" t="s">
        <v>71</v>
      </c>
      <c r="B14" s="162"/>
      <c r="C14" s="111"/>
      <c r="D14" s="111"/>
      <c r="E14" s="111"/>
      <c r="F14" s="139"/>
      <c r="G14" s="139"/>
      <c r="H14" s="38"/>
      <c r="I14" s="139"/>
      <c r="J14" s="139"/>
      <c r="K14" s="83"/>
      <c r="M14" s="34"/>
    </row>
    <row r="15" spans="1:18" x14ac:dyDescent="0.2">
      <c r="A15" s="59" t="s">
        <v>69</v>
      </c>
      <c r="B15" s="162">
        <f>'Major Airline Stats'!J38</f>
        <v>0</v>
      </c>
      <c r="C15" s="111">
        <f>'Regional Major'!M35</f>
        <v>0</v>
      </c>
      <c r="D15" s="111">
        <f>Cargo!M26</f>
        <v>0</v>
      </c>
      <c r="E15" s="111">
        <f>SUM(B15:D15)</f>
        <v>0</v>
      </c>
      <c r="F15" s="111">
        <f>E15*0.00045359237</f>
        <v>0</v>
      </c>
      <c r="G15" s="139">
        <f>'[1]Cargo Summary'!F15</f>
        <v>0</v>
      </c>
      <c r="H15" s="418" t="e">
        <f>(F15-G15)/G15</f>
        <v>#DIV/0!</v>
      </c>
      <c r="I15" s="139">
        <f>+F15+'[2]Cargo Summary'!I15</f>
        <v>0</v>
      </c>
      <c r="J15" s="139">
        <f>'[1]Cargo Summary'!I15</f>
        <v>0</v>
      </c>
      <c r="K15" s="82" t="e">
        <f>(I15-J15)/J15</f>
        <v>#DIV/0!</v>
      </c>
      <c r="L15" s="11"/>
      <c r="M15" s="34"/>
    </row>
    <row r="16" spans="1:18" ht="15" customHeight="1" x14ac:dyDescent="0.2">
      <c r="A16" s="59" t="s">
        <v>16</v>
      </c>
      <c r="B16" s="162">
        <f>'Major Airline Stats'!J39</f>
        <v>0</v>
      </c>
      <c r="C16" s="111">
        <f>'Regional Major'!M36</f>
        <v>0</v>
      </c>
      <c r="D16" s="111">
        <f>Cargo!M27</f>
        <v>0</v>
      </c>
      <c r="E16" s="111">
        <f>SUM(B16:D16)</f>
        <v>0</v>
      </c>
      <c r="F16" s="111">
        <f>E16*0.00045359237</f>
        <v>0</v>
      </c>
      <c r="G16" s="139">
        <f>'[1]Cargo Summary'!F16</f>
        <v>0</v>
      </c>
      <c r="H16" s="36" t="e">
        <f>(F16-G16)/G16</f>
        <v>#DIV/0!</v>
      </c>
      <c r="I16" s="139">
        <f>+F16+'[2]Cargo Summary'!I16</f>
        <v>0</v>
      </c>
      <c r="J16" s="139">
        <f>'[1]Cargo Summary'!I16</f>
        <v>0</v>
      </c>
      <c r="K16" s="82">
        <v>1</v>
      </c>
      <c r="L16" s="11"/>
      <c r="M16" s="34"/>
    </row>
    <row r="17" spans="1:13" ht="18" customHeight="1" thickBot="1" x14ac:dyDescent="0.25">
      <c r="A17" s="70" t="s">
        <v>74</v>
      </c>
      <c r="B17" s="164">
        <f>SUM(B15:B16)</f>
        <v>0</v>
      </c>
      <c r="C17" s="126">
        <f t="shared" ref="C17:J17" si="2">SUM(C15:C16)</f>
        <v>0</v>
      </c>
      <c r="D17" s="126">
        <f t="shared" si="2"/>
        <v>0</v>
      </c>
      <c r="E17" s="126">
        <f t="shared" si="2"/>
        <v>0</v>
      </c>
      <c r="F17" s="126">
        <f t="shared" si="2"/>
        <v>0</v>
      </c>
      <c r="G17" s="126">
        <f t="shared" si="2"/>
        <v>0</v>
      </c>
      <c r="H17" s="43" t="e">
        <f>(F17-G17)/G17</f>
        <v>#DIV/0!</v>
      </c>
      <c r="I17" s="126">
        <f t="shared" si="2"/>
        <v>0</v>
      </c>
      <c r="J17" s="126">
        <f t="shared" si="2"/>
        <v>0</v>
      </c>
      <c r="K17" s="308" t="e">
        <f>(I17-J17)/J17</f>
        <v>#DIV/0!</v>
      </c>
      <c r="M17" s="34"/>
    </row>
    <row r="18" spans="1:13" ht="13.5" thickTop="1" x14ac:dyDescent="0.2">
      <c r="A18" s="59"/>
      <c r="B18" s="162"/>
      <c r="C18" s="111"/>
      <c r="D18" s="111"/>
      <c r="E18" s="111"/>
      <c r="F18" s="139"/>
      <c r="G18" s="139"/>
      <c r="H18" s="38"/>
      <c r="I18" s="139"/>
      <c r="J18" s="139"/>
      <c r="K18" s="83"/>
      <c r="M18" s="34"/>
    </row>
    <row r="19" spans="1:13" x14ac:dyDescent="0.2">
      <c r="A19" s="59" t="s">
        <v>14</v>
      </c>
      <c r="B19" s="162"/>
      <c r="C19" s="111"/>
      <c r="D19" s="111"/>
      <c r="E19" s="111"/>
      <c r="F19" s="139"/>
      <c r="G19" s="139"/>
      <c r="H19" s="38"/>
      <c r="I19" s="139"/>
      <c r="J19" s="139"/>
      <c r="K19" s="83"/>
      <c r="M19" s="34"/>
    </row>
    <row r="20" spans="1:13" x14ac:dyDescent="0.2">
      <c r="A20" s="59" t="s">
        <v>69</v>
      </c>
      <c r="B20" s="162">
        <f t="shared" ref="B20:D21" si="3">B15+B10+B5</f>
        <v>9713267</v>
      </c>
      <c r="C20" s="111">
        <f t="shared" si="3"/>
        <v>1785</v>
      </c>
      <c r="D20" s="111">
        <f t="shared" si="3"/>
        <v>32230641</v>
      </c>
      <c r="E20" s="111">
        <f>SUM(B20:D20)</f>
        <v>41945693</v>
      </c>
      <c r="F20" s="111">
        <f>E20*0.00045359237</f>
        <v>19026.246299162409</v>
      </c>
      <c r="G20" s="139">
        <f>'[1]Cargo Summary'!F20</f>
        <v>16862.353960980989</v>
      </c>
      <c r="H20" s="36">
        <f>(F20-G20)/G20</f>
        <v>0.12832682454588523</v>
      </c>
      <c r="I20" s="139">
        <f>+F20+'[2]Cargo Summary'!I20</f>
        <v>135305.77344337053</v>
      </c>
      <c r="J20" s="139">
        <f>+J5+J10+J15</f>
        <v>121754.77124284551</v>
      </c>
      <c r="K20" s="82">
        <f>(I20-J20)/J20</f>
        <v>0.11129750450187223</v>
      </c>
      <c r="M20" s="34"/>
    </row>
    <row r="21" spans="1:13" x14ac:dyDescent="0.2">
      <c r="A21" s="59" t="s">
        <v>16</v>
      </c>
      <c r="B21" s="162">
        <f t="shared" si="3"/>
        <v>4856933</v>
      </c>
      <c r="C21" s="113">
        <f t="shared" si="3"/>
        <v>242</v>
      </c>
      <c r="D21" s="113">
        <f t="shared" si="3"/>
        <v>745011</v>
      </c>
      <c r="E21" s="111">
        <f>SUM(B21:D21)</f>
        <v>5602186</v>
      </c>
      <c r="F21" s="111">
        <f>E21*0.00045359237</f>
        <v>2541.1088249208201</v>
      </c>
      <c r="G21" s="139">
        <f>'[1]Cargo Summary'!F21</f>
        <v>1636.43789383536</v>
      </c>
      <c r="H21" s="36">
        <f>(F21-G21)/G21</f>
        <v>0.55282937072861371</v>
      </c>
      <c r="I21" s="139">
        <f>+F21+'[2]Cargo Summary'!I21</f>
        <v>17177.375222723098</v>
      </c>
      <c r="J21" s="139">
        <f>+J6+J11+J16</f>
        <v>8779.4288937164238</v>
      </c>
      <c r="K21" s="82">
        <f>(I21-J21)/J21</f>
        <v>0.95654813435726072</v>
      </c>
      <c r="M21" s="34"/>
    </row>
    <row r="22" spans="1:13" ht="18" customHeight="1" thickBot="1" x14ac:dyDescent="0.25">
      <c r="A22" s="85" t="s">
        <v>62</v>
      </c>
      <c r="B22" s="165">
        <f>SUM(B20:B21)</f>
        <v>14570200</v>
      </c>
      <c r="C22" s="166">
        <f t="shared" ref="C22:J22" si="4">SUM(C20:C21)</f>
        <v>2027</v>
      </c>
      <c r="D22" s="166">
        <f t="shared" si="4"/>
        <v>32975652</v>
      </c>
      <c r="E22" s="166">
        <f t="shared" si="4"/>
        <v>47547879</v>
      </c>
      <c r="F22" s="166">
        <f t="shared" si="4"/>
        <v>21567.355124083228</v>
      </c>
      <c r="G22" s="166">
        <f t="shared" si="4"/>
        <v>18498.791854816347</v>
      </c>
      <c r="H22" s="314">
        <f>(F22-G22)/G22</f>
        <v>0.16587911758507348</v>
      </c>
      <c r="I22" s="166">
        <f t="shared" si="4"/>
        <v>152483.14866609362</v>
      </c>
      <c r="J22" s="166">
        <f t="shared" si="4"/>
        <v>130534.20013656194</v>
      </c>
      <c r="K22" s="315">
        <f>(I22-J22)/J22</f>
        <v>0.16814711015633596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N29" sqref="N2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4"/>
      <c r="K1" s="11"/>
    </row>
    <row r="2" spans="1:19" s="217" customFormat="1" ht="26.25" thickBot="1" x14ac:dyDescent="0.25">
      <c r="A2" s="560" t="s">
        <v>217</v>
      </c>
      <c r="B2" s="561"/>
      <c r="C2" s="459" t="s">
        <v>201</v>
      </c>
      <c r="D2" s="461" t="s">
        <v>175</v>
      </c>
      <c r="E2" s="462" t="s">
        <v>98</v>
      </c>
      <c r="F2" s="463" t="s">
        <v>202</v>
      </c>
      <c r="G2" s="461" t="s">
        <v>176</v>
      </c>
      <c r="H2" s="460" t="s">
        <v>99</v>
      </c>
      <c r="I2" s="462" t="s">
        <v>140</v>
      </c>
      <c r="J2" s="560" t="s">
        <v>210</v>
      </c>
      <c r="K2" s="561"/>
      <c r="L2" s="459" t="s">
        <v>203</v>
      </c>
      <c r="M2" s="461" t="s">
        <v>177</v>
      </c>
      <c r="N2" s="464" t="s">
        <v>99</v>
      </c>
      <c r="O2" s="465" t="s">
        <v>204</v>
      </c>
      <c r="P2" s="465" t="s">
        <v>178</v>
      </c>
      <c r="Q2" s="498" t="s">
        <v>99</v>
      </c>
      <c r="R2" s="462" t="s">
        <v>216</v>
      </c>
    </row>
    <row r="3" spans="1:19" s="217" customFormat="1" ht="13.5" customHeight="1" thickBot="1" x14ac:dyDescent="0.25">
      <c r="A3" s="562">
        <v>42948</v>
      </c>
      <c r="B3" s="563"/>
      <c r="C3" s="564" t="s">
        <v>9</v>
      </c>
      <c r="D3" s="565"/>
      <c r="E3" s="565"/>
      <c r="F3" s="565"/>
      <c r="G3" s="565"/>
      <c r="H3" s="566"/>
      <c r="I3" s="466"/>
      <c r="J3" s="562">
        <f>+A3</f>
        <v>42948</v>
      </c>
      <c r="K3" s="563"/>
      <c r="L3" s="554" t="s">
        <v>211</v>
      </c>
      <c r="M3" s="555"/>
      <c r="N3" s="555"/>
      <c r="O3" s="555"/>
      <c r="P3" s="555"/>
      <c r="Q3" s="555"/>
      <c r="R3" s="556"/>
    </row>
    <row r="4" spans="1:19" x14ac:dyDescent="0.2">
      <c r="A4" s="336"/>
      <c r="B4" s="337"/>
      <c r="C4" s="338"/>
      <c r="D4" s="339"/>
      <c r="E4" s="340"/>
      <c r="F4" s="467"/>
      <c r="G4" s="408"/>
      <c r="H4" s="484"/>
      <c r="I4" s="340"/>
      <c r="J4" s="341"/>
      <c r="K4" s="337"/>
      <c r="L4" s="493"/>
      <c r="M4" s="5"/>
      <c r="N4" s="82"/>
      <c r="O4" s="52"/>
      <c r="P4" s="11"/>
      <c r="Q4" s="11"/>
      <c r="R4" s="53"/>
    </row>
    <row r="5" spans="1:19" ht="14.1" customHeight="1" x14ac:dyDescent="0.2">
      <c r="A5" s="343" t="s">
        <v>212</v>
      </c>
      <c r="B5" s="53"/>
      <c r="C5" s="344">
        <f>+[3]DHL!$FG$19</f>
        <v>44</v>
      </c>
      <c r="D5" s="346">
        <f>+[3]DHL!$ER$19</f>
        <v>44</v>
      </c>
      <c r="E5" s="347">
        <f>(C5-D5)/D5</f>
        <v>0</v>
      </c>
      <c r="F5" s="344">
        <f>SUM([3]DHL!$EZ$19:$FG$19)</f>
        <v>346</v>
      </c>
      <c r="G5" s="346">
        <f>+SUM([3]DHL!$EL$19:$ER$19)</f>
        <v>304</v>
      </c>
      <c r="H5" s="345">
        <f>(F5-G5)/G5</f>
        <v>0.13815789473684212</v>
      </c>
      <c r="I5" s="347">
        <f>+F5/$F$24</f>
        <v>3.6041666666666666E-2</v>
      </c>
      <c r="J5" s="343" t="s">
        <v>212</v>
      </c>
      <c r="K5" s="53"/>
      <c r="L5" s="344">
        <f>+[3]DHL!$FG$64</f>
        <v>1392256</v>
      </c>
      <c r="M5" s="346">
        <f>+[3]DHL!$ER$64</f>
        <v>1109987</v>
      </c>
      <c r="N5" s="347">
        <f>(L5-M5)/M5</f>
        <v>0.25429937467736108</v>
      </c>
      <c r="O5" s="344">
        <f>SUM([3]DHL!$EZ$64:$FG$64)</f>
        <v>10202466</v>
      </c>
      <c r="P5" s="346">
        <f>+SUM([3]DHL!$EL$64:$ER$64)</f>
        <v>7868303</v>
      </c>
      <c r="Q5" s="345">
        <f>(O5-P5)/P5</f>
        <v>0.29665392906195909</v>
      </c>
      <c r="R5" s="347">
        <f>O5/$O$24</f>
        <v>4.3657551990669265E-2</v>
      </c>
      <c r="S5" s="19"/>
    </row>
    <row r="6" spans="1:19" ht="14.1" customHeight="1" x14ac:dyDescent="0.2">
      <c r="A6" s="343"/>
      <c r="B6" s="358"/>
      <c r="C6" s="344"/>
      <c r="D6" s="346"/>
      <c r="E6" s="347"/>
      <c r="F6" s="344"/>
      <c r="G6" s="346"/>
      <c r="H6" s="345"/>
      <c r="I6" s="347"/>
      <c r="J6" s="343"/>
      <c r="K6" s="53"/>
      <c r="L6" s="348"/>
      <c r="M6" s="9"/>
      <c r="N6" s="83"/>
      <c r="O6" s="344"/>
      <c r="P6" s="346"/>
      <c r="Q6" s="38"/>
      <c r="R6" s="83"/>
      <c r="S6" s="19"/>
    </row>
    <row r="7" spans="1:19" ht="14.1" customHeight="1" x14ac:dyDescent="0.2">
      <c r="A7" s="343" t="s">
        <v>213</v>
      </c>
      <c r="B7" s="358"/>
      <c r="C7" s="344">
        <f>+[3]FedEx!$FG$19</f>
        <v>280</v>
      </c>
      <c r="D7" s="346">
        <f>+[3]FedEx!$ER$19</f>
        <v>184</v>
      </c>
      <c r="E7" s="347">
        <f>(C7-D7)/D7</f>
        <v>0.52173913043478259</v>
      </c>
      <c r="F7" s="344">
        <f>SUM([3]FedEx!$EZ$19:$FG$19)</f>
        <v>1467</v>
      </c>
      <c r="G7" s="346">
        <f>+SUM([3]FedEx!$EL$19:$ER$19)</f>
        <v>1206</v>
      </c>
      <c r="H7" s="345">
        <f t="shared" ref="H7" si="0">(F7-G7)/G7</f>
        <v>0.21641791044776118</v>
      </c>
      <c r="I7" s="347">
        <f>+F7/$F$24</f>
        <v>0.15281249999999999</v>
      </c>
      <c r="J7" s="343" t="s">
        <v>213</v>
      </c>
      <c r="K7" s="53"/>
      <c r="L7" s="344">
        <f>+[3]FedEx!$FG$64</f>
        <v>18032563</v>
      </c>
      <c r="M7" s="346">
        <f>+[3]FedEx!$ER$64</f>
        <v>15618759</v>
      </c>
      <c r="N7" s="347">
        <f>(L7-M7)/M7</f>
        <v>0.15454518505599579</v>
      </c>
      <c r="O7" s="344">
        <f>SUM([3]FedEx!$EZ$64:$FG$64)</f>
        <v>133579421</v>
      </c>
      <c r="P7" s="346">
        <f>+SUM([3]FedEx!$EL$64:$ER$64)</f>
        <v>111541593</v>
      </c>
      <c r="Q7" s="345">
        <f t="shared" ref="Q7" si="1">(O7-P7)/P7</f>
        <v>0.19757497994492512</v>
      </c>
      <c r="R7" s="347">
        <f>O7/$O$24</f>
        <v>0.57160205358106542</v>
      </c>
      <c r="S7" s="19"/>
    </row>
    <row r="8" spans="1:19" ht="14.1" customHeight="1" x14ac:dyDescent="0.2">
      <c r="A8" s="343"/>
      <c r="B8" s="358"/>
      <c r="C8" s="344"/>
      <c r="D8" s="346"/>
      <c r="E8" s="347"/>
      <c r="F8" s="344"/>
      <c r="G8" s="346"/>
      <c r="H8" s="345"/>
      <c r="I8" s="347"/>
      <c r="J8" s="343"/>
      <c r="K8" s="53"/>
      <c r="L8" s="348"/>
      <c r="M8" s="9"/>
      <c r="N8" s="83"/>
      <c r="O8" s="344"/>
      <c r="P8" s="346"/>
      <c r="Q8" s="38"/>
      <c r="R8" s="83"/>
      <c r="S8" s="19"/>
    </row>
    <row r="9" spans="1:19" ht="14.1" customHeight="1" x14ac:dyDescent="0.2">
      <c r="A9" s="343" t="s">
        <v>83</v>
      </c>
      <c r="B9" s="358"/>
      <c r="C9" s="344">
        <f>+[3]UPS!$FG$19</f>
        <v>248</v>
      </c>
      <c r="D9" s="346">
        <f>+[3]UPS!$ER$19</f>
        <v>208</v>
      </c>
      <c r="E9" s="347">
        <f>(C9-D9)/D9</f>
        <v>0.19230769230769232</v>
      </c>
      <c r="F9" s="344">
        <f>SUM([3]UPS!$EZ$19:$FG$19)</f>
        <v>1754</v>
      </c>
      <c r="G9" s="346">
        <f>+SUM([3]UPS!$EL$19:$ER$19)</f>
        <v>1388</v>
      </c>
      <c r="H9" s="345">
        <f>(F9-G9)/G9</f>
        <v>0.26368876080691644</v>
      </c>
      <c r="I9" s="347">
        <f>+F9/$F$24</f>
        <v>0.18270833333333333</v>
      </c>
      <c r="J9" s="343" t="s">
        <v>83</v>
      </c>
      <c r="K9" s="53"/>
      <c r="L9" s="344">
        <f>+[3]UPS!$FG$64</f>
        <v>13122272</v>
      </c>
      <c r="M9" s="346">
        <f>+[3]UPS!$ER$64</f>
        <v>10134227</v>
      </c>
      <c r="N9" s="347">
        <f>(L9-M9)/M9</f>
        <v>0.29484685906483049</v>
      </c>
      <c r="O9" s="344">
        <f>SUM([3]UPS!$EZ$64:$FG$64)</f>
        <v>86140653</v>
      </c>
      <c r="P9" s="346">
        <f>+SUM([3]UPS!$EL$64:$ER$64)</f>
        <v>58038138</v>
      </c>
      <c r="Q9" s="345">
        <f>(O9-P9)/P9</f>
        <v>0.48420772906256915</v>
      </c>
      <c r="R9" s="347">
        <f>O9/$O$24</f>
        <v>0.36860598573498804</v>
      </c>
      <c r="S9" s="19"/>
    </row>
    <row r="10" spans="1:19" ht="14.1" customHeight="1" x14ac:dyDescent="0.2">
      <c r="A10" s="343"/>
      <c r="B10" s="358"/>
      <c r="C10" s="344"/>
      <c r="D10" s="346"/>
      <c r="E10" s="347"/>
      <c r="F10" s="344"/>
      <c r="G10" s="346"/>
      <c r="H10" s="345"/>
      <c r="I10" s="347"/>
      <c r="J10" s="343"/>
      <c r="K10" s="53"/>
      <c r="L10" s="348"/>
      <c r="M10" s="9"/>
      <c r="N10" s="83"/>
      <c r="O10" s="344"/>
      <c r="P10" s="346"/>
      <c r="Q10" s="38"/>
      <c r="R10" s="83"/>
      <c r="S10" s="19"/>
    </row>
    <row r="11" spans="1:19" ht="14.1" customHeight="1" x14ac:dyDescent="0.2">
      <c r="A11" s="343" t="s">
        <v>195</v>
      </c>
      <c r="B11" s="358"/>
      <c r="C11" s="344">
        <f>+[3]IFL!$FG$19</f>
        <v>38</v>
      </c>
      <c r="D11" s="346">
        <f>+[3]IFL!$ER$19</f>
        <v>62</v>
      </c>
      <c r="E11" s="347">
        <f>(C11-D11)/D11</f>
        <v>-0.38709677419354838</v>
      </c>
      <c r="F11" s="344">
        <f>SUM([3]IFL!$EZ$19:$FG$19)</f>
        <v>440</v>
      </c>
      <c r="G11" s="346">
        <f>+SUM([3]IFL!$EL$19:$ER$19)</f>
        <v>456</v>
      </c>
      <c r="H11" s="345">
        <f>(F11-G11)/G11</f>
        <v>-3.5087719298245612E-2</v>
      </c>
      <c r="I11" s="347">
        <f>+F11/$F$24</f>
        <v>4.583333333333333E-2</v>
      </c>
      <c r="J11" s="343" t="s">
        <v>195</v>
      </c>
      <c r="K11" s="53"/>
      <c r="L11" s="344">
        <f>+[3]IFL!$FG$64</f>
        <v>21020</v>
      </c>
      <c r="M11" s="346">
        <f>+[3]IFL!$ER$64</f>
        <v>75539</v>
      </c>
      <c r="N11" s="347">
        <f>(L11-M11)/M11</f>
        <v>-0.7217331444684203</v>
      </c>
      <c r="O11" s="344">
        <f>SUM([3]IFL!$EZ$64:$FG$64)</f>
        <v>503946</v>
      </c>
      <c r="P11" s="346">
        <f>+SUM([3]IFL!$EL$64:$ER$64)</f>
        <v>540237</v>
      </c>
      <c r="Q11" s="345">
        <f>(O11-P11)/P11</f>
        <v>-6.7176072723637958E-2</v>
      </c>
      <c r="R11" s="347">
        <f>O11/$O$24</f>
        <v>2.1564442062820708E-3</v>
      </c>
      <c r="S11" s="19"/>
    </row>
    <row r="12" spans="1:19" ht="14.1" customHeight="1" x14ac:dyDescent="0.2">
      <c r="A12" s="343"/>
      <c r="B12" s="358"/>
      <c r="C12" s="344"/>
      <c r="D12" s="349"/>
      <c r="E12" s="347"/>
      <c r="F12" s="468"/>
      <c r="G12" s="349"/>
      <c r="H12" s="345"/>
      <c r="I12" s="347"/>
      <c r="J12" s="343"/>
      <c r="K12" s="53"/>
      <c r="L12" s="350"/>
      <c r="M12" s="139"/>
      <c r="N12" s="83"/>
      <c r="O12" s="350"/>
      <c r="P12" s="139"/>
      <c r="Q12" s="38"/>
      <c r="R12" s="83"/>
      <c r="S12" s="19"/>
    </row>
    <row r="13" spans="1:19" ht="14.1" customHeight="1" x14ac:dyDescent="0.2">
      <c r="A13" s="343" t="s">
        <v>166</v>
      </c>
      <c r="B13" s="356"/>
      <c r="C13" s="344">
        <f>+'[3]Suburban Air Freight'!$FG$19</f>
        <v>46</v>
      </c>
      <c r="D13" s="346">
        <f>+'[3]Suburban Air Freight'!$ER$19</f>
        <v>40</v>
      </c>
      <c r="E13" s="347">
        <f>(C13-D13)/D13</f>
        <v>0.15</v>
      </c>
      <c r="F13" s="344">
        <f>SUM('[3]Suburban Air Freight'!$EZ$19:$FG$19)</f>
        <v>352</v>
      </c>
      <c r="G13" s="346">
        <f>+SUM('[3]Suburban Air Freight'!$EL$19:$ER$19)</f>
        <v>294</v>
      </c>
      <c r="H13" s="345">
        <f t="shared" ref="H13" si="2">(F13-G13)/G13</f>
        <v>0.19727891156462585</v>
      </c>
      <c r="I13" s="347">
        <f>+F13/$F$24</f>
        <v>3.6666666666666667E-2</v>
      </c>
      <c r="J13" s="343" t="s">
        <v>166</v>
      </c>
      <c r="K13" s="351"/>
      <c r="L13" s="344">
        <f>+'[3]Suburban Air Freight'!$FG$64</f>
        <v>99751</v>
      </c>
      <c r="M13" s="346">
        <f>+'[3]Suburban Air Freight'!$ER$64</f>
        <v>92987</v>
      </c>
      <c r="N13" s="347">
        <f>(L13-M13)/M13</f>
        <v>7.2741350941529462E-2</v>
      </c>
      <c r="O13" s="344">
        <f>SUM('[3]Suburban Air Freight'!$EZ$64:$FG$64)</f>
        <v>777992</v>
      </c>
      <c r="P13" s="346">
        <f>+SUM('[3]Suburban Air Freight'!$EL$64:$ER$64)</f>
        <v>616950</v>
      </c>
      <c r="Q13" s="345">
        <f t="shared" ref="Q13" si="3">(O13-P13)/P13</f>
        <v>0.26102925682794392</v>
      </c>
      <c r="R13" s="347">
        <f>O13/$O$24</f>
        <v>3.329119272568491E-3</v>
      </c>
      <c r="S13" s="19"/>
    </row>
    <row r="14" spans="1:19" ht="14.1" customHeight="1" x14ac:dyDescent="0.2">
      <c r="A14" s="52"/>
      <c r="B14" s="353"/>
      <c r="C14" s="344"/>
      <c r="D14" s="9"/>
      <c r="E14" s="83"/>
      <c r="F14" s="348"/>
      <c r="G14" s="9"/>
      <c r="H14" s="38"/>
      <c r="I14" s="83"/>
      <c r="J14" s="52"/>
      <c r="K14" s="353"/>
      <c r="L14" s="348"/>
      <c r="M14" s="9"/>
      <c r="N14" s="83"/>
      <c r="O14" s="348"/>
      <c r="P14" s="9"/>
      <c r="Q14" s="38"/>
      <c r="R14" s="83"/>
      <c r="S14" s="19"/>
    </row>
    <row r="15" spans="1:19" ht="14.1" customHeight="1" x14ac:dyDescent="0.2">
      <c r="A15" s="343" t="s">
        <v>85</v>
      </c>
      <c r="B15" s="353"/>
      <c r="C15" s="344">
        <f>+[3]Bemidji!$FG$19</f>
        <v>598</v>
      </c>
      <c r="D15" s="346">
        <f>+[3]Bemidji!$ER$19</f>
        <v>494</v>
      </c>
      <c r="E15" s="347">
        <f>(C15-D15)/D15</f>
        <v>0.21052631578947367</v>
      </c>
      <c r="F15" s="344">
        <f>SUM([3]Bemidji!$EZ$19:$FG$19)</f>
        <v>4340</v>
      </c>
      <c r="G15" s="346">
        <f>+SUM([3]Bemidji!$EL$19:$ER$19)</f>
        <v>3324</v>
      </c>
      <c r="H15" s="345">
        <f t="shared" ref="H15" si="4">(F15-G15)/G15</f>
        <v>0.30565583634175691</v>
      </c>
      <c r="I15" s="347">
        <f>+F15/$F$24</f>
        <v>0.45208333333333334</v>
      </c>
      <c r="J15" s="343" t="s">
        <v>85</v>
      </c>
      <c r="K15" s="353"/>
      <c r="L15" s="557" t="s">
        <v>218</v>
      </c>
      <c r="M15" s="558"/>
      <c r="N15" s="558"/>
      <c r="O15" s="558"/>
      <c r="P15" s="558"/>
      <c r="Q15" s="558"/>
      <c r="R15" s="559"/>
      <c r="S15" s="19"/>
    </row>
    <row r="16" spans="1:19" ht="14.1" customHeight="1" x14ac:dyDescent="0.2">
      <c r="A16" s="52"/>
      <c r="B16" s="353"/>
      <c r="C16" s="344"/>
      <c r="D16" s="9"/>
      <c r="E16" s="83"/>
      <c r="F16" s="348"/>
      <c r="G16" s="9"/>
      <c r="H16" s="38"/>
      <c r="I16" s="83"/>
      <c r="J16" s="52"/>
      <c r="K16" s="353"/>
      <c r="L16" s="348"/>
      <c r="M16" s="9"/>
      <c r="N16" s="83"/>
      <c r="O16" s="348"/>
      <c r="P16" s="9"/>
      <c r="Q16" s="38"/>
      <c r="R16" s="83"/>
      <c r="S16" s="19"/>
    </row>
    <row r="17" spans="1:19" ht="14.1" customHeight="1" x14ac:dyDescent="0.2">
      <c r="A17" s="343" t="s">
        <v>86</v>
      </c>
      <c r="B17" s="353"/>
      <c r="C17" s="344">
        <f>+'[3]CSA Air'!$FG$19</f>
        <v>0</v>
      </c>
      <c r="D17" s="346">
        <f>+'[3]CSA Air'!$ER$19</f>
        <v>40</v>
      </c>
      <c r="E17" s="347">
        <f>(C17-D17)/D17</f>
        <v>-1</v>
      </c>
      <c r="F17" s="344">
        <f>SUM('[3]CSA Air'!$EZ$19:$FG$19)</f>
        <v>222</v>
      </c>
      <c r="G17" s="346">
        <f>+SUM('[3]CSA Air'!$EL$19:$ER$19)</f>
        <v>306</v>
      </c>
      <c r="H17" s="345">
        <f t="shared" ref="H17" si="5">(F17-G17)/G17</f>
        <v>-0.27450980392156865</v>
      </c>
      <c r="I17" s="347">
        <f>+F17/$F$24</f>
        <v>2.3125E-2</v>
      </c>
      <c r="J17" s="343" t="s">
        <v>86</v>
      </c>
      <c r="K17" s="353"/>
      <c r="L17" s="344">
        <f>+'[3]CSA Air'!$FG$64</f>
        <v>0</v>
      </c>
      <c r="M17" s="346">
        <f>+'[3]CSA Air'!$ER$64</f>
        <v>61337</v>
      </c>
      <c r="N17" s="347">
        <f>(L17-M17)/M17</f>
        <v>-1</v>
      </c>
      <c r="O17" s="344">
        <f>SUM('[3]CSA Air'!$EZ$64:$FG$64)</f>
        <v>316444</v>
      </c>
      <c r="P17" s="346">
        <f>+SUM('[3]CSA Air'!$EL$64:$ER$64)</f>
        <v>429160</v>
      </c>
      <c r="Q17" s="345">
        <f t="shared" ref="Q17" si="6">(O17-P17)/P17</f>
        <v>-0.26264330319694285</v>
      </c>
      <c r="R17" s="347">
        <f>O17/$O$24</f>
        <v>1.3541010949838347E-3</v>
      </c>
      <c r="S17" s="19"/>
    </row>
    <row r="18" spans="1:19" ht="14.1" customHeight="1" x14ac:dyDescent="0.2">
      <c r="A18" s="52"/>
      <c r="B18" s="353"/>
      <c r="C18" s="344"/>
      <c r="D18" s="9"/>
      <c r="E18" s="83"/>
      <c r="F18" s="348"/>
      <c r="G18" s="9"/>
      <c r="H18" s="38"/>
      <c r="I18" s="83"/>
      <c r="J18" s="52"/>
      <c r="K18" s="353"/>
      <c r="L18" s="348"/>
      <c r="M18" s="9"/>
      <c r="N18" s="83"/>
      <c r="O18" s="348"/>
      <c r="P18" s="9"/>
      <c r="Q18" s="38"/>
      <c r="R18" s="83"/>
      <c r="S18" s="19"/>
    </row>
    <row r="19" spans="1:19" ht="14.1" customHeight="1" x14ac:dyDescent="0.2">
      <c r="A19" s="343" t="s">
        <v>87</v>
      </c>
      <c r="B19" s="356"/>
      <c r="C19" s="344">
        <f>+'[3]Mountain Cargo'!$FG$19</f>
        <v>46</v>
      </c>
      <c r="D19" s="346">
        <f>+'[3]Mountain Cargo'!$ER$19</f>
        <v>40</v>
      </c>
      <c r="E19" s="347">
        <f>(C19-D19)/D19</f>
        <v>0.15</v>
      </c>
      <c r="F19" s="344">
        <f>SUM('[3]Mountain Cargo'!$EZ$19:$FG$19)</f>
        <v>328</v>
      </c>
      <c r="G19" s="346">
        <f>+SUM('[3]Mountain Cargo'!$EL$19:$ER$19)</f>
        <v>290</v>
      </c>
      <c r="H19" s="345">
        <f>(F19-G19)/G19</f>
        <v>0.1310344827586207</v>
      </c>
      <c r="I19" s="347">
        <f>+F19/$F$24</f>
        <v>3.4166666666666665E-2</v>
      </c>
      <c r="J19" s="343" t="s">
        <v>87</v>
      </c>
      <c r="K19" s="356"/>
      <c r="L19" s="344">
        <f>+'[3]Mountain Cargo'!$FG$64</f>
        <v>205046</v>
      </c>
      <c r="M19" s="346">
        <f>+'[3]Mountain Cargo'!$ER$64</f>
        <v>179781</v>
      </c>
      <c r="N19" s="347">
        <f>(L19-M19)/M19</f>
        <v>0.14053209182282889</v>
      </c>
      <c r="O19" s="344">
        <f>SUM('[3]Mountain Cargo'!$EZ$64:$FG$64)</f>
        <v>1459077</v>
      </c>
      <c r="P19" s="346">
        <f>+SUM('[3]Mountain Cargo'!$EL$64:$ER$64)</f>
        <v>1156987</v>
      </c>
      <c r="Q19" s="345">
        <f t="shared" ref="Q19" si="7">(O19-P19)/P19</f>
        <v>0.26110060009317304</v>
      </c>
      <c r="R19" s="347">
        <f>O19/$O$24</f>
        <v>6.2435620942907074E-3</v>
      </c>
      <c r="S19" s="410"/>
    </row>
    <row r="20" spans="1:19" ht="14.1" customHeight="1" x14ac:dyDescent="0.2">
      <c r="A20" s="52"/>
      <c r="B20" s="424"/>
      <c r="C20" s="344"/>
      <c r="D20" s="9"/>
      <c r="E20" s="83"/>
      <c r="F20" s="348"/>
      <c r="G20" s="9"/>
      <c r="H20" s="38"/>
      <c r="I20" s="83"/>
      <c r="J20" s="52"/>
      <c r="K20" s="424"/>
      <c r="L20" s="348"/>
      <c r="M20" s="9"/>
      <c r="N20" s="83"/>
      <c r="O20" s="348"/>
      <c r="P20" s="9"/>
      <c r="Q20" s="38"/>
      <c r="R20" s="83"/>
      <c r="S20" s="318"/>
    </row>
    <row r="21" spans="1:19" s="7" customFormat="1" ht="14.1" customHeight="1" x14ac:dyDescent="0.2">
      <c r="A21" s="343" t="s">
        <v>130</v>
      </c>
      <c r="B21" s="358"/>
      <c r="C21" s="344">
        <f>+'[3]Misc Cargo'!$FG$19</f>
        <v>50</v>
      </c>
      <c r="D21" s="346">
        <f>+'[3]Misc Cargo'!$ER$19</f>
        <v>40</v>
      </c>
      <c r="E21" s="347">
        <f>(C21-D21)/D21</f>
        <v>0.25</v>
      </c>
      <c r="F21" s="344">
        <f>SUM('[3]Misc Cargo'!$EZ$19:$FG$19)</f>
        <v>351</v>
      </c>
      <c r="G21" s="346">
        <f>+SUM('[3]Misc Cargo'!$EL$19:$ER$19)</f>
        <v>314</v>
      </c>
      <c r="H21" s="345">
        <f>(F21-G21)/G21</f>
        <v>0.1178343949044586</v>
      </c>
      <c r="I21" s="347">
        <f>+F21/$F$24</f>
        <v>3.6562499999999998E-2</v>
      </c>
      <c r="J21" s="343" t="s">
        <v>130</v>
      </c>
      <c r="K21" s="358"/>
      <c r="L21" s="344">
        <f>+'[3]Misc Cargo'!$FG$64</f>
        <v>102744</v>
      </c>
      <c r="M21" s="346">
        <f>+'[3]Misc Cargo'!$ER$64</f>
        <v>68354</v>
      </c>
      <c r="N21" s="347">
        <f>(L21-M21)/M21</f>
        <v>0.50311613073119354</v>
      </c>
      <c r="O21" s="344">
        <f>SUM('[3]Misc Cargo'!$EZ$64:$FG$64)</f>
        <v>713040</v>
      </c>
      <c r="P21" s="346">
        <f>+SUM('[3]Misc Cargo'!$EL$64:$ER$64)</f>
        <v>513798</v>
      </c>
      <c r="Q21" s="345">
        <f>(O21-P21)/P21</f>
        <v>0.38778274730536128</v>
      </c>
      <c r="R21" s="347">
        <f>O21/$O$24</f>
        <v>3.051182025152234E-3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3"/>
      <c r="K22" s="358"/>
      <c r="L22" s="360"/>
      <c r="M22" s="364"/>
      <c r="N22" s="363"/>
      <c r="O22" s="360"/>
      <c r="P22" s="364"/>
      <c r="Q22" s="361"/>
      <c r="R22" s="471"/>
      <c r="S22" s="469"/>
    </row>
    <row r="23" spans="1:19" ht="13.5" thickBot="1" x14ac:dyDescent="0.25">
      <c r="B23" s="7"/>
      <c r="D23" s="220"/>
      <c r="E23" s="220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214</v>
      </c>
      <c r="C24" s="478">
        <f>+SUM(C5:C21)</f>
        <v>1350</v>
      </c>
      <c r="D24" s="479">
        <f>SUM(D5:D22)</f>
        <v>1152</v>
      </c>
      <c r="E24" s="480">
        <f>(C24-D24)/D24</f>
        <v>0.171875</v>
      </c>
      <c r="F24" s="478">
        <f>+SUM(F5:F21)</f>
        <v>9600</v>
      </c>
      <c r="G24" s="478">
        <f>+SUM(G5:G21)</f>
        <v>7882</v>
      </c>
      <c r="H24" s="481">
        <f>(F24-G24)/G24</f>
        <v>0.21796498350672419</v>
      </c>
      <c r="I24" s="497"/>
      <c r="K24" s="477" t="s">
        <v>214</v>
      </c>
      <c r="L24" s="478">
        <f>+SUM(L5:L21)</f>
        <v>32975652</v>
      </c>
      <c r="M24" s="482">
        <f>SUM(M5:M22)</f>
        <v>27340971</v>
      </c>
      <c r="N24" s="483">
        <f>(L24-M24)/M24</f>
        <v>0.20608927897988699</v>
      </c>
      <c r="O24" s="478">
        <f>+SUM(O5:O21)</f>
        <v>233693039</v>
      </c>
      <c r="P24" s="478">
        <f>+SUM(P5:P21)</f>
        <v>180705166</v>
      </c>
      <c r="Q24" s="481">
        <f t="shared" ref="Q24" si="8">(O24-P24)/P24</f>
        <v>0.29322832419743883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4"/>
      <c r="G94" s="5"/>
      <c r="H94" s="36"/>
      <c r="I94" s="36"/>
      <c r="K94" s="11"/>
    </row>
    <row r="95" spans="4:14" x14ac:dyDescent="0.2">
      <c r="E95" s="36"/>
      <c r="F95" s="224"/>
      <c r="G95" s="5"/>
      <c r="H95" s="36"/>
      <c r="I95" s="36"/>
      <c r="K95" s="11"/>
    </row>
    <row r="96" spans="4:14" x14ac:dyDescent="0.2">
      <c r="E96" s="36"/>
      <c r="F96" s="224"/>
      <c r="G96" s="5"/>
      <c r="H96" s="36"/>
      <c r="I96" s="36"/>
      <c r="K96" s="11"/>
    </row>
    <row r="97" spans="5:11" x14ac:dyDescent="0.2">
      <c r="E97" s="36"/>
      <c r="F97" s="224"/>
      <c r="G97" s="5"/>
      <c r="H97" s="36"/>
      <c r="I97" s="36"/>
      <c r="K97" s="11"/>
    </row>
    <row r="98" spans="5:11" x14ac:dyDescent="0.2">
      <c r="E98" s="36"/>
      <c r="F98" s="224"/>
      <c r="G98" s="5"/>
      <c r="H98" s="36"/>
      <c r="I98" s="36"/>
      <c r="K98" s="11"/>
    </row>
    <row r="99" spans="5:11" x14ac:dyDescent="0.2">
      <c r="E99" s="36"/>
      <c r="F99" s="224"/>
      <c r="G99" s="5"/>
      <c r="H99" s="36"/>
      <c r="I99" s="36"/>
      <c r="K99" s="11"/>
    </row>
    <row r="100" spans="5:11" x14ac:dyDescent="0.2">
      <c r="E100" s="36"/>
      <c r="F100" s="224"/>
      <c r="G100" s="5"/>
      <c r="H100" s="36"/>
      <c r="I100" s="36"/>
      <c r="K100" s="11"/>
    </row>
    <row r="101" spans="5:11" x14ac:dyDescent="0.2">
      <c r="E101" s="36"/>
      <c r="F101" s="224"/>
      <c r="G101" s="5"/>
      <c r="H101" s="36"/>
      <c r="I101" s="36"/>
      <c r="K101" s="11"/>
    </row>
    <row r="102" spans="5:11" x14ac:dyDescent="0.2">
      <c r="E102" s="36"/>
      <c r="F102" s="224"/>
      <c r="G102" s="5"/>
      <c r="H102" s="36"/>
      <c r="I102" s="36"/>
      <c r="K102" s="11"/>
    </row>
    <row r="103" spans="5:11" x14ac:dyDescent="0.2">
      <c r="E103" s="36"/>
      <c r="F103" s="224"/>
      <c r="G103" s="5"/>
      <c r="H103" s="36"/>
      <c r="I103" s="36"/>
      <c r="K103" s="11"/>
    </row>
    <row r="104" spans="5:11" x14ac:dyDescent="0.2">
      <c r="E104" s="36"/>
      <c r="F104" s="224"/>
      <c r="G104" s="5"/>
      <c r="H104" s="36"/>
      <c r="I104" s="36"/>
      <c r="K104" s="11"/>
    </row>
    <row r="105" spans="5:11" x14ac:dyDescent="0.2">
      <c r="E105" s="36"/>
      <c r="F105" s="224"/>
      <c r="G105" s="5"/>
      <c r="H105" s="36"/>
      <c r="I105" s="36"/>
      <c r="K105" s="11"/>
    </row>
    <row r="106" spans="5:11" x14ac:dyDescent="0.2">
      <c r="E106" s="36"/>
      <c r="F106" s="224"/>
      <c r="G106" s="5"/>
      <c r="H106" s="36"/>
      <c r="I106" s="36"/>
      <c r="K106" s="11"/>
    </row>
    <row r="107" spans="5:11" x14ac:dyDescent="0.2">
      <c r="E107" s="36"/>
      <c r="F107" s="224"/>
      <c r="G107" s="5"/>
      <c r="H107" s="36"/>
      <c r="I107" s="36"/>
      <c r="K107" s="11"/>
    </row>
    <row r="108" spans="5:11" x14ac:dyDescent="0.2">
      <c r="E108" s="36"/>
      <c r="F108" s="224"/>
      <c r="G108" s="5"/>
      <c r="H108" s="36"/>
      <c r="I108" s="36"/>
      <c r="K108" s="11"/>
    </row>
    <row r="109" spans="5:11" x14ac:dyDescent="0.2">
      <c r="E109" s="36"/>
      <c r="F109" s="224"/>
      <c r="G109" s="5"/>
      <c r="H109" s="36"/>
      <c r="I109" s="36"/>
      <c r="K109" s="11"/>
    </row>
    <row r="110" spans="5:11" x14ac:dyDescent="0.2">
      <c r="E110" s="36"/>
      <c r="F110" s="224"/>
      <c r="G110" s="5"/>
      <c r="H110" s="36"/>
      <c r="I110" s="36"/>
      <c r="K110" s="11"/>
    </row>
    <row r="111" spans="5:11" x14ac:dyDescent="0.2">
      <c r="E111" s="36"/>
      <c r="F111" s="224"/>
      <c r="G111" s="5"/>
      <c r="H111" s="36"/>
      <c r="I111" s="36"/>
      <c r="K111" s="11"/>
    </row>
    <row r="112" spans="5:11" x14ac:dyDescent="0.2">
      <c r="E112" s="36"/>
      <c r="F112" s="224"/>
      <c r="G112" s="5"/>
      <c r="H112" s="36"/>
      <c r="I112" s="36"/>
      <c r="K112" s="11"/>
    </row>
    <row r="113" spans="5:11" x14ac:dyDescent="0.2">
      <c r="E113" s="36"/>
      <c r="F113" s="224"/>
      <c r="G113" s="5"/>
      <c r="H113" s="36"/>
      <c r="I113" s="36"/>
      <c r="K113" s="11"/>
    </row>
    <row r="114" spans="5:11" x14ac:dyDescent="0.2">
      <c r="E114" s="36"/>
      <c r="F114" s="224"/>
      <c r="G114" s="5"/>
      <c r="H114" s="36"/>
      <c r="I114" s="36"/>
      <c r="K114" s="11"/>
    </row>
    <row r="115" spans="5:11" x14ac:dyDescent="0.2">
      <c r="E115" s="36"/>
      <c r="F115" s="224"/>
      <c r="G115" s="5"/>
      <c r="H115" s="36"/>
      <c r="I115" s="36"/>
      <c r="K115" s="11"/>
    </row>
    <row r="116" spans="5:11" x14ac:dyDescent="0.2">
      <c r="E116" s="36"/>
      <c r="F116" s="224"/>
      <c r="G116" s="5"/>
      <c r="H116" s="36"/>
      <c r="I116" s="36"/>
      <c r="K116" s="11"/>
    </row>
    <row r="117" spans="5:11" x14ac:dyDescent="0.2">
      <c r="E117" s="36"/>
      <c r="F117" s="224"/>
      <c r="G117" s="5"/>
      <c r="H117" s="36"/>
      <c r="I117" s="36"/>
      <c r="K117" s="11"/>
    </row>
    <row r="118" spans="5:11" x14ac:dyDescent="0.2">
      <c r="E118" s="36"/>
      <c r="F118" s="224"/>
      <c r="G118" s="5"/>
      <c r="H118" s="36"/>
      <c r="I118" s="36"/>
      <c r="K118" s="11"/>
    </row>
    <row r="119" spans="5:11" x14ac:dyDescent="0.2">
      <c r="E119" s="36"/>
      <c r="F119" s="224"/>
      <c r="G119" s="5"/>
      <c r="H119" s="36"/>
      <c r="I119" s="36"/>
      <c r="K119" s="11"/>
    </row>
    <row r="120" spans="5:11" x14ac:dyDescent="0.2">
      <c r="E120" s="36"/>
      <c r="F120" s="224"/>
      <c r="G120" s="5"/>
      <c r="H120" s="36"/>
      <c r="I120" s="36"/>
      <c r="K120" s="11"/>
    </row>
    <row r="121" spans="5:11" x14ac:dyDescent="0.2">
      <c r="E121" s="36"/>
      <c r="F121" s="224"/>
      <c r="G121" s="5"/>
      <c r="H121" s="36"/>
      <c r="I121" s="36"/>
      <c r="K121" s="11"/>
    </row>
    <row r="122" spans="5:11" x14ac:dyDescent="0.2">
      <c r="E122" s="36"/>
      <c r="F122" s="224"/>
      <c r="G122" s="5"/>
      <c r="H122" s="36"/>
      <c r="I122" s="36"/>
      <c r="K122" s="11"/>
    </row>
    <row r="123" spans="5:11" x14ac:dyDescent="0.2">
      <c r="E123" s="36"/>
      <c r="F123" s="224"/>
      <c r="G123" s="5"/>
      <c r="H123" s="36"/>
      <c r="I123" s="36"/>
      <c r="K123" s="11"/>
    </row>
    <row r="124" spans="5:11" x14ac:dyDescent="0.2">
      <c r="E124" s="36"/>
      <c r="F124" s="224"/>
      <c r="G124" s="5"/>
      <c r="H124" s="36"/>
      <c r="I124" s="36"/>
      <c r="K124" s="11"/>
    </row>
    <row r="125" spans="5:11" x14ac:dyDescent="0.2">
      <c r="E125" s="36"/>
      <c r="F125" s="224"/>
      <c r="G125" s="5"/>
      <c r="H125" s="36"/>
      <c r="I125" s="36"/>
      <c r="K125" s="11"/>
    </row>
    <row r="126" spans="5:11" x14ac:dyDescent="0.2">
      <c r="E126" s="36"/>
      <c r="F126" s="224"/>
      <c r="G126" s="5"/>
      <c r="H126" s="36"/>
      <c r="I126" s="36"/>
      <c r="K126" s="11"/>
    </row>
    <row r="127" spans="5:11" x14ac:dyDescent="0.2">
      <c r="E127" s="36"/>
      <c r="F127" s="224"/>
      <c r="G127" s="5"/>
      <c r="H127" s="36"/>
      <c r="I127" s="36"/>
      <c r="K127" s="11"/>
    </row>
    <row r="128" spans="5:11" x14ac:dyDescent="0.2">
      <c r="E128" s="36"/>
      <c r="F128" s="224"/>
      <c r="G128" s="5"/>
      <c r="H128" s="36"/>
      <c r="I128" s="36"/>
      <c r="K128" s="11"/>
    </row>
    <row r="129" spans="5:11" x14ac:dyDescent="0.2">
      <c r="E129" s="36"/>
      <c r="F129" s="224"/>
      <c r="G129" s="5"/>
      <c r="H129" s="36"/>
      <c r="I129" s="36"/>
      <c r="K129" s="11"/>
    </row>
    <row r="130" spans="5:11" x14ac:dyDescent="0.2">
      <c r="E130" s="36"/>
      <c r="F130" s="224"/>
      <c r="G130" s="5"/>
      <c r="H130" s="36"/>
      <c r="I130" s="36"/>
      <c r="K130" s="11"/>
    </row>
    <row r="131" spans="5:11" x14ac:dyDescent="0.2">
      <c r="E131" s="36"/>
      <c r="F131" s="224"/>
      <c r="G131" s="5"/>
      <c r="H131" s="36"/>
      <c r="I131" s="36"/>
      <c r="K131" s="11"/>
    </row>
    <row r="132" spans="5:11" x14ac:dyDescent="0.2">
      <c r="E132" s="36"/>
      <c r="F132" s="224"/>
      <c r="G132" s="5"/>
      <c r="H132" s="36"/>
      <c r="I132" s="36"/>
      <c r="K132" s="11"/>
    </row>
    <row r="133" spans="5:11" x14ac:dyDescent="0.2">
      <c r="E133" s="36"/>
      <c r="F133" s="224"/>
      <c r="G133" s="5"/>
      <c r="H133" s="36"/>
      <c r="I133" s="36"/>
      <c r="K133" s="11"/>
    </row>
    <row r="134" spans="5:11" x14ac:dyDescent="0.2">
      <c r="E134" s="36"/>
      <c r="F134" s="224"/>
      <c r="G134" s="5"/>
      <c r="H134" s="36"/>
      <c r="I134" s="36"/>
      <c r="K134" s="11"/>
    </row>
    <row r="135" spans="5:11" x14ac:dyDescent="0.2">
      <c r="E135" s="36"/>
      <c r="F135" s="224"/>
      <c r="G135" s="5"/>
      <c r="H135" s="36"/>
      <c r="I135" s="36"/>
      <c r="K135" s="11"/>
    </row>
    <row r="136" spans="5:11" x14ac:dyDescent="0.2">
      <c r="E136" s="36"/>
      <c r="F136" s="224"/>
      <c r="G136" s="5"/>
      <c r="H136" s="36"/>
      <c r="I136" s="36"/>
      <c r="K136" s="11"/>
    </row>
    <row r="137" spans="5:11" x14ac:dyDescent="0.2">
      <c r="E137" s="36"/>
      <c r="F137" s="224"/>
      <c r="G137" s="5"/>
      <c r="H137" s="36"/>
      <c r="I137" s="36"/>
      <c r="K137" s="11"/>
    </row>
    <row r="138" spans="5:11" x14ac:dyDescent="0.2">
      <c r="E138" s="36"/>
      <c r="F138" s="224"/>
      <c r="G138" s="5"/>
      <c r="H138" s="36"/>
      <c r="I138" s="36"/>
      <c r="K138" s="11"/>
    </row>
    <row r="139" spans="5:11" x14ac:dyDescent="0.2">
      <c r="E139" s="36"/>
      <c r="F139" s="224"/>
      <c r="G139" s="5"/>
      <c r="H139" s="36"/>
      <c r="I139" s="36"/>
      <c r="K139" s="11"/>
    </row>
    <row r="140" spans="5:11" x14ac:dyDescent="0.2">
      <c r="E140" s="36"/>
      <c r="F140" s="224"/>
      <c r="G140" s="5"/>
      <c r="H140" s="36"/>
      <c r="I140" s="36"/>
      <c r="K140" s="11"/>
    </row>
    <row r="141" spans="5:11" x14ac:dyDescent="0.2">
      <c r="E141" s="36"/>
      <c r="F141" s="224"/>
      <c r="G141" s="5"/>
      <c r="H141" s="36"/>
      <c r="I141" s="36"/>
      <c r="K141" s="11"/>
    </row>
    <row r="142" spans="5:11" x14ac:dyDescent="0.2">
      <c r="E142" s="36"/>
      <c r="F142" s="224"/>
      <c r="G142" s="5"/>
      <c r="H142" s="36"/>
      <c r="I142" s="36"/>
      <c r="K142" s="11"/>
    </row>
    <row r="143" spans="5:11" x14ac:dyDescent="0.2">
      <c r="E143" s="36"/>
      <c r="F143" s="224"/>
      <c r="G143" s="5"/>
      <c r="H143" s="36"/>
      <c r="I143" s="36"/>
      <c r="K143" s="11"/>
    </row>
    <row r="144" spans="5:11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F1147" s="224"/>
      <c r="G1147" s="5"/>
      <c r="H1147" s="36"/>
      <c r="I1147" s="36"/>
      <c r="K1147" s="11"/>
    </row>
    <row r="1148" spans="5:11" x14ac:dyDescent="0.2">
      <c r="F1148" s="224"/>
      <c r="G1148" s="5"/>
      <c r="H1148" s="36"/>
      <c r="I1148" s="36"/>
      <c r="K1148" s="11"/>
    </row>
    <row r="1149" spans="5:11" x14ac:dyDescent="0.2">
      <c r="F1149" s="224"/>
      <c r="G1149" s="5"/>
      <c r="H1149" s="36"/>
      <c r="I1149" s="36"/>
      <c r="K1149" s="11"/>
    </row>
    <row r="1150" spans="5:11" x14ac:dyDescent="0.2">
      <c r="F1150" s="224"/>
      <c r="G1150" s="5"/>
      <c r="H1150" s="36"/>
      <c r="I1150" s="36"/>
      <c r="K1150" s="11"/>
    </row>
    <row r="1151" spans="5:11" x14ac:dyDescent="0.2">
      <c r="F1151" s="224"/>
      <c r="G1151" s="5"/>
      <c r="H1151" s="36"/>
      <c r="I1151" s="36"/>
      <c r="K1151" s="11"/>
    </row>
    <row r="1152" spans="5:11" x14ac:dyDescent="0.2">
      <c r="F1152" s="224"/>
      <c r="G1152" s="5"/>
      <c r="H1152" s="36"/>
      <c r="I1152" s="36"/>
      <c r="K1152" s="11"/>
    </row>
    <row r="1153" spans="6:11" x14ac:dyDescent="0.2">
      <c r="F1153" s="224"/>
      <c r="G1153" s="5"/>
      <c r="H1153" s="36"/>
      <c r="I1153" s="36"/>
      <c r="K1153" s="11"/>
    </row>
    <row r="1154" spans="6:11" x14ac:dyDescent="0.2">
      <c r="F1154" s="224"/>
      <c r="G1154" s="5"/>
      <c r="H1154" s="36"/>
      <c r="I1154" s="36"/>
      <c r="K1154" s="11"/>
    </row>
    <row r="1155" spans="6:11" x14ac:dyDescent="0.2">
      <c r="F1155" s="224"/>
      <c r="G1155" s="5"/>
      <c r="H1155" s="36"/>
      <c r="I1155" s="36"/>
      <c r="K1155" s="11"/>
    </row>
    <row r="1156" spans="6:11" x14ac:dyDescent="0.2">
      <c r="F1156" s="224"/>
      <c r="G1156" s="5"/>
      <c r="H1156" s="36"/>
      <c r="I1156" s="36"/>
      <c r="K1156" s="11"/>
    </row>
    <row r="1157" spans="6:11" x14ac:dyDescent="0.2">
      <c r="F1157" s="224"/>
      <c r="G1157" s="5"/>
      <c r="H1157" s="36"/>
      <c r="I1157" s="36"/>
      <c r="K1157" s="11"/>
    </row>
    <row r="1158" spans="6:11" x14ac:dyDescent="0.2">
      <c r="F1158" s="224"/>
      <c r="G1158" s="5"/>
      <c r="H1158" s="36"/>
      <c r="I1158" s="36"/>
      <c r="K1158" s="11"/>
    </row>
    <row r="1159" spans="6:11" x14ac:dyDescent="0.2">
      <c r="F1159" s="224"/>
      <c r="G1159" s="5"/>
      <c r="H1159" s="36"/>
      <c r="I1159" s="36"/>
      <c r="K1159" s="11"/>
    </row>
    <row r="1160" spans="6:11" x14ac:dyDescent="0.2">
      <c r="F1160" s="224"/>
      <c r="G1160" s="5"/>
      <c r="H1160" s="36"/>
      <c r="I1160" s="36"/>
      <c r="K1160" s="11"/>
    </row>
    <row r="1161" spans="6:11" x14ac:dyDescent="0.2">
      <c r="F1161" s="224"/>
      <c r="G1161" s="5"/>
      <c r="H1161" s="36"/>
      <c r="I1161" s="36"/>
      <c r="K1161" s="11"/>
    </row>
    <row r="1162" spans="6:11" x14ac:dyDescent="0.2">
      <c r="F1162" s="224"/>
      <c r="G1162" s="5"/>
      <c r="H1162" s="36"/>
      <c r="I1162" s="36"/>
      <c r="K1162" s="11"/>
    </row>
    <row r="1163" spans="6:11" x14ac:dyDescent="0.2">
      <c r="F1163" s="224"/>
      <c r="G1163" s="5"/>
      <c r="H1163" s="36"/>
      <c r="I1163" s="36"/>
      <c r="K1163" s="11"/>
    </row>
    <row r="1164" spans="6:11" x14ac:dyDescent="0.2">
      <c r="F1164" s="224"/>
      <c r="G1164" s="5"/>
      <c r="H1164" s="36"/>
      <c r="I1164" s="36"/>
      <c r="K1164" s="11"/>
    </row>
    <row r="1165" spans="6:11" x14ac:dyDescent="0.2">
      <c r="F1165" s="224"/>
      <c r="G1165" s="5"/>
      <c r="H1165" s="36"/>
      <c r="I1165" s="36"/>
      <c r="K1165" s="11"/>
    </row>
    <row r="1166" spans="6:11" x14ac:dyDescent="0.2">
      <c r="F1166" s="224"/>
      <c r="G1166" s="5"/>
      <c r="H1166" s="36"/>
      <c r="I1166" s="36"/>
      <c r="K1166" s="11"/>
    </row>
    <row r="1167" spans="6:11" x14ac:dyDescent="0.2">
      <c r="F1167" s="224"/>
      <c r="G1167" s="5"/>
      <c r="H1167" s="36"/>
      <c r="I1167" s="36"/>
      <c r="K1167" s="11"/>
    </row>
    <row r="1168" spans="6:11" x14ac:dyDescent="0.2">
      <c r="F1168" s="224"/>
      <c r="G1168" s="5"/>
      <c r="H1168" s="36"/>
      <c r="I1168" s="36"/>
      <c r="K1168" s="11"/>
    </row>
    <row r="1169" spans="6:11" x14ac:dyDescent="0.2">
      <c r="F1169" s="224"/>
      <c r="G1169" s="5"/>
      <c r="H1169" s="36"/>
      <c r="I1169" s="36"/>
      <c r="K1169" s="11"/>
    </row>
    <row r="1170" spans="6:11" x14ac:dyDescent="0.2">
      <c r="F1170" s="224"/>
      <c r="G1170" s="5"/>
      <c r="H1170" s="36"/>
      <c r="I1170" s="36"/>
      <c r="K1170" s="11"/>
    </row>
    <row r="1171" spans="6:11" x14ac:dyDescent="0.2">
      <c r="F1171" s="224"/>
      <c r="G1171" s="5"/>
      <c r="H1171" s="36"/>
      <c r="I1171" s="36"/>
      <c r="K1171" s="11"/>
    </row>
    <row r="1172" spans="6:11" x14ac:dyDescent="0.2">
      <c r="F1172" s="224"/>
      <c r="G1172" s="5"/>
      <c r="H1172" s="36"/>
      <c r="I1172" s="36"/>
      <c r="K1172" s="11"/>
    </row>
    <row r="1173" spans="6:11" x14ac:dyDescent="0.2">
      <c r="F1173" s="224"/>
      <c r="G1173" s="5"/>
      <c r="H1173" s="36"/>
      <c r="I1173" s="36"/>
      <c r="K1173" s="11"/>
    </row>
    <row r="1174" spans="6:11" x14ac:dyDescent="0.2">
      <c r="F1174" s="224"/>
      <c r="G1174" s="5"/>
      <c r="H1174" s="36"/>
      <c r="I1174" s="36"/>
      <c r="K1174" s="11"/>
    </row>
    <row r="1175" spans="6:11" x14ac:dyDescent="0.2">
      <c r="F1175" s="224"/>
      <c r="G1175" s="5"/>
      <c r="H1175" s="36"/>
      <c r="I1175" s="36"/>
      <c r="K1175" s="11"/>
    </row>
    <row r="1176" spans="6:11" x14ac:dyDescent="0.2">
      <c r="F1176" s="224"/>
      <c r="G1176" s="5"/>
      <c r="H1176" s="36"/>
      <c r="I1176" s="36"/>
      <c r="K1176" s="11"/>
    </row>
    <row r="1177" spans="6:11" x14ac:dyDescent="0.2">
      <c r="F1177" s="224"/>
      <c r="G1177" s="5"/>
      <c r="H1177" s="36"/>
      <c r="I1177" s="36"/>
      <c r="K1177" s="11"/>
    </row>
    <row r="1178" spans="6:11" x14ac:dyDescent="0.2">
      <c r="F1178" s="224"/>
      <c r="G1178" s="5"/>
      <c r="H1178" s="36"/>
      <c r="I1178" s="36"/>
      <c r="K1178" s="11"/>
    </row>
    <row r="1179" spans="6:11" x14ac:dyDescent="0.2">
      <c r="F1179" s="224"/>
      <c r="G1179" s="5"/>
      <c r="H1179" s="36"/>
      <c r="I1179" s="36"/>
      <c r="K1179" s="11"/>
    </row>
    <row r="1180" spans="6:11" x14ac:dyDescent="0.2">
      <c r="F1180" s="224"/>
      <c r="G1180" s="5"/>
      <c r="H1180" s="36"/>
      <c r="I1180" s="36"/>
      <c r="K1180" s="11"/>
    </row>
    <row r="1181" spans="6:11" x14ac:dyDescent="0.2">
      <c r="F1181" s="224"/>
      <c r="G1181" s="5"/>
      <c r="H1181" s="36"/>
      <c r="I1181" s="36"/>
      <c r="K1181" s="11"/>
    </row>
    <row r="1182" spans="6:11" x14ac:dyDescent="0.2">
      <c r="F1182" s="224"/>
      <c r="G1182" s="5"/>
      <c r="H1182" s="36"/>
      <c r="I1182" s="36"/>
      <c r="K1182" s="11"/>
    </row>
    <row r="1183" spans="6:11" x14ac:dyDescent="0.2">
      <c r="F1183" s="224"/>
      <c r="G1183" s="5"/>
      <c r="H1183" s="36"/>
      <c r="I1183" s="36"/>
      <c r="K1183" s="11"/>
    </row>
    <row r="1184" spans="6:11" x14ac:dyDescent="0.2">
      <c r="F1184" s="224"/>
      <c r="G1184" s="5"/>
      <c r="H1184" s="36"/>
      <c r="I1184" s="36"/>
      <c r="K1184" s="11"/>
    </row>
    <row r="1185" spans="6:11" x14ac:dyDescent="0.2">
      <c r="F1185" s="224"/>
      <c r="G1185" s="5"/>
      <c r="H1185" s="36"/>
      <c r="I1185" s="36"/>
      <c r="K1185" s="11"/>
    </row>
    <row r="1186" spans="6:11" x14ac:dyDescent="0.2">
      <c r="F1186" s="224"/>
      <c r="G1186" s="5"/>
      <c r="H1186" s="36"/>
      <c r="I1186" s="36"/>
      <c r="K1186" s="11"/>
    </row>
    <row r="1187" spans="6:11" x14ac:dyDescent="0.2">
      <c r="F1187" s="224"/>
      <c r="G1187" s="5"/>
      <c r="H1187" s="36"/>
      <c r="I1187" s="36"/>
      <c r="K1187" s="11"/>
    </row>
    <row r="1188" spans="6:11" x14ac:dyDescent="0.2">
      <c r="F1188" s="224"/>
      <c r="G1188" s="5"/>
      <c r="H1188" s="36"/>
      <c r="I1188" s="36"/>
      <c r="K1188" s="11"/>
    </row>
    <row r="1189" spans="6:11" x14ac:dyDescent="0.2">
      <c r="F1189" s="224"/>
      <c r="G1189" s="5"/>
      <c r="H1189" s="36"/>
      <c r="I1189" s="36"/>
      <c r="K1189" s="11"/>
    </row>
    <row r="1190" spans="6:11" x14ac:dyDescent="0.2">
      <c r="F1190" s="224"/>
      <c r="G1190" s="5"/>
      <c r="H1190" s="36"/>
      <c r="I1190" s="36"/>
      <c r="K1190" s="11"/>
    </row>
    <row r="1191" spans="6:11" x14ac:dyDescent="0.2">
      <c r="F1191" s="224"/>
      <c r="G1191" s="5"/>
      <c r="H1191" s="36"/>
      <c r="I1191" s="36"/>
      <c r="K1191" s="11"/>
    </row>
    <row r="1192" spans="6:11" x14ac:dyDescent="0.2">
      <c r="F1192" s="224"/>
      <c r="G1192" s="5"/>
      <c r="H1192" s="36"/>
      <c r="I1192" s="36"/>
      <c r="K1192" s="11"/>
    </row>
    <row r="1193" spans="6:11" x14ac:dyDescent="0.2">
      <c r="F1193" s="224"/>
      <c r="G1193" s="5"/>
      <c r="H1193" s="36"/>
      <c r="I1193" s="36"/>
      <c r="K1193" s="11"/>
    </row>
    <row r="1194" spans="6:11" x14ac:dyDescent="0.2">
      <c r="F1194" s="224"/>
      <c r="G1194" s="5"/>
      <c r="H1194" s="36"/>
      <c r="I1194" s="36"/>
      <c r="K1194" s="11"/>
    </row>
    <row r="1195" spans="6:11" x14ac:dyDescent="0.2">
      <c r="F1195" s="224"/>
      <c r="G1195" s="5"/>
      <c r="H1195" s="36"/>
      <c r="I1195" s="36"/>
      <c r="K1195" s="11"/>
    </row>
    <row r="1196" spans="6:11" x14ac:dyDescent="0.2">
      <c r="F1196" s="224"/>
      <c r="G1196" s="5"/>
      <c r="H1196" s="36"/>
      <c r="I1196" s="36"/>
      <c r="K1196" s="11"/>
    </row>
    <row r="1197" spans="6:11" x14ac:dyDescent="0.2">
      <c r="F1197" s="224"/>
      <c r="G1197" s="5"/>
      <c r="H1197" s="36"/>
      <c r="I1197" s="36"/>
      <c r="K1197" s="11"/>
    </row>
    <row r="1198" spans="6:11" x14ac:dyDescent="0.2">
      <c r="F1198" s="224"/>
      <c r="G1198" s="5"/>
      <c r="H1198" s="36"/>
      <c r="I1198" s="36"/>
      <c r="K1198" s="11"/>
    </row>
    <row r="1199" spans="6:11" x14ac:dyDescent="0.2">
      <c r="F1199" s="224"/>
      <c r="G1199" s="5"/>
      <c r="H1199" s="36"/>
      <c r="I1199" s="36"/>
      <c r="K1199" s="11"/>
    </row>
    <row r="1200" spans="6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August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2017-09-15T14:25:32Z</cp:lastPrinted>
  <dcterms:created xsi:type="dcterms:W3CDTF">2007-09-24T12:26:24Z</dcterms:created>
  <dcterms:modified xsi:type="dcterms:W3CDTF">2019-05-19T07:38:16Z</dcterms:modified>
</cp:coreProperties>
</file>