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6751DCD5-D436-4401-A107-CED93D043578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32" i="7"/>
  <c r="M31" i="7"/>
  <c r="L31" i="7"/>
  <c r="J32" i="7"/>
  <c r="E32" i="7"/>
  <c r="C31" i="7"/>
  <c r="B31" i="7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37" i="1"/>
  <c r="D36" i="1"/>
  <c r="B37" i="1"/>
  <c r="B36" i="1"/>
  <c r="O31" i="7" l="1"/>
  <c r="O30" i="7"/>
  <c r="M30" i="7"/>
  <c r="L30" i="7"/>
  <c r="J31" i="7"/>
  <c r="C30" i="7"/>
  <c r="B30" i="7"/>
  <c r="E31" i="7"/>
  <c r="N30" i="7" l="1"/>
  <c r="D30" i="7"/>
  <c r="J2" i="9"/>
  <c r="Q31" i="9"/>
  <c r="P48" i="9"/>
  <c r="P39" i="9"/>
  <c r="P16" i="9"/>
  <c r="P10" i="9"/>
  <c r="Q39" i="9" l="1"/>
  <c r="P31" i="9"/>
  <c r="M29" i="7"/>
  <c r="L29" i="7"/>
  <c r="J30" i="7"/>
  <c r="C29" i="7"/>
  <c r="B29" i="7"/>
  <c r="E30" i="7"/>
  <c r="L16" i="9"/>
  <c r="D29" i="7" l="1"/>
  <c r="L55" i="9"/>
  <c r="H29" i="7"/>
  <c r="N29" i="7"/>
  <c r="G29" i="7"/>
  <c r="O29" i="7"/>
  <c r="J29" i="7"/>
  <c r="E29" i="7"/>
  <c r="O28" i="7"/>
  <c r="M28" i="7"/>
  <c r="L28" i="7"/>
  <c r="J28" i="7"/>
  <c r="E28" i="7"/>
  <c r="C28" i="7"/>
  <c r="B28" i="7"/>
  <c r="I29" i="7" l="1"/>
  <c r="G28" i="7"/>
  <c r="H28" i="7"/>
  <c r="N28" i="7"/>
  <c r="D28" i="7"/>
  <c r="O27" i="7"/>
  <c r="M27" i="7"/>
  <c r="L27" i="7"/>
  <c r="E27" i="7"/>
  <c r="C27" i="7"/>
  <c r="B27" i="7"/>
  <c r="I28" i="7" l="1"/>
  <c r="H27" i="7"/>
  <c r="D27" i="7"/>
  <c r="D38" i="1"/>
  <c r="B38" i="1"/>
  <c r="C36" i="1" s="1"/>
  <c r="G27" i="7"/>
  <c r="N27" i="7"/>
  <c r="O26" i="7"/>
  <c r="M26" i="7"/>
  <c r="L26" i="7"/>
  <c r="J27" i="7"/>
  <c r="J26" i="7"/>
  <c r="E26" i="7"/>
  <c r="C26" i="7"/>
  <c r="B26" i="7"/>
  <c r="I27" i="7" l="1"/>
  <c r="I6" i="3"/>
  <c r="I17" i="3"/>
  <c r="D26" i="7"/>
  <c r="I5" i="3"/>
  <c r="I16" i="3"/>
  <c r="I14" i="9"/>
  <c r="I11" i="3"/>
  <c r="I21" i="3"/>
  <c r="I10" i="3"/>
  <c r="F14" i="9"/>
  <c r="R14" i="9"/>
  <c r="C55" i="9"/>
  <c r="N26" i="7"/>
  <c r="G26" i="7"/>
  <c r="O14" i="9"/>
  <c r="H26" i="7"/>
  <c r="M25" i="7"/>
  <c r="L25" i="7"/>
  <c r="J25" i="7"/>
  <c r="E25" i="7"/>
  <c r="C25" i="7"/>
  <c r="B25" i="7"/>
  <c r="I26" i="7" l="1"/>
  <c r="H25" i="7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E33" i="7" l="1"/>
  <c r="D21" i="7"/>
  <c r="F21" i="7" s="1"/>
  <c r="O33" i="7"/>
  <c r="I22" i="7"/>
  <c r="G21" i="7"/>
  <c r="H21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C37" i="1"/>
  <c r="G12" i="5"/>
  <c r="G22" i="5"/>
  <c r="J12" i="5"/>
  <c r="I7" i="15"/>
  <c r="L10" i="9"/>
  <c r="L31" i="9"/>
  <c r="L39" i="9"/>
  <c r="M42" i="9"/>
  <c r="I11" i="9"/>
  <c r="I19" i="9"/>
  <c r="I32" i="9"/>
  <c r="I40" i="9"/>
  <c r="I50" i="9"/>
  <c r="I27" i="9"/>
  <c r="I35" i="9"/>
  <c r="I46" i="9"/>
  <c r="I52" i="9"/>
  <c r="E31" i="9"/>
  <c r="E39" i="9"/>
  <c r="N39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M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P55" i="9"/>
  <c r="R49" i="9"/>
  <c r="R12" i="9"/>
  <c r="Q10" i="9"/>
  <c r="R20" i="9"/>
  <c r="Q16" i="9"/>
  <c r="R33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12" i="9"/>
  <c r="O51" i="9"/>
  <c r="N48" i="9"/>
  <c r="Q55" i="9"/>
  <c r="L10" i="15"/>
  <c r="J10" i="4" s="1"/>
  <c r="G55" i="9"/>
  <c r="H55" i="9"/>
  <c r="E48" i="9"/>
  <c r="Q48" i="9"/>
  <c r="N55" i="9"/>
  <c r="F18" i="9"/>
  <c r="E41" i="15"/>
  <c r="L48" i="9"/>
  <c r="O50" i="9"/>
  <c r="E55" i="9"/>
  <c r="R40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G56" i="9" l="1"/>
  <c r="B32" i="7"/>
  <c r="C32" i="7"/>
  <c r="L56" i="9"/>
  <c r="M14" i="9" s="1"/>
  <c r="E56" i="9"/>
  <c r="E54" i="9" s="1"/>
  <c r="I22" i="3"/>
  <c r="I12" i="3"/>
  <c r="C56" i="9"/>
  <c r="C54" i="9" s="1"/>
  <c r="I7" i="3"/>
  <c r="I18" i="3"/>
  <c r="Q56" i="9"/>
  <c r="Q54" i="9" s="1"/>
  <c r="N56" i="9"/>
  <c r="N54" i="9" s="1"/>
  <c r="H56" i="9"/>
  <c r="H54" i="9" s="1"/>
  <c r="P56" i="9"/>
  <c r="F25" i="7"/>
  <c r="F21" i="15"/>
  <c r="I21" i="7"/>
  <c r="K21" i="7" s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G19" i="1" s="1"/>
  <c r="D7" i="1"/>
  <c r="G7" i="1" s="1"/>
  <c r="J9" i="2"/>
  <c r="D18" i="1"/>
  <c r="G18" i="1" s="1"/>
  <c r="L12" i="15"/>
  <c r="I16" i="9"/>
  <c r="N18" i="16"/>
  <c r="J33" i="8"/>
  <c r="M18" i="8"/>
  <c r="L37" i="15"/>
  <c r="I17" i="2"/>
  <c r="J17" i="2" s="1"/>
  <c r="I48" i="9"/>
  <c r="K42" i="15"/>
  <c r="C16" i="1"/>
  <c r="C45" i="3"/>
  <c r="N11" i="16"/>
  <c r="C8" i="1"/>
  <c r="C10" i="1"/>
  <c r="I39" i="9"/>
  <c r="F31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R48" i="9"/>
  <c r="F55" i="9"/>
  <c r="D42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D32" i="7" l="1"/>
  <c r="F32" i="7" s="1"/>
  <c r="D31" i="7"/>
  <c r="F31" i="7" s="1"/>
  <c r="F30" i="7"/>
  <c r="I7" i="1"/>
  <c r="F28" i="7"/>
  <c r="B33" i="7"/>
  <c r="D55" i="9"/>
  <c r="D14" i="9"/>
  <c r="I23" i="3"/>
  <c r="M48" i="9"/>
  <c r="F27" i="7"/>
  <c r="I56" i="9"/>
  <c r="G54" i="9"/>
  <c r="I54" i="9" s="1"/>
  <c r="F26" i="7"/>
  <c r="C22" i="1"/>
  <c r="B22" i="1"/>
  <c r="F24" i="7"/>
  <c r="J42" i="4"/>
  <c r="K42" i="4" s="1"/>
  <c r="F23" i="7"/>
  <c r="B27" i="1"/>
  <c r="B29" i="1" s="1"/>
  <c r="B10" i="1"/>
  <c r="D17" i="1"/>
  <c r="G17" i="1" s="1"/>
  <c r="C33" i="7"/>
  <c r="F7" i="1"/>
  <c r="F18" i="1"/>
  <c r="L21" i="15"/>
  <c r="M12" i="8"/>
  <c r="E5" i="5"/>
  <c r="F5" i="5" s="1"/>
  <c r="I5" i="5" s="1"/>
  <c r="L42" i="15"/>
  <c r="F19" i="1"/>
  <c r="D22" i="7"/>
  <c r="F22" i="7" s="1"/>
  <c r="C33" i="1"/>
  <c r="C11" i="1"/>
  <c r="M32" i="7" s="1"/>
  <c r="I18" i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D32" i="1" s="1"/>
  <c r="I45" i="2"/>
  <c r="J45" i="2" s="1"/>
  <c r="D54" i="9"/>
  <c r="I45" i="3"/>
  <c r="D31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4" i="9" s="1"/>
  <c r="R56" i="9"/>
  <c r="C20" i="5"/>
  <c r="C22" i="5" s="1"/>
  <c r="E10" i="5"/>
  <c r="E16" i="5"/>
  <c r="F16" i="5" s="1"/>
  <c r="I16" i="5" s="1"/>
  <c r="H32" i="7" l="1"/>
  <c r="H30" i="7"/>
  <c r="H31" i="7"/>
  <c r="F29" i="7"/>
  <c r="D10" i="1"/>
  <c r="G10" i="1" s="1"/>
  <c r="D34" i="1"/>
  <c r="C32" i="1"/>
  <c r="I17" i="1"/>
  <c r="D22" i="1"/>
  <c r="F22" i="1" s="1"/>
  <c r="H24" i="7"/>
  <c r="F17" i="1"/>
  <c r="D33" i="7"/>
  <c r="F33" i="7" s="1"/>
  <c r="I19" i="1"/>
  <c r="E7" i="5"/>
  <c r="D6" i="1"/>
  <c r="G6" i="1" s="1"/>
  <c r="B22" i="5"/>
  <c r="F54" i="9"/>
  <c r="E17" i="5"/>
  <c r="D27" i="1" s="1"/>
  <c r="G27" i="1" s="1"/>
  <c r="I5" i="1"/>
  <c r="F16" i="1"/>
  <c r="H15" i="5"/>
  <c r="F17" i="5"/>
  <c r="H17" i="5" s="1"/>
  <c r="H16" i="5"/>
  <c r="F10" i="5"/>
  <c r="I10" i="5" s="1"/>
  <c r="E12" i="5"/>
  <c r="F28" i="1"/>
  <c r="I28" i="1"/>
  <c r="B8" i="1"/>
  <c r="B11" i="1" s="1"/>
  <c r="L32" i="7" s="1"/>
  <c r="F7" i="5"/>
  <c r="H7" i="5" s="1"/>
  <c r="H5" i="5"/>
  <c r="E20" i="5"/>
  <c r="M54" i="9"/>
  <c r="O54" i="9"/>
  <c r="H6" i="5"/>
  <c r="G32" i="7" l="1"/>
  <c r="I32" i="7" s="1"/>
  <c r="K32" i="7" s="1"/>
  <c r="N32" i="7"/>
  <c r="P32" i="7" s="1"/>
  <c r="N31" i="7"/>
  <c r="P31" i="7" s="1"/>
  <c r="G31" i="7"/>
  <c r="G8" i="1"/>
  <c r="F10" i="1"/>
  <c r="I10" i="1"/>
  <c r="P30" i="7"/>
  <c r="G30" i="7"/>
  <c r="I30" i="7" s="1"/>
  <c r="K30" i="7" s="1"/>
  <c r="P29" i="7"/>
  <c r="P28" i="7"/>
  <c r="K28" i="7"/>
  <c r="P27" i="7"/>
  <c r="K27" i="7"/>
  <c r="P26" i="7"/>
  <c r="K26" i="7"/>
  <c r="H33" i="7"/>
  <c r="G22" i="1"/>
  <c r="I22" i="1" s="1"/>
  <c r="G24" i="7"/>
  <c r="I24" i="7" s="1"/>
  <c r="K24" i="7" s="1"/>
  <c r="L33" i="7"/>
  <c r="P24" i="7"/>
  <c r="M33" i="7"/>
  <c r="P23" i="7"/>
  <c r="K23" i="7"/>
  <c r="F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I31" i="7" l="1"/>
  <c r="K31" i="7" s="1"/>
  <c r="I6" i="1"/>
  <c r="K25" i="7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K29" i="7" l="1"/>
  <c r="G33" i="7"/>
  <c r="N33" i="7"/>
  <c r="P33" i="7" s="1"/>
  <c r="K22" i="7"/>
  <c r="I33" i="7"/>
  <c r="K33" i="7" s="1"/>
  <c r="I22" i="5"/>
  <c r="K22" i="5" s="1"/>
  <c r="K20" i="5"/>
  <c r="K5" i="1" l="1"/>
</calcChain>
</file>

<file path=xl/sharedStrings.xml><?xml version="1.0" encoding="utf-8"?>
<sst xmlns="http://schemas.openxmlformats.org/spreadsheetml/2006/main" count="532" uniqueCount="216">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</sst>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10" fontId="1" fillId="0" borderId="66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8" xfId="0" applyNumberFormat="1" applyFont="1" applyBorder="1"/>
    <xf numFmtId="10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Fill="1" applyBorder="1"/>
    <xf numFmtId="3" fontId="13" fillId="0" borderId="72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3" xfId="0" applyNumberFormat="1" applyFont="1" applyBorder="1"/>
    <xf numFmtId="10" fontId="13" fillId="0" borderId="74" xfId="0" applyNumberFormat="1" applyFont="1" applyFill="1" applyBorder="1"/>
    <xf numFmtId="0" fontId="5" fillId="0" borderId="19" xfId="0" applyFont="1" applyBorder="1"/>
    <xf numFmtId="0" fontId="5" fillId="0" borderId="75" xfId="0" applyFont="1" applyBorder="1"/>
    <xf numFmtId="0" fontId="19" fillId="0" borderId="76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6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8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7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1" xfId="0" applyNumberFormat="1" applyFont="1" applyBorder="1"/>
    <xf numFmtId="10" fontId="13" fillId="0" borderId="40" xfId="0" applyNumberFormat="1" applyFont="1" applyBorder="1"/>
    <xf numFmtId="10" fontId="13" fillId="0" borderId="74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0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5" xfId="0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Decemb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ugust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Septemb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Octob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Novemb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Year%20E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1933258</v>
          </cell>
          <cell r="G5">
            <v>24630865</v>
          </cell>
        </row>
        <row r="6">
          <cell r="D6">
            <v>722750</v>
          </cell>
          <cell r="G6">
            <v>9451314</v>
          </cell>
        </row>
        <row r="7">
          <cell r="D7">
            <v>2904</v>
          </cell>
          <cell r="G7">
            <v>7269</v>
          </cell>
        </row>
        <row r="10">
          <cell r="D10">
            <v>87485</v>
          </cell>
          <cell r="G10">
            <v>1073742</v>
          </cell>
        </row>
        <row r="16">
          <cell r="D16">
            <v>15397</v>
          </cell>
          <cell r="G16">
            <v>189489</v>
          </cell>
        </row>
        <row r="17">
          <cell r="D17">
            <v>14217</v>
          </cell>
          <cell r="G17">
            <v>185943</v>
          </cell>
        </row>
        <row r="18">
          <cell r="D18">
            <v>12</v>
          </cell>
          <cell r="G18">
            <v>83</v>
          </cell>
        </row>
        <row r="19">
          <cell r="D19">
            <v>1242</v>
          </cell>
          <cell r="G19">
            <v>12199</v>
          </cell>
        </row>
        <row r="20">
          <cell r="D20">
            <v>1752</v>
          </cell>
          <cell r="G20">
            <v>23793</v>
          </cell>
        </row>
        <row r="21">
          <cell r="D21">
            <v>39</v>
          </cell>
          <cell r="G21">
            <v>1079</v>
          </cell>
        </row>
        <row r="27">
          <cell r="D27">
            <v>16777.755808829399</v>
          </cell>
          <cell r="G27">
            <v>185424.64045714607</v>
          </cell>
        </row>
        <row r="28">
          <cell r="D28">
            <v>1028.02809766118</v>
          </cell>
          <cell r="G28">
            <v>13149.311683869899</v>
          </cell>
        </row>
        <row r="32">
          <cell r="B32">
            <v>771103</v>
          </cell>
          <cell r="D32">
            <v>9298618</v>
          </cell>
        </row>
        <row r="33">
          <cell r="B33">
            <v>572909</v>
          </cell>
          <cell r="D33">
            <v>7709095</v>
          </cell>
        </row>
      </sheetData>
      <sheetData sheetId="1"/>
      <sheetData sheetId="2"/>
      <sheetData sheetId="3"/>
      <sheetData sheetId="4"/>
      <sheetData sheetId="5">
        <row r="32">
          <cell r="D32">
            <v>175032</v>
          </cell>
          <cell r="I32">
            <v>2571365</v>
          </cell>
          <cell r="N32">
            <v>2746397</v>
          </cell>
        </row>
      </sheetData>
      <sheetData sheetId="6"/>
      <sheetData sheetId="7">
        <row r="5">
          <cell r="F5">
            <v>8315.8849130495601</v>
          </cell>
          <cell r="I5">
            <v>87902.424695927388</v>
          </cell>
        </row>
        <row r="6">
          <cell r="F6">
            <v>622.95741066482003</v>
          </cell>
          <cell r="I6">
            <v>6534.7687432866287</v>
          </cell>
        </row>
        <row r="10">
          <cell r="F10">
            <v>8461.870895779839</v>
          </cell>
          <cell r="I10">
            <v>97522.2157612187</v>
          </cell>
        </row>
        <row r="11">
          <cell r="F11">
            <v>405.07068699636</v>
          </cell>
          <cell r="I11">
            <v>6614.542940583271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16777.755808829399</v>
          </cell>
        </row>
        <row r="21">
          <cell r="F21">
            <v>1028.02809766118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122712</v>
          </cell>
          <cell r="C27">
            <v>113262</v>
          </cell>
          <cell r="L27">
            <v>1787268</v>
          </cell>
          <cell r="M27">
            <v>1781770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  <cell r="N27">
            <v>3436804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120400</v>
          </cell>
          <cell r="C28">
            <v>116611</v>
          </cell>
          <cell r="L28">
            <v>1769056</v>
          </cell>
          <cell r="M28">
            <v>1758655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24931742</v>
          </cell>
        </row>
        <row r="6">
          <cell r="G6">
            <v>7820775</v>
          </cell>
        </row>
        <row r="7">
          <cell r="G7">
            <v>5089</v>
          </cell>
        </row>
        <row r="10">
          <cell r="G10">
            <v>1004480</v>
          </cell>
        </row>
        <row r="16">
          <cell r="G16">
            <v>189611</v>
          </cell>
        </row>
        <row r="17">
          <cell r="G17">
            <v>149905</v>
          </cell>
        </row>
        <row r="18">
          <cell r="G18">
            <v>76</v>
          </cell>
        </row>
        <row r="19">
          <cell r="G19">
            <v>11386</v>
          </cell>
        </row>
        <row r="20">
          <cell r="G20">
            <v>20203</v>
          </cell>
        </row>
        <row r="21">
          <cell r="G21">
            <v>1168</v>
          </cell>
        </row>
        <row r="27">
          <cell r="G27">
            <v>166060.2106554599</v>
          </cell>
        </row>
        <row r="28">
          <cell r="G28">
            <v>14352.785227915749</v>
          </cell>
        </row>
        <row r="32">
          <cell r="D32">
            <v>8937787</v>
          </cell>
        </row>
        <row r="33">
          <cell r="D33">
            <v>7406298</v>
          </cell>
        </row>
      </sheetData>
      <sheetData sheetId="1"/>
      <sheetData sheetId="2"/>
      <sheetData sheetId="3"/>
      <sheetData sheetId="4"/>
      <sheetData sheetId="5">
        <row r="31">
          <cell r="B31">
            <v>98120</v>
          </cell>
          <cell r="C31">
            <v>94632</v>
          </cell>
          <cell r="L31">
            <v>1417637</v>
          </cell>
          <cell r="M31">
            <v>1419713</v>
          </cell>
        </row>
      </sheetData>
      <sheetData sheetId="6"/>
      <sheetData sheetId="7">
        <row r="5">
          <cell r="I5">
            <v>72578.786688588967</v>
          </cell>
        </row>
        <row r="6">
          <cell r="I6">
            <v>6983.8038707452397</v>
          </cell>
        </row>
        <row r="10">
          <cell r="I10">
            <v>78297.320497984285</v>
          </cell>
        </row>
        <row r="11">
          <cell r="I11">
            <v>6308.81306494824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228292</v>
          </cell>
          <cell r="I28">
            <v>3172712</v>
          </cell>
          <cell r="N28">
            <v>3401004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100150</v>
          </cell>
          <cell r="C29">
            <v>100332</v>
          </cell>
          <cell r="L29">
            <v>1499670</v>
          </cell>
          <cell r="M29">
            <v>1507170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180200</v>
          </cell>
          <cell r="I29">
            <v>2642882</v>
          </cell>
          <cell r="N29">
            <v>2823082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99024</v>
          </cell>
          <cell r="C30">
            <v>94415</v>
          </cell>
          <cell r="L30">
            <v>1574817</v>
          </cell>
          <cell r="M30">
            <v>1584662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169029</v>
          </cell>
          <cell r="I30">
            <v>2793681</v>
          </cell>
          <cell r="N30">
            <v>2962710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142356</v>
          </cell>
          <cell r="I31">
            <v>2410754</v>
          </cell>
          <cell r="N31">
            <v>2553110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5">
          <cell r="D5">
            <v>26995968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T19">
            <v>162</v>
          </cell>
          <cell r="DU19">
            <v>142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T41">
            <v>11464</v>
          </cell>
          <cell r="DU41">
            <v>11083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4">
        <row r="4">
          <cell r="EJ4"/>
        </row>
        <row r="8">
          <cell r="EI8"/>
        </row>
        <row r="9">
          <cell r="EI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  <cell r="EF15">
            <v>18</v>
          </cell>
          <cell r="EG15"/>
          <cell r="EH15"/>
          <cell r="EI15"/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  <cell r="EF16">
            <v>18</v>
          </cell>
          <cell r="EG16"/>
          <cell r="EH16"/>
          <cell r="EI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  <cell r="EI19">
            <v>0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  <cell r="EF32">
            <v>4843</v>
          </cell>
          <cell r="EG32"/>
          <cell r="EH32"/>
          <cell r="EI32"/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  <cell r="EF33">
            <v>4677</v>
          </cell>
          <cell r="EG33"/>
          <cell r="EH33"/>
          <cell r="EI33"/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  <cell r="EF37">
            <v>11</v>
          </cell>
          <cell r="EG37"/>
          <cell r="EH37"/>
          <cell r="EI37"/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  <cell r="EF38">
            <v>10</v>
          </cell>
          <cell r="EG38"/>
          <cell r="EH38"/>
          <cell r="EI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5"/>
      <sheetData sheetId="6">
        <row r="4">
          <cell r="EI4">
            <v>46</v>
          </cell>
        </row>
        <row r="5">
          <cell r="EI5">
            <v>46</v>
          </cell>
        </row>
        <row r="8">
          <cell r="EI8"/>
        </row>
        <row r="9">
          <cell r="EI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T19">
            <v>58</v>
          </cell>
          <cell r="DU19">
            <v>90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  <cell r="EI19">
            <v>92</v>
          </cell>
        </row>
        <row r="22">
          <cell r="EI22">
            <v>7180</v>
          </cell>
        </row>
        <row r="23">
          <cell r="EI23">
            <v>7227</v>
          </cell>
        </row>
        <row r="27">
          <cell r="EI27">
            <v>294</v>
          </cell>
        </row>
        <row r="28">
          <cell r="EI28">
            <v>271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T41">
            <v>8397</v>
          </cell>
          <cell r="DU41">
            <v>13971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  <cell r="EI41">
            <v>14407</v>
          </cell>
        </row>
        <row r="47">
          <cell r="EI47">
            <v>2765</v>
          </cell>
        </row>
        <row r="48">
          <cell r="EI48"/>
        </row>
        <row r="52">
          <cell r="EI52">
            <v>6527</v>
          </cell>
        </row>
        <row r="53">
          <cell r="EI53"/>
        </row>
        <row r="57">
          <cell r="EI57"/>
        </row>
        <row r="58">
          <cell r="EI58"/>
        </row>
      </sheetData>
      <sheetData sheetId="7"/>
      <sheetData sheetId="8">
        <row r="4">
          <cell r="EI4">
            <v>328</v>
          </cell>
        </row>
        <row r="5">
          <cell r="EI5">
            <v>328</v>
          </cell>
        </row>
        <row r="8">
          <cell r="EI8"/>
        </row>
        <row r="9">
          <cell r="EI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T19">
            <v>644</v>
          </cell>
          <cell r="DU19">
            <v>603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  <cell r="EI19">
            <v>656</v>
          </cell>
        </row>
        <row r="22">
          <cell r="EI22">
            <v>80390</v>
          </cell>
        </row>
        <row r="23">
          <cell r="EI23">
            <v>80327</v>
          </cell>
        </row>
        <row r="27">
          <cell r="EI27">
            <v>2611</v>
          </cell>
        </row>
        <row r="28">
          <cell r="EI28">
            <v>2506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T41">
            <v>71195</v>
          </cell>
          <cell r="DU41">
            <v>68564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  <cell r="EI41">
            <v>160717</v>
          </cell>
        </row>
        <row r="47">
          <cell r="EI47">
            <v>38317</v>
          </cell>
        </row>
        <row r="48">
          <cell r="EI48">
            <v>2228</v>
          </cell>
        </row>
        <row r="52">
          <cell r="EI52">
            <v>13801</v>
          </cell>
        </row>
        <row r="53">
          <cell r="EI53">
            <v>16674</v>
          </cell>
        </row>
        <row r="57">
          <cell r="EI57"/>
        </row>
        <row r="58">
          <cell r="EI58"/>
        </row>
      </sheetData>
      <sheetData sheetId="9"/>
      <sheetData sheetId="10">
        <row r="4">
          <cell r="EI4">
            <v>720</v>
          </cell>
        </row>
        <row r="5">
          <cell r="EI5">
            <v>707</v>
          </cell>
        </row>
        <row r="8">
          <cell r="EI8">
            <v>48</v>
          </cell>
        </row>
        <row r="9">
          <cell r="EI9">
            <v>50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  <cell r="EF15">
            <v>5</v>
          </cell>
          <cell r="EG15">
            <v>17</v>
          </cell>
          <cell r="EH15">
            <v>32</v>
          </cell>
          <cell r="EI15">
            <v>91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  <cell r="EF16">
            <v>5</v>
          </cell>
          <cell r="EG16">
            <v>18</v>
          </cell>
          <cell r="EH16">
            <v>32</v>
          </cell>
          <cell r="EI16">
            <v>101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T19">
            <v>1214</v>
          </cell>
          <cell r="DU19">
            <v>1566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  <cell r="EI19">
            <v>1717</v>
          </cell>
        </row>
        <row r="22">
          <cell r="EI22">
            <v>76709</v>
          </cell>
        </row>
        <row r="23">
          <cell r="EI23">
            <v>81728</v>
          </cell>
        </row>
        <row r="27">
          <cell r="EI27">
            <v>1724</v>
          </cell>
        </row>
        <row r="28">
          <cell r="EI28">
            <v>1599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  <cell r="EF32">
            <v>651</v>
          </cell>
          <cell r="EG32">
            <v>2552</v>
          </cell>
          <cell r="EH32">
            <v>4331</v>
          </cell>
          <cell r="EI32">
            <v>9162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  <cell r="EG33">
            <v>2935</v>
          </cell>
          <cell r="EH33">
            <v>5041</v>
          </cell>
          <cell r="EI33">
            <v>14153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  <cell r="EF37">
            <v>2</v>
          </cell>
          <cell r="EG37">
            <v>11</v>
          </cell>
          <cell r="EH37">
            <v>46</v>
          </cell>
          <cell r="EI37">
            <v>43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  <cell r="EG38">
            <v>36</v>
          </cell>
          <cell r="EH38">
            <v>37</v>
          </cell>
          <cell r="EI38">
            <v>63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T41">
            <v>114795</v>
          </cell>
          <cell r="DU41">
            <v>169822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  <cell r="EI41">
            <v>181752</v>
          </cell>
        </row>
        <row r="47">
          <cell r="EI47">
            <v>192655</v>
          </cell>
        </row>
        <row r="48">
          <cell r="EI48">
            <v>514702</v>
          </cell>
        </row>
        <row r="52">
          <cell r="EI52">
            <v>149173</v>
          </cell>
        </row>
        <row r="53">
          <cell r="EI53">
            <v>932065</v>
          </cell>
        </row>
        <row r="57">
          <cell r="EI57"/>
        </row>
        <row r="58">
          <cell r="EI58"/>
        </row>
        <row r="70">
          <cell r="EI70">
            <v>72614</v>
          </cell>
        </row>
        <row r="71">
          <cell r="EI71">
            <v>9114</v>
          </cell>
        </row>
        <row r="73">
          <cell r="EI73">
            <v>14046</v>
          </cell>
        </row>
        <row r="74">
          <cell r="EI74">
            <v>107</v>
          </cell>
        </row>
      </sheetData>
      <sheetData sheetId="11"/>
      <sheetData sheetId="12">
        <row r="4">
          <cell r="EJ4"/>
        </row>
        <row r="8">
          <cell r="EI8"/>
        </row>
        <row r="9">
          <cell r="EI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  <cell r="EF15">
            <v>2</v>
          </cell>
          <cell r="EG15"/>
          <cell r="EH15"/>
          <cell r="EI15"/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  <cell r="EF16">
            <v>2</v>
          </cell>
          <cell r="EG16"/>
          <cell r="EH16"/>
          <cell r="EI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  <cell r="EF32">
            <v>506</v>
          </cell>
          <cell r="EG32"/>
          <cell r="EH32"/>
          <cell r="EI32"/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  <cell r="EG33"/>
          <cell r="EH33"/>
          <cell r="EI33"/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  <cell r="EF37"/>
          <cell r="EG37"/>
          <cell r="EH37"/>
          <cell r="EI37"/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  <cell r="EG38"/>
          <cell r="EH38"/>
          <cell r="EI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13">
        <row r="4">
          <cell r="EI4">
            <v>4768</v>
          </cell>
        </row>
        <row r="5">
          <cell r="EI5">
            <v>4758</v>
          </cell>
        </row>
        <row r="8">
          <cell r="EI8">
            <v>1</v>
          </cell>
        </row>
        <row r="9">
          <cell r="EI9">
            <v>4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  <cell r="EF15">
            <v>278</v>
          </cell>
          <cell r="EG15">
            <v>253</v>
          </cell>
          <cell r="EH15">
            <v>289</v>
          </cell>
          <cell r="EI15">
            <v>269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  <cell r="EF16">
            <v>278</v>
          </cell>
          <cell r="EG16">
            <v>250</v>
          </cell>
          <cell r="EH16">
            <v>286</v>
          </cell>
          <cell r="EI16">
            <v>267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T19">
            <v>9578</v>
          </cell>
          <cell r="DU19">
            <v>9864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  <cell r="EI19">
            <v>10067</v>
          </cell>
        </row>
        <row r="22">
          <cell r="EI22">
            <v>629309</v>
          </cell>
        </row>
        <row r="23">
          <cell r="EI23">
            <v>635672</v>
          </cell>
        </row>
        <row r="27">
          <cell r="EI27">
            <v>22135</v>
          </cell>
        </row>
        <row r="28">
          <cell r="EI28">
            <v>21119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  <cell r="EF32">
            <v>56327</v>
          </cell>
          <cell r="EG32">
            <v>53457</v>
          </cell>
          <cell r="EH32">
            <v>56803</v>
          </cell>
          <cell r="EI32">
            <v>42765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  <cell r="EF33">
            <v>56211</v>
          </cell>
          <cell r="EG33">
            <v>50132</v>
          </cell>
          <cell r="EH33">
            <v>53499</v>
          </cell>
          <cell r="EI33">
            <v>51121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  <cell r="EF37">
            <v>1336</v>
          </cell>
          <cell r="EG37">
            <v>1565</v>
          </cell>
          <cell r="EH37">
            <v>1692</v>
          </cell>
          <cell r="EI37">
            <v>1373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  <cell r="EF38">
            <v>1444</v>
          </cell>
          <cell r="EG38">
            <v>1380</v>
          </cell>
          <cell r="EH38">
            <v>1567</v>
          </cell>
          <cell r="EI38">
            <v>1377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T41">
            <v>1225701</v>
          </cell>
          <cell r="DU41">
            <v>1303635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  <cell r="EI41">
            <v>1358867</v>
          </cell>
        </row>
        <row r="47">
          <cell r="EI47">
            <v>3595749</v>
          </cell>
        </row>
        <row r="48">
          <cell r="EI48">
            <v>1172146</v>
          </cell>
        </row>
        <row r="52">
          <cell r="EI52">
            <v>2020855</v>
          </cell>
        </row>
        <row r="53">
          <cell r="EI53">
            <v>1722323</v>
          </cell>
        </row>
        <row r="57">
          <cell r="EI57"/>
        </row>
        <row r="58">
          <cell r="EI58"/>
        </row>
        <row r="70">
          <cell r="EI70">
            <v>305758</v>
          </cell>
        </row>
        <row r="71">
          <cell r="EI71">
            <v>329914</v>
          </cell>
        </row>
        <row r="73">
          <cell r="EI73">
            <v>24589</v>
          </cell>
        </row>
        <row r="74">
          <cell r="EI74">
            <v>26532</v>
          </cell>
        </row>
      </sheetData>
      <sheetData sheetId="14">
        <row r="4">
          <cell r="EI4">
            <v>112</v>
          </cell>
        </row>
        <row r="5">
          <cell r="EI5">
            <v>112</v>
          </cell>
        </row>
        <row r="8">
          <cell r="EI8"/>
        </row>
        <row r="9">
          <cell r="EI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T19">
            <v>328</v>
          </cell>
          <cell r="DU19">
            <v>288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  <cell r="EI19">
            <v>224</v>
          </cell>
        </row>
        <row r="22">
          <cell r="EI22">
            <v>15962</v>
          </cell>
        </row>
        <row r="23">
          <cell r="EI23">
            <v>15962</v>
          </cell>
        </row>
        <row r="27">
          <cell r="EI27">
            <v>149</v>
          </cell>
        </row>
        <row r="28">
          <cell r="EI28">
            <v>149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T41">
            <v>44282</v>
          </cell>
          <cell r="DU41">
            <v>38811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  <cell r="EI41">
            <v>31924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15">
        <row r="4">
          <cell r="EI4">
            <v>70</v>
          </cell>
        </row>
        <row r="5">
          <cell r="EI5">
            <v>69</v>
          </cell>
        </row>
        <row r="8">
          <cell r="EI8"/>
        </row>
        <row r="9">
          <cell r="EI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T19">
            <v>220</v>
          </cell>
          <cell r="DU19">
            <v>212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  <cell r="EI19">
            <v>139</v>
          </cell>
        </row>
        <row r="22">
          <cell r="EI22">
            <v>222</v>
          </cell>
        </row>
        <row r="23">
          <cell r="EI23">
            <v>224</v>
          </cell>
        </row>
        <row r="27">
          <cell r="EI27">
            <v>26</v>
          </cell>
        </row>
        <row r="28">
          <cell r="EI28">
            <v>32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T41">
            <v>961</v>
          </cell>
          <cell r="DU41">
            <v>873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  <cell r="EI41">
            <v>446</v>
          </cell>
        </row>
        <row r="47">
          <cell r="EI47">
            <v>46</v>
          </cell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16">
        <row r="8">
          <cell r="EI8"/>
        </row>
        <row r="9">
          <cell r="EI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  <cell r="EF15">
            <v>24</v>
          </cell>
          <cell r="EG15">
            <v>21</v>
          </cell>
          <cell r="EH15">
            <v>17</v>
          </cell>
          <cell r="EI15">
            <v>16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  <cell r="EF16">
            <v>24</v>
          </cell>
          <cell r="EG16">
            <v>21</v>
          </cell>
          <cell r="EH16">
            <v>17</v>
          </cell>
          <cell r="EI16">
            <v>16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  <cell r="EI19">
            <v>32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  <cell r="EF32">
            <v>3866</v>
          </cell>
          <cell r="EG32">
            <v>2987</v>
          </cell>
          <cell r="EH32">
            <v>2154</v>
          </cell>
          <cell r="EI32">
            <v>1888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  <cell r="EG33">
            <v>2839</v>
          </cell>
          <cell r="EH33">
            <v>2071</v>
          </cell>
          <cell r="EI33">
            <v>2153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  <cell r="EF37">
            <v>90</v>
          </cell>
          <cell r="EG37">
            <v>104</v>
          </cell>
          <cell r="EH37">
            <v>152</v>
          </cell>
          <cell r="EI37">
            <v>165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  <cell r="EG38">
            <v>104</v>
          </cell>
          <cell r="EH38">
            <v>144</v>
          </cell>
          <cell r="EI38">
            <v>176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  <cell r="EI41">
            <v>4041</v>
          </cell>
        </row>
        <row r="47">
          <cell r="EI47">
            <v>58163</v>
          </cell>
        </row>
        <row r="48">
          <cell r="EI48"/>
        </row>
        <row r="52">
          <cell r="EI52">
            <v>8116</v>
          </cell>
        </row>
        <row r="53">
          <cell r="EI53"/>
        </row>
        <row r="57">
          <cell r="EI57"/>
        </row>
        <row r="58">
          <cell r="EI58"/>
        </row>
      </sheetData>
      <sheetData sheetId="17"/>
      <sheetData sheetId="18"/>
      <sheetData sheetId="19"/>
      <sheetData sheetId="20">
        <row r="4">
          <cell r="EJ4"/>
        </row>
        <row r="8">
          <cell r="EI8"/>
        </row>
        <row r="9">
          <cell r="EI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  <cell r="EF15">
            <v>86</v>
          </cell>
          <cell r="EG15">
            <v>93</v>
          </cell>
          <cell r="EH15">
            <v>84</v>
          </cell>
          <cell r="EI15"/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  <cell r="EF16">
            <v>86</v>
          </cell>
          <cell r="EG16">
            <v>92</v>
          </cell>
          <cell r="EH16">
            <v>84</v>
          </cell>
          <cell r="EI16"/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T19">
            <v>150</v>
          </cell>
          <cell r="DU19">
            <v>158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  <cell r="EI19">
            <v>0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  <cell r="EF32">
            <v>3825</v>
          </cell>
          <cell r="EG32">
            <v>4083</v>
          </cell>
          <cell r="EH32">
            <v>3025</v>
          </cell>
          <cell r="EI32"/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  <cell r="EG33">
            <v>3752</v>
          </cell>
          <cell r="EH33">
            <v>2885</v>
          </cell>
          <cell r="EI33"/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  <cell r="EF37">
            <v>29</v>
          </cell>
          <cell r="EG37">
            <v>44</v>
          </cell>
          <cell r="EH37">
            <v>25</v>
          </cell>
          <cell r="EI37"/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  <cell r="EG38">
            <v>43</v>
          </cell>
          <cell r="EH38">
            <v>25</v>
          </cell>
          <cell r="EI38"/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T41">
            <v>5876</v>
          </cell>
          <cell r="DU41">
            <v>6645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G58"/>
        </row>
      </sheetData>
      <sheetData sheetId="21">
        <row r="4">
          <cell r="EI4">
            <v>642</v>
          </cell>
        </row>
        <row r="5">
          <cell r="EI5">
            <v>640</v>
          </cell>
        </row>
        <row r="8">
          <cell r="EI8">
            <v>2</v>
          </cell>
        </row>
        <row r="9">
          <cell r="EI9">
            <v>1</v>
          </cell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T19">
            <v>1067</v>
          </cell>
          <cell r="DU19">
            <v>1183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  <cell r="EI19">
            <v>1285</v>
          </cell>
        </row>
        <row r="22">
          <cell r="EI22">
            <v>74005</v>
          </cell>
        </row>
        <row r="23">
          <cell r="EI23">
            <v>74312</v>
          </cell>
        </row>
        <row r="27">
          <cell r="EI27">
            <v>1129</v>
          </cell>
        </row>
        <row r="28">
          <cell r="EI28">
            <v>1175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T41">
            <v>115668</v>
          </cell>
          <cell r="DU41">
            <v>135597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  <cell r="EI41">
            <v>148317</v>
          </cell>
        </row>
        <row r="47">
          <cell r="EI47">
            <v>205317</v>
          </cell>
        </row>
        <row r="48">
          <cell r="EI48"/>
        </row>
        <row r="52">
          <cell r="EI52">
            <v>140596</v>
          </cell>
        </row>
        <row r="53">
          <cell r="EI53"/>
        </row>
        <row r="57">
          <cell r="EI57"/>
        </row>
        <row r="58">
          <cell r="EI58"/>
        </row>
        <row r="70">
          <cell r="EI70">
            <v>73903</v>
          </cell>
        </row>
        <row r="71">
          <cell r="EI71">
            <v>409</v>
          </cell>
        </row>
        <row r="73">
          <cell r="EI73"/>
        </row>
        <row r="74">
          <cell r="EI74"/>
        </row>
      </sheetData>
      <sheetData sheetId="22">
        <row r="4">
          <cell r="EI4">
            <v>337</v>
          </cell>
        </row>
        <row r="5">
          <cell r="EI5">
            <v>337</v>
          </cell>
        </row>
        <row r="8">
          <cell r="EI8"/>
        </row>
        <row r="9">
          <cell r="EI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T19">
            <v>650</v>
          </cell>
          <cell r="DU19">
            <v>680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  <cell r="EI19">
            <v>674</v>
          </cell>
        </row>
        <row r="22">
          <cell r="EI22">
            <v>46349</v>
          </cell>
        </row>
        <row r="23">
          <cell r="EI23">
            <v>59125</v>
          </cell>
        </row>
        <row r="27">
          <cell r="EI27">
            <v>356</v>
          </cell>
        </row>
        <row r="28">
          <cell r="EI28">
            <v>370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T41">
            <v>80610</v>
          </cell>
          <cell r="DU41">
            <v>91578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  <cell r="EI41">
            <v>105474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23">
        <row r="4">
          <cell r="EI4">
            <v>251</v>
          </cell>
        </row>
        <row r="5">
          <cell r="EI5">
            <v>251</v>
          </cell>
        </row>
        <row r="8">
          <cell r="EI8"/>
        </row>
        <row r="9">
          <cell r="EI9"/>
        </row>
        <row r="15">
          <cell r="EI15"/>
        </row>
        <row r="16">
          <cell r="EI16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T19">
            <v>152</v>
          </cell>
          <cell r="DU19">
            <v>74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  <cell r="EI19">
            <v>502</v>
          </cell>
        </row>
        <row r="22">
          <cell r="EI22">
            <v>28310</v>
          </cell>
        </row>
        <row r="23">
          <cell r="EI23">
            <v>29971</v>
          </cell>
        </row>
        <row r="27">
          <cell r="EI27">
            <v>1133</v>
          </cell>
        </row>
        <row r="28">
          <cell r="EI28">
            <v>1104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T41">
            <v>17140</v>
          </cell>
          <cell r="DU41">
            <v>9218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  <cell r="EI41">
            <v>58281</v>
          </cell>
        </row>
        <row r="47">
          <cell r="EI47">
            <v>28528</v>
          </cell>
        </row>
        <row r="48">
          <cell r="EI48">
            <v>140592</v>
          </cell>
        </row>
        <row r="52">
          <cell r="EI52">
            <v>20222</v>
          </cell>
        </row>
        <row r="53">
          <cell r="EI53">
            <v>178000</v>
          </cell>
        </row>
        <row r="57">
          <cell r="EI57"/>
        </row>
        <row r="58">
          <cell r="EI58"/>
        </row>
      </sheetData>
      <sheetData sheetId="24">
        <row r="4">
          <cell r="EI4">
            <v>318</v>
          </cell>
        </row>
        <row r="5">
          <cell r="EI5">
            <v>318</v>
          </cell>
        </row>
        <row r="8">
          <cell r="EI8"/>
        </row>
        <row r="9">
          <cell r="EI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T19">
            <v>691</v>
          </cell>
          <cell r="DU19">
            <v>695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  <cell r="EI19">
            <v>636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T41">
            <v>79682</v>
          </cell>
          <cell r="DU41">
            <v>90106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25"/>
      <sheetData sheetId="26"/>
      <sheetData sheetId="27">
        <row r="4">
          <cell r="EI4">
            <v>50</v>
          </cell>
        </row>
        <row r="5">
          <cell r="EI5">
            <v>50</v>
          </cell>
        </row>
        <row r="8">
          <cell r="EI8"/>
        </row>
        <row r="9">
          <cell r="EI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  <cell r="EI19">
            <v>100</v>
          </cell>
        </row>
        <row r="22">
          <cell r="EI22">
            <v>2062</v>
          </cell>
        </row>
        <row r="23">
          <cell r="EI23">
            <v>2143</v>
          </cell>
        </row>
        <row r="27">
          <cell r="EI27">
            <v>97</v>
          </cell>
        </row>
        <row r="28">
          <cell r="EI28">
            <v>85</v>
          </cell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  <cell r="EI41">
            <v>4205</v>
          </cell>
        </row>
        <row r="47">
          <cell r="EI47"/>
        </row>
        <row r="48">
          <cell r="EI48"/>
        </row>
        <row r="52">
          <cell r="BH52"/>
        </row>
        <row r="53">
          <cell r="EI53"/>
        </row>
        <row r="57">
          <cell r="BG57"/>
        </row>
        <row r="58">
          <cell r="BG58"/>
        </row>
      </sheetData>
      <sheetData sheetId="28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T19">
            <v>164</v>
          </cell>
          <cell r="DU19">
            <v>116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T41">
            <v>10728</v>
          </cell>
          <cell r="DU41">
            <v>9928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29">
        <row r="4">
          <cell r="EI4">
            <v>460</v>
          </cell>
        </row>
        <row r="5">
          <cell r="EI5">
            <v>459</v>
          </cell>
        </row>
        <row r="8">
          <cell r="EI8"/>
        </row>
        <row r="9">
          <cell r="EI9">
            <v>2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  <cell r="EF15">
            <v>20</v>
          </cell>
          <cell r="EG15">
            <v>4</v>
          </cell>
          <cell r="EH15"/>
          <cell r="EI15">
            <v>85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  <cell r="EF16">
            <v>47</v>
          </cell>
          <cell r="EG16">
            <v>32</v>
          </cell>
          <cell r="EH16">
            <v>1</v>
          </cell>
          <cell r="EI16">
            <v>83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T19">
            <v>828</v>
          </cell>
          <cell r="DU19">
            <v>847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  <cell r="EI19">
            <v>1089</v>
          </cell>
        </row>
        <row r="22">
          <cell r="EI22">
            <v>25386</v>
          </cell>
        </row>
        <row r="23">
          <cell r="EI23">
            <v>25163</v>
          </cell>
        </row>
        <row r="27">
          <cell r="EI27">
            <v>870</v>
          </cell>
        </row>
        <row r="28">
          <cell r="EI28">
            <v>858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  <cell r="EF32">
            <v>1369</v>
          </cell>
          <cell r="EG32">
            <v>257</v>
          </cell>
          <cell r="EH32">
            <v>44</v>
          </cell>
          <cell r="EI32">
            <v>4708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  <cell r="EF33">
            <v>3008</v>
          </cell>
          <cell r="EG33">
            <v>1914</v>
          </cell>
          <cell r="EH33"/>
          <cell r="EI33">
            <v>4847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  <cell r="EF37">
            <v>17</v>
          </cell>
          <cell r="EG37">
            <v>3</v>
          </cell>
          <cell r="EH37"/>
          <cell r="EI37">
            <v>70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  <cell r="EF38">
            <v>43</v>
          </cell>
          <cell r="EG38">
            <v>28</v>
          </cell>
          <cell r="EH38"/>
          <cell r="EI38">
            <v>72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T41">
            <v>44836</v>
          </cell>
          <cell r="DU41">
            <v>46166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  <cell r="EI41">
            <v>60104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G58"/>
        </row>
        <row r="70">
          <cell r="EI70">
            <v>8757</v>
          </cell>
        </row>
        <row r="71">
          <cell r="EI71">
            <v>16406</v>
          </cell>
        </row>
        <row r="73">
          <cell r="EI73">
            <v>1687</v>
          </cell>
        </row>
        <row r="74">
          <cell r="EI74">
            <v>3160</v>
          </cell>
        </row>
      </sheetData>
      <sheetData sheetId="30">
        <row r="4">
          <cell r="EI4"/>
        </row>
        <row r="5">
          <cell r="EI5"/>
        </row>
        <row r="8">
          <cell r="EI8"/>
        </row>
        <row r="9">
          <cell r="EI9"/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31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32"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  <cell r="EI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  <cell r="EI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  <cell r="EI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33">
        <row r="4">
          <cell r="EI4">
            <v>529</v>
          </cell>
        </row>
        <row r="5">
          <cell r="EI5">
            <v>525</v>
          </cell>
        </row>
        <row r="8">
          <cell r="EI8"/>
        </row>
        <row r="9">
          <cell r="EI9">
            <v>4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  <cell r="EF15"/>
          <cell r="EG15">
            <v>116</v>
          </cell>
          <cell r="EH15">
            <v>139</v>
          </cell>
          <cell r="EI15">
            <v>88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  <cell r="EF16">
            <v>1</v>
          </cell>
          <cell r="EG16">
            <v>115</v>
          </cell>
          <cell r="EH16">
            <v>140</v>
          </cell>
          <cell r="EI16">
            <v>87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T19">
            <v>1866</v>
          </cell>
          <cell r="DU19">
            <v>1526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  <cell r="EI19">
            <v>1233</v>
          </cell>
        </row>
        <row r="22">
          <cell r="EI22">
            <v>31529</v>
          </cell>
        </row>
        <row r="23">
          <cell r="EI23">
            <v>32972</v>
          </cell>
        </row>
        <row r="27">
          <cell r="EI27">
            <v>1042</v>
          </cell>
        </row>
        <row r="28">
          <cell r="EI28">
            <v>1049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  <cell r="EF32"/>
          <cell r="EG32">
            <v>7809</v>
          </cell>
          <cell r="EH32">
            <v>8808</v>
          </cell>
          <cell r="EI32">
            <v>5485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  <cell r="EF33">
            <v>76</v>
          </cell>
          <cell r="EG33">
            <v>7519</v>
          </cell>
          <cell r="EH33">
            <v>8720</v>
          </cell>
          <cell r="EI33">
            <v>5419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  <cell r="EF37"/>
          <cell r="EG37">
            <v>54</v>
          </cell>
          <cell r="EH37">
            <v>93</v>
          </cell>
          <cell r="EI37">
            <v>52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  <cell r="EF38"/>
          <cell r="EG38">
            <v>76</v>
          </cell>
          <cell r="EH38">
            <v>88</v>
          </cell>
          <cell r="EI38">
            <v>67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T41">
            <v>107862</v>
          </cell>
          <cell r="DU41">
            <v>86270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  <cell r="EI41">
            <v>75405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G58"/>
        </row>
        <row r="70">
          <cell r="BG70">
            <v>26242</v>
          </cell>
          <cell r="EI70">
            <v>13716</v>
          </cell>
        </row>
        <row r="71">
          <cell r="BG71">
            <v>44562</v>
          </cell>
          <cell r="EI71">
            <v>19256</v>
          </cell>
        </row>
        <row r="73">
          <cell r="BG73">
            <v>1540</v>
          </cell>
          <cell r="EI73">
            <v>2254</v>
          </cell>
        </row>
        <row r="74">
          <cell r="BG74">
            <v>2614</v>
          </cell>
          <cell r="EI74">
            <v>3165</v>
          </cell>
        </row>
      </sheetData>
      <sheetData sheetId="34"/>
      <sheetData sheetId="35">
        <row r="4">
          <cell r="EI4">
            <v>533</v>
          </cell>
        </row>
        <row r="5">
          <cell r="EI5">
            <v>533</v>
          </cell>
        </row>
        <row r="8">
          <cell r="EI8"/>
        </row>
        <row r="9">
          <cell r="EI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T19">
            <v>390</v>
          </cell>
          <cell r="DU19">
            <v>412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  <cell r="EI19">
            <v>1066</v>
          </cell>
        </row>
        <row r="22">
          <cell r="EI22">
            <v>32128</v>
          </cell>
        </row>
        <row r="23">
          <cell r="EI23">
            <v>32218</v>
          </cell>
        </row>
        <row r="27">
          <cell r="EI27">
            <v>1156</v>
          </cell>
        </row>
        <row r="28">
          <cell r="EI28">
            <v>1054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T41">
            <v>14163</v>
          </cell>
          <cell r="DU41">
            <v>16051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  <cell r="EI41">
            <v>64346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G58"/>
        </row>
      </sheetData>
      <sheetData sheetId="36"/>
      <sheetData sheetId="37">
        <row r="4">
          <cell r="EI4"/>
        </row>
        <row r="5">
          <cell r="EI5"/>
        </row>
        <row r="8">
          <cell r="EI8"/>
        </row>
        <row r="9">
          <cell r="EI9"/>
        </row>
        <row r="15">
          <cell r="EI15"/>
        </row>
        <row r="16">
          <cell r="EI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32">
          <cell r="EI32"/>
        </row>
        <row r="33">
          <cell r="EI33"/>
        </row>
        <row r="37">
          <cell r="EI37"/>
        </row>
        <row r="38">
          <cell r="EI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AJ57"/>
        </row>
        <row r="58">
          <cell r="AJ58"/>
        </row>
        <row r="70">
          <cell r="EI70"/>
        </row>
        <row r="71">
          <cell r="EI71"/>
        </row>
        <row r="73">
          <cell r="EI73"/>
        </row>
        <row r="74">
          <cell r="EI74"/>
        </row>
      </sheetData>
      <sheetData sheetId="38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T19">
            <v>188</v>
          </cell>
          <cell r="DU19">
            <v>344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T41">
            <v>11425</v>
          </cell>
          <cell r="DU41">
            <v>22162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AJ57"/>
        </row>
        <row r="58">
          <cell r="AJ58"/>
        </row>
      </sheetData>
      <sheetData sheetId="39"/>
      <sheetData sheetId="40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T19">
            <v>130</v>
          </cell>
          <cell r="DU19">
            <v>120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T41">
            <v>6786</v>
          </cell>
          <cell r="DU41">
            <v>7647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41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2</v>
          </cell>
          <cell r="DU19">
            <v>2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T41">
            <v>68</v>
          </cell>
          <cell r="DU41">
            <v>68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AJ57"/>
        </row>
        <row r="58">
          <cell r="AJ58"/>
        </row>
      </sheetData>
      <sheetData sheetId="42"/>
      <sheetData sheetId="43">
        <row r="4">
          <cell r="EI4">
            <v>1948</v>
          </cell>
        </row>
        <row r="5">
          <cell r="EI5">
            <v>1944</v>
          </cell>
        </row>
        <row r="8">
          <cell r="EI8">
            <v>2</v>
          </cell>
        </row>
        <row r="9">
          <cell r="EI9">
            <v>6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  <cell r="EF15">
            <v>319</v>
          </cell>
          <cell r="EG15">
            <v>265</v>
          </cell>
          <cell r="EH15">
            <v>168</v>
          </cell>
          <cell r="EI15">
            <v>286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  <cell r="EF16">
            <v>292</v>
          </cell>
          <cell r="EG16">
            <v>238</v>
          </cell>
          <cell r="EH16">
            <v>168</v>
          </cell>
          <cell r="EI16">
            <v>286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T19">
            <v>6848</v>
          </cell>
          <cell r="DU19">
            <v>6923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  <cell r="EI19">
            <v>4472</v>
          </cell>
        </row>
        <row r="22">
          <cell r="EI22">
            <v>111181</v>
          </cell>
        </row>
        <row r="23">
          <cell r="EI23">
            <v>110407</v>
          </cell>
        </row>
        <row r="27">
          <cell r="EI27">
            <v>3944</v>
          </cell>
        </row>
        <row r="28">
          <cell r="EI28">
            <v>3961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  <cell r="EF32">
            <v>21091</v>
          </cell>
          <cell r="EG32">
            <v>18640</v>
          </cell>
          <cell r="EH32">
            <v>10626</v>
          </cell>
          <cell r="EI32">
            <v>17326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  <cell r="EF33">
            <v>19793</v>
          </cell>
          <cell r="EG33">
            <v>16300</v>
          </cell>
          <cell r="EH33">
            <v>10417</v>
          </cell>
          <cell r="EI33">
            <v>16143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  <cell r="EF37">
            <v>296</v>
          </cell>
          <cell r="EG37">
            <v>234</v>
          </cell>
          <cell r="EH37">
            <v>90</v>
          </cell>
          <cell r="EI37">
            <v>224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  <cell r="EF38">
            <v>275</v>
          </cell>
          <cell r="EG38">
            <v>257</v>
          </cell>
          <cell r="EH38">
            <v>106</v>
          </cell>
          <cell r="EI38">
            <v>224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T41">
            <v>339440</v>
          </cell>
          <cell r="DU41">
            <v>356311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  <cell r="EI41">
            <v>255057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  <row r="70">
          <cell r="EI70">
            <v>36213</v>
          </cell>
        </row>
        <row r="71">
          <cell r="EI71">
            <v>74194</v>
          </cell>
        </row>
        <row r="73">
          <cell r="EI73">
            <v>5295</v>
          </cell>
        </row>
        <row r="74">
          <cell r="EI74">
            <v>10848</v>
          </cell>
        </row>
      </sheetData>
      <sheetData sheetId="44"/>
      <sheetData sheetId="45">
        <row r="4">
          <cell r="EI4">
            <v>12</v>
          </cell>
        </row>
        <row r="5">
          <cell r="EI5">
            <v>12</v>
          </cell>
        </row>
        <row r="8">
          <cell r="EI8"/>
        </row>
        <row r="9">
          <cell r="EI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T19">
            <v>34</v>
          </cell>
          <cell r="DU19">
            <v>101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  <cell r="EI19">
            <v>24</v>
          </cell>
        </row>
        <row r="22">
          <cell r="EI22">
            <v>765</v>
          </cell>
        </row>
        <row r="23">
          <cell r="EI23">
            <v>838</v>
          </cell>
        </row>
        <row r="27">
          <cell r="EI27"/>
        </row>
        <row r="28">
          <cell r="EI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T41">
            <v>1785</v>
          </cell>
          <cell r="DU41">
            <v>5371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  <cell r="EI41">
            <v>1603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46"/>
      <sheetData sheetId="47"/>
      <sheetData sheetId="48">
        <row r="4">
          <cell r="EI4">
            <v>2304</v>
          </cell>
        </row>
        <row r="5">
          <cell r="EI5">
            <v>2301</v>
          </cell>
        </row>
        <row r="8">
          <cell r="EI8"/>
        </row>
        <row r="9">
          <cell r="EI9">
            <v>7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  <cell r="EF15">
            <v>119</v>
          </cell>
          <cell r="EG15">
            <v>144</v>
          </cell>
          <cell r="EH15">
            <v>164</v>
          </cell>
          <cell r="EI15">
            <v>63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  <cell r="EF16">
            <v>119</v>
          </cell>
          <cell r="EG16">
            <v>142</v>
          </cell>
          <cell r="EH16">
            <v>165</v>
          </cell>
          <cell r="EI16">
            <v>61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T19">
            <v>2512</v>
          </cell>
          <cell r="DU19">
            <v>2736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  <cell r="EI19">
            <v>4736</v>
          </cell>
        </row>
        <row r="22">
          <cell r="EI22">
            <v>100860</v>
          </cell>
        </row>
        <row r="23">
          <cell r="EI23">
            <v>98695</v>
          </cell>
        </row>
        <row r="27">
          <cell r="EI27">
            <v>3763</v>
          </cell>
        </row>
        <row r="28">
          <cell r="EI28">
            <v>3973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  <cell r="EF32">
            <v>5849</v>
          </cell>
          <cell r="EG32">
            <v>7141</v>
          </cell>
          <cell r="EH32">
            <v>9976</v>
          </cell>
          <cell r="EI32">
            <v>3416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  <cell r="EF33">
            <v>5920</v>
          </cell>
          <cell r="EG33">
            <v>7025</v>
          </cell>
          <cell r="EH33">
            <v>9764</v>
          </cell>
          <cell r="EI33">
            <v>3495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  <cell r="EF37">
            <v>42</v>
          </cell>
          <cell r="EG37">
            <v>80</v>
          </cell>
          <cell r="EH37">
            <v>105</v>
          </cell>
          <cell r="EI37">
            <v>48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  <cell r="EF38">
            <v>47</v>
          </cell>
          <cell r="EG38">
            <v>75</v>
          </cell>
          <cell r="EH38">
            <v>118</v>
          </cell>
          <cell r="EI38">
            <v>54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T41">
            <v>95931</v>
          </cell>
          <cell r="DU41">
            <v>109023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  <cell r="EI41">
            <v>206466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  <row r="70">
          <cell r="EI70">
            <v>23292</v>
          </cell>
        </row>
        <row r="71">
          <cell r="EI71">
            <v>75403</v>
          </cell>
        </row>
        <row r="73">
          <cell r="EI73">
            <v>825</v>
          </cell>
        </row>
        <row r="74">
          <cell r="EI74">
            <v>2670</v>
          </cell>
        </row>
      </sheetData>
      <sheetData sheetId="49">
        <row r="4">
          <cell r="EI4"/>
        </row>
        <row r="5">
          <cell r="EI5"/>
        </row>
        <row r="8">
          <cell r="EI8"/>
        </row>
        <row r="9">
          <cell r="EI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T19">
            <v>592</v>
          </cell>
          <cell r="DU19">
            <v>454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T41">
            <v>36075</v>
          </cell>
          <cell r="DU41">
            <v>27832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  <row r="70">
          <cell r="EI70"/>
        </row>
        <row r="71">
          <cell r="EI71"/>
        </row>
        <row r="73">
          <cell r="EI73"/>
        </row>
        <row r="74">
          <cell r="EI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</row>
      </sheetData>
      <sheetData sheetId="51"/>
      <sheetData sheetId="52"/>
      <sheetData sheetId="53">
        <row r="4">
          <cell r="EI4"/>
        </row>
        <row r="5">
          <cell r="EI5"/>
        </row>
        <row r="8">
          <cell r="EI8"/>
        </row>
        <row r="9">
          <cell r="EI9"/>
        </row>
        <row r="15">
          <cell r="EI15"/>
        </row>
        <row r="16">
          <cell r="EI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T19">
            <v>232</v>
          </cell>
          <cell r="DU19">
            <v>232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</row>
        <row r="22">
          <cell r="EI22"/>
        </row>
        <row r="23">
          <cell r="EI23"/>
        </row>
        <row r="27">
          <cell r="EI27"/>
        </row>
        <row r="28">
          <cell r="EI28"/>
        </row>
        <row r="32">
          <cell r="EI32"/>
        </row>
        <row r="33">
          <cell r="EI33"/>
        </row>
        <row r="37">
          <cell r="EI37"/>
        </row>
        <row r="38">
          <cell r="EI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T41">
            <v>12391</v>
          </cell>
          <cell r="DU41">
            <v>14013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G58"/>
        </row>
      </sheetData>
      <sheetData sheetId="54">
        <row r="4">
          <cell r="EI4">
            <v>77</v>
          </cell>
        </row>
        <row r="5">
          <cell r="EI5">
            <v>77</v>
          </cell>
        </row>
        <row r="8">
          <cell r="EI8"/>
        </row>
        <row r="9">
          <cell r="EI9"/>
        </row>
        <row r="15">
          <cell r="EI15"/>
        </row>
        <row r="16">
          <cell r="EI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T19">
            <v>182</v>
          </cell>
          <cell r="DU19">
            <v>246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  <cell r="EI19">
            <v>154</v>
          </cell>
        </row>
        <row r="22">
          <cell r="EI22">
            <v>3329</v>
          </cell>
        </row>
        <row r="23">
          <cell r="EI23">
            <v>3218</v>
          </cell>
        </row>
        <row r="27">
          <cell r="EI27">
            <v>121</v>
          </cell>
        </row>
        <row r="28">
          <cell r="EI28">
            <v>83</v>
          </cell>
        </row>
        <row r="32">
          <cell r="EI32"/>
        </row>
        <row r="33">
          <cell r="EI33"/>
        </row>
        <row r="37">
          <cell r="EI37"/>
        </row>
        <row r="38">
          <cell r="EI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T41">
            <v>10578</v>
          </cell>
          <cell r="DU41">
            <v>15263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  <cell r="EI41">
            <v>6547</v>
          </cell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BH58"/>
        </row>
        <row r="70">
          <cell r="EI70">
            <v>1335</v>
          </cell>
        </row>
        <row r="71">
          <cell r="EI71">
            <v>1883</v>
          </cell>
        </row>
        <row r="73">
          <cell r="EI73"/>
        </row>
        <row r="74">
          <cell r="EI74"/>
        </row>
      </sheetData>
      <sheetData sheetId="55"/>
      <sheetData sheetId="56"/>
      <sheetData sheetId="57"/>
      <sheetData sheetId="58">
        <row r="4">
          <cell r="EI4"/>
        </row>
        <row r="5">
          <cell r="EI5"/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  <cell r="EI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  <cell r="EI16"/>
        </row>
        <row r="22">
          <cell r="EI22"/>
        </row>
        <row r="23">
          <cell r="EI23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  <cell r="EI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59">
        <row r="4">
          <cell r="EI4"/>
        </row>
        <row r="5">
          <cell r="EI5"/>
        </row>
        <row r="15">
          <cell r="EI15"/>
        </row>
        <row r="16">
          <cell r="EI16"/>
        </row>
        <row r="22">
          <cell r="EI22"/>
        </row>
        <row r="23">
          <cell r="EI23"/>
        </row>
        <row r="32">
          <cell r="EI32"/>
        </row>
        <row r="33">
          <cell r="EI33"/>
        </row>
      </sheetData>
      <sheetData sheetId="60">
        <row r="4">
          <cell r="EJ4">
            <v>1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  <cell r="EI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  <cell r="EI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  <cell r="EI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61">
        <row r="4">
          <cell r="EI4">
            <v>2</v>
          </cell>
        </row>
        <row r="5">
          <cell r="EI5">
            <v>2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  <cell r="EG15">
            <v>1</v>
          </cell>
          <cell r="EH15">
            <v>1</v>
          </cell>
          <cell r="EI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>
            <v>1</v>
          </cell>
          <cell r="EI16"/>
        </row>
        <row r="22">
          <cell r="EI22">
            <v>72</v>
          </cell>
        </row>
        <row r="23">
          <cell r="EI23">
            <v>72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>
            <v>150</v>
          </cell>
          <cell r="EI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>
            <v>150</v>
          </cell>
          <cell r="EI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>
            <v>3</v>
          </cell>
          <cell r="EH37"/>
          <cell r="EI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62"/>
      <sheetData sheetId="63">
        <row r="4">
          <cell r="EI4"/>
        </row>
        <row r="5">
          <cell r="EI5"/>
        </row>
        <row r="8">
          <cell r="EI8"/>
        </row>
        <row r="9">
          <cell r="EI9"/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64">
        <row r="4">
          <cell r="EI4">
            <v>23</v>
          </cell>
        </row>
        <row r="5">
          <cell r="EI5">
            <v>23</v>
          </cell>
        </row>
        <row r="47">
          <cell r="EI47">
            <v>689387</v>
          </cell>
        </row>
        <row r="48">
          <cell r="EI48"/>
        </row>
        <row r="52">
          <cell r="EI52">
            <v>505713</v>
          </cell>
        </row>
        <row r="53">
          <cell r="EI53"/>
        </row>
        <row r="57">
          <cell r="EI57"/>
        </row>
        <row r="58">
          <cell r="EI58"/>
        </row>
      </sheetData>
      <sheetData sheetId="65"/>
      <sheetData sheetId="66"/>
      <sheetData sheetId="67">
        <row r="15">
          <cell r="EI15">
            <v>21</v>
          </cell>
        </row>
        <row r="16">
          <cell r="EI16">
            <v>21</v>
          </cell>
        </row>
        <row r="47">
          <cell r="EI47">
            <v>17789</v>
          </cell>
        </row>
        <row r="48">
          <cell r="EI48"/>
        </row>
        <row r="52">
          <cell r="EI52">
            <v>74151</v>
          </cell>
        </row>
        <row r="53">
          <cell r="EI53"/>
        </row>
        <row r="57">
          <cell r="EI57"/>
        </row>
        <row r="58">
          <cell r="EI58"/>
        </row>
      </sheetData>
      <sheetData sheetId="68">
        <row r="4">
          <cell r="EI4">
            <v>183</v>
          </cell>
        </row>
        <row r="5">
          <cell r="EI5">
            <v>183</v>
          </cell>
        </row>
        <row r="15">
          <cell r="EI15"/>
        </row>
        <row r="47">
          <cell r="EI47">
            <v>5590248</v>
          </cell>
        </row>
        <row r="48">
          <cell r="EI48"/>
        </row>
        <row r="52">
          <cell r="EI52">
            <v>9568692</v>
          </cell>
        </row>
        <row r="53">
          <cell r="EI53"/>
        </row>
        <row r="57">
          <cell r="EI57"/>
        </row>
        <row r="58">
          <cell r="EI58"/>
        </row>
      </sheetData>
      <sheetData sheetId="69">
        <row r="4">
          <cell r="EI4">
            <v>138</v>
          </cell>
        </row>
        <row r="5">
          <cell r="EI5">
            <v>138</v>
          </cell>
        </row>
        <row r="15">
          <cell r="EI15">
            <v>15</v>
          </cell>
        </row>
        <row r="47">
          <cell r="EI47">
            <v>7551424</v>
          </cell>
        </row>
        <row r="48">
          <cell r="EI48">
            <v>1947</v>
          </cell>
        </row>
        <row r="52">
          <cell r="EI52">
            <v>6375641</v>
          </cell>
        </row>
        <row r="53">
          <cell r="EI53">
            <v>40142</v>
          </cell>
        </row>
        <row r="57">
          <cell r="EI57"/>
        </row>
        <row r="58">
          <cell r="EI58"/>
        </row>
      </sheetData>
      <sheetData sheetId="70"/>
      <sheetData sheetId="71"/>
      <sheetData sheetId="72"/>
      <sheetData sheetId="73">
        <row r="4">
          <cell r="EI4">
            <v>283</v>
          </cell>
        </row>
        <row r="5">
          <cell r="EI5">
            <v>283</v>
          </cell>
        </row>
      </sheetData>
      <sheetData sheetId="74">
        <row r="4">
          <cell r="EI4">
            <v>23</v>
          </cell>
        </row>
        <row r="5">
          <cell r="EI5">
            <v>23</v>
          </cell>
        </row>
        <row r="47">
          <cell r="EI47">
            <v>34667</v>
          </cell>
        </row>
        <row r="48">
          <cell r="EI48"/>
        </row>
        <row r="52">
          <cell r="EI52">
            <v>43885</v>
          </cell>
        </row>
        <row r="53">
          <cell r="EI53"/>
        </row>
        <row r="57">
          <cell r="EI57"/>
        </row>
        <row r="58">
          <cell r="EI58"/>
        </row>
      </sheetData>
      <sheetData sheetId="75">
        <row r="4">
          <cell r="EI4"/>
        </row>
        <row r="5">
          <cell r="EI5"/>
        </row>
        <row r="47">
          <cell r="EI47"/>
        </row>
        <row r="48">
          <cell r="EI48"/>
        </row>
        <row r="52">
          <cell r="EI52"/>
        </row>
        <row r="53">
          <cell r="EI53"/>
        </row>
        <row r="57">
          <cell r="EI57"/>
        </row>
        <row r="58">
          <cell r="EI58"/>
        </row>
      </sheetData>
      <sheetData sheetId="76">
        <row r="4">
          <cell r="EI4">
            <v>23</v>
          </cell>
        </row>
        <row r="5">
          <cell r="EI5">
            <v>23</v>
          </cell>
        </row>
        <row r="8">
          <cell r="EI8"/>
        </row>
        <row r="9">
          <cell r="EI9"/>
        </row>
        <row r="47">
          <cell r="EI47">
            <v>38486</v>
          </cell>
        </row>
        <row r="48">
          <cell r="EI48"/>
        </row>
        <row r="52">
          <cell r="EI52">
            <v>34998</v>
          </cell>
        </row>
        <row r="53">
          <cell r="EI53"/>
        </row>
        <row r="57">
          <cell r="EI57"/>
        </row>
        <row r="58">
          <cell r="EI58"/>
        </row>
      </sheetData>
      <sheetData sheetId="77">
        <row r="4">
          <cell r="EI4">
            <v>42</v>
          </cell>
        </row>
        <row r="5">
          <cell r="EI5">
            <v>42</v>
          </cell>
        </row>
      </sheetData>
      <sheetData sheetId="78">
        <row r="4">
          <cell r="EI4">
            <v>937</v>
          </cell>
        </row>
        <row r="5">
          <cell r="EI5">
            <v>937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8" zoomScale="115" zoomScaleNormal="115" zoomScaleSheetLayoutView="100" workbookViewId="0">
      <selection activeCell="K5" sqref="K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3" max="13" width="10.85546875" bestFit="1" customWidth="1"/>
    <col min="14" max="14" width="11.28515625" bestFit="1" customWidth="1"/>
  </cols>
  <sheetData>
    <row r="1" spans="1:15" hidden="1" x14ac:dyDescent="0.2"/>
    <row r="2" spans="1:15" ht="12.75" customHeight="1" x14ac:dyDescent="0.2">
      <c r="A2" s="396">
        <v>42339</v>
      </c>
      <c r="B2" s="17"/>
      <c r="C2" s="17"/>
      <c r="D2" s="487" t="s">
        <v>208</v>
      </c>
      <c r="E2" s="487" t="s">
        <v>183</v>
      </c>
      <c r="F2" s="8"/>
      <c r="G2" s="8"/>
      <c r="H2" s="8"/>
      <c r="I2" s="8"/>
      <c r="J2" s="24"/>
    </row>
    <row r="3" spans="1:15" ht="13.5" thickBot="1" x14ac:dyDescent="0.25">
      <c r="A3" s="402"/>
      <c r="B3" s="8" t="s">
        <v>0</v>
      </c>
      <c r="C3" s="8" t="s">
        <v>1</v>
      </c>
      <c r="D3" s="488"/>
      <c r="E3" s="489"/>
      <c r="F3" s="8" t="s">
        <v>2</v>
      </c>
      <c r="G3" s="8" t="s">
        <v>205</v>
      </c>
      <c r="H3" s="8" t="s">
        <v>184</v>
      </c>
      <c r="I3" s="8" t="s">
        <v>2</v>
      </c>
      <c r="J3" s="20"/>
    </row>
    <row r="4" spans="1:15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5" x14ac:dyDescent="0.2">
      <c r="A5" s="69" t="s">
        <v>4</v>
      </c>
      <c r="B5" s="288">
        <f>'Major Airline Stats'!J4</f>
        <v>1012251</v>
      </c>
      <c r="C5" s="290">
        <f>'Major Airline Stats'!J5</f>
        <v>1051975</v>
      </c>
      <c r="D5" s="5">
        <f>'Major Airline Stats'!J6</f>
        <v>2064226</v>
      </c>
      <c r="E5" s="9">
        <f>'[1]Monthly Summary'!D5</f>
        <v>1933258</v>
      </c>
      <c r="F5" s="40">
        <f>(D5-E5)/E5</f>
        <v>6.7744708673131052E-2</v>
      </c>
      <c r="G5" s="9">
        <f>+D5+'[2]Monthly Summary'!$G$5</f>
        <v>26995968</v>
      </c>
      <c r="H5" s="9">
        <f>'[1]Monthly Summary'!G5</f>
        <v>24630865</v>
      </c>
      <c r="I5" s="83">
        <f>(G5-H5)/H5</f>
        <v>9.6021922088404127E-2</v>
      </c>
      <c r="J5" s="9"/>
      <c r="K5" s="2">
        <f>+G5-'[3]Annual Summary'!$D$5</f>
        <v>0</v>
      </c>
      <c r="N5" s="2"/>
      <c r="O5" s="2"/>
    </row>
    <row r="6" spans="1:15" x14ac:dyDescent="0.2">
      <c r="A6" s="69" t="s">
        <v>5</v>
      </c>
      <c r="B6" s="288">
        <f>'Regional Major'!K5</f>
        <v>338175</v>
      </c>
      <c r="C6" s="288">
        <f>'Regional Major'!K6</f>
        <v>335558</v>
      </c>
      <c r="D6" s="5">
        <f>B6+C6</f>
        <v>673733</v>
      </c>
      <c r="E6" s="9">
        <f>'[1]Monthly Summary'!D6</f>
        <v>722750</v>
      </c>
      <c r="F6" s="40">
        <f>(D6-E6)/E6</f>
        <v>-6.7820131442407477E-2</v>
      </c>
      <c r="G6" s="9">
        <f>+D6+'[2]Monthly Summary'!$G$6</f>
        <v>8494508</v>
      </c>
      <c r="H6" s="9">
        <f>'[1]Monthly Summary'!G6</f>
        <v>9451314</v>
      </c>
      <c r="I6" s="83">
        <f>(G6-H6)/H6</f>
        <v>-0.1012352356508312</v>
      </c>
      <c r="J6" s="20"/>
      <c r="K6" s="2"/>
      <c r="N6" s="2"/>
      <c r="O6" s="2"/>
    </row>
    <row r="7" spans="1:15" x14ac:dyDescent="0.2">
      <c r="A7" s="69" t="s">
        <v>6</v>
      </c>
      <c r="B7" s="9">
        <f>Charter!G5</f>
        <v>72</v>
      </c>
      <c r="C7" s="289">
        <f>Charter!G6</f>
        <v>72</v>
      </c>
      <c r="D7" s="5">
        <f>B7+C7</f>
        <v>144</v>
      </c>
      <c r="E7" s="9">
        <f>'[1]Monthly Summary'!D7</f>
        <v>2904</v>
      </c>
      <c r="F7" s="40">
        <f>(D7-E7)/E7</f>
        <v>-0.95041322314049592</v>
      </c>
      <c r="G7" s="9">
        <f>+D7+'[2]Monthly Summary'!$G$7</f>
        <v>5233</v>
      </c>
      <c r="H7" s="9">
        <f>'[1]Monthly Summary'!G7</f>
        <v>7269</v>
      </c>
      <c r="I7" s="83">
        <f>(G7-H7)/H7</f>
        <v>-0.28009354794332098</v>
      </c>
      <c r="J7" s="20"/>
      <c r="K7" s="2"/>
    </row>
    <row r="8" spans="1:15" x14ac:dyDescent="0.2">
      <c r="A8" s="72" t="s">
        <v>7</v>
      </c>
      <c r="B8" s="145">
        <f>SUM(B5:B7)</f>
        <v>1350498</v>
      </c>
      <c r="C8" s="145">
        <f>SUM(C5:C7)</f>
        <v>1387605</v>
      </c>
      <c r="D8" s="145">
        <f>SUM(D5:D7)</f>
        <v>2738103</v>
      </c>
      <c r="E8" s="145">
        <f>SUM(E5:E7)</f>
        <v>2658912</v>
      </c>
      <c r="F8" s="89">
        <f>(D8-E8)/E8</f>
        <v>2.9783234646351589E-2</v>
      </c>
      <c r="G8" s="145">
        <f>SUM(G5:G7)</f>
        <v>35495709</v>
      </c>
      <c r="H8" s="145">
        <f>SUM(H5:H7)</f>
        <v>34089448</v>
      </c>
      <c r="I8" s="88">
        <f>(G8-H8)/H8</f>
        <v>4.1252090676270267E-2</v>
      </c>
      <c r="J8" s="20"/>
    </row>
    <row r="9" spans="1:15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5" x14ac:dyDescent="0.2">
      <c r="A10" s="69" t="s">
        <v>8</v>
      </c>
      <c r="B10" s="291">
        <f>'Major Airline Stats'!J9+'Regional Major'!K10</f>
        <v>42525</v>
      </c>
      <c r="C10" s="291">
        <f>'Major Airline Stats'!J10+'Regional Major'!K11</f>
        <v>41421</v>
      </c>
      <c r="D10" s="117">
        <f>SUM(B10:C10)</f>
        <v>83946</v>
      </c>
      <c r="E10" s="117">
        <f>'[1]Monthly Summary'!D10</f>
        <v>87485</v>
      </c>
      <c r="F10" s="90">
        <f>(D10-E10)/E10</f>
        <v>-4.0452649025547238E-2</v>
      </c>
      <c r="G10" s="111">
        <f>+D10+'[2]Monthly Summary'!$G$10</f>
        <v>1088426</v>
      </c>
      <c r="H10" s="117">
        <f>'[1]Monthly Summary'!G10</f>
        <v>1073742</v>
      </c>
      <c r="I10" s="93">
        <f>(G10-H10)/H10</f>
        <v>1.3675538444058256E-2</v>
      </c>
      <c r="J10" s="253"/>
    </row>
    <row r="11" spans="1:15" ht="15.75" thickBot="1" x14ac:dyDescent="0.3">
      <c r="A11" s="71" t="s">
        <v>15</v>
      </c>
      <c r="B11" s="267">
        <f>B10+B8</f>
        <v>1393023</v>
      </c>
      <c r="C11" s="267">
        <f>C10+C8</f>
        <v>1429026</v>
      </c>
      <c r="D11" s="267">
        <f>D10+D8</f>
        <v>2822049</v>
      </c>
      <c r="E11" s="267">
        <f>E10+E8</f>
        <v>2746397</v>
      </c>
      <c r="F11" s="91">
        <f>(D11-E11)/E11</f>
        <v>2.7545908330077553E-2</v>
      </c>
      <c r="G11" s="267">
        <f>G8+G10</f>
        <v>36584135</v>
      </c>
      <c r="H11" s="267">
        <f>H8+H10</f>
        <v>35163190</v>
      </c>
      <c r="I11" s="94">
        <f>(G11-H11)/H11</f>
        <v>4.0410013994748487E-2</v>
      </c>
      <c r="J11" s="7"/>
      <c r="M11" s="127">
        <f>+H11-35163190</f>
        <v>0</v>
      </c>
    </row>
    <row r="12" spans="1:15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5" ht="16.5" customHeight="1" x14ac:dyDescent="0.2">
      <c r="B13" s="8"/>
      <c r="C13" s="8"/>
      <c r="D13" s="487" t="s">
        <v>208</v>
      </c>
      <c r="E13" s="487" t="s">
        <v>183</v>
      </c>
      <c r="F13" s="8"/>
      <c r="G13" s="8"/>
      <c r="H13" s="8"/>
      <c r="I13" s="8"/>
    </row>
    <row r="14" spans="1:15" ht="13.5" thickBot="1" x14ac:dyDescent="0.25">
      <c r="A14" s="16"/>
      <c r="B14" s="99" t="s">
        <v>14</v>
      </c>
      <c r="C14" s="99" t="s">
        <v>13</v>
      </c>
      <c r="D14" s="488"/>
      <c r="E14" s="489"/>
      <c r="F14" s="8" t="s">
        <v>2</v>
      </c>
      <c r="G14" s="8" t="s">
        <v>205</v>
      </c>
      <c r="H14" s="8" t="s">
        <v>184</v>
      </c>
      <c r="I14" s="8" t="s">
        <v>2</v>
      </c>
    </row>
    <row r="15" spans="1:15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5" x14ac:dyDescent="0.2">
      <c r="A16" s="70" t="s">
        <v>4</v>
      </c>
      <c r="B16" s="299">
        <f>'Major Airline Stats'!J15+'Major Airline Stats'!J19</f>
        <v>8019</v>
      </c>
      <c r="C16" s="299">
        <f>'Major Airline Stats'!J16+'Major Airline Stats'!J20</f>
        <v>8005</v>
      </c>
      <c r="D16" s="48">
        <f t="shared" ref="D16:D21" si="0">SUM(B16:C16)</f>
        <v>16024</v>
      </c>
      <c r="E16" s="9">
        <f>'[1]Monthly Summary'!D16</f>
        <v>15397</v>
      </c>
      <c r="F16" s="92">
        <f t="shared" ref="F16:F22" si="1">(D16-E16)/E16</f>
        <v>4.0722218614015718E-2</v>
      </c>
      <c r="G16" s="48">
        <f>D16+'[2]Monthly Summary'!$G$16</f>
        <v>205635</v>
      </c>
      <c r="H16" s="9">
        <f>'[1]Monthly Summary'!G16</f>
        <v>189489</v>
      </c>
      <c r="I16" s="251">
        <f t="shared" ref="I16:I22" si="2">(G16-H16)/H16</f>
        <v>8.5208112344252171E-2</v>
      </c>
      <c r="K16" s="2"/>
      <c r="N16" s="127"/>
      <c r="O16" s="127"/>
    </row>
    <row r="17" spans="1:15" x14ac:dyDescent="0.2">
      <c r="A17" s="70" t="s">
        <v>5</v>
      </c>
      <c r="B17" s="48">
        <f>'Regional Major'!K15+'Regional Major'!K18</f>
        <v>6437</v>
      </c>
      <c r="C17" s="48">
        <f>'Regional Major'!K16+'Regional Major'!K19</f>
        <v>6437</v>
      </c>
      <c r="D17" s="48">
        <f>SUM(B17:C17)</f>
        <v>12874</v>
      </c>
      <c r="E17" s="9">
        <f>'[1]Monthly Summary'!D17</f>
        <v>14217</v>
      </c>
      <c r="F17" s="92">
        <f t="shared" si="1"/>
        <v>-9.4464373637194912E-2</v>
      </c>
      <c r="G17" s="48">
        <f>D17+'[2]Monthly Summary'!$G$17</f>
        <v>162779</v>
      </c>
      <c r="H17" s="9">
        <f>'[1]Monthly Summary'!G17</f>
        <v>185943</v>
      </c>
      <c r="I17" s="251">
        <f t="shared" si="2"/>
        <v>-0.124575810866771</v>
      </c>
      <c r="K17" s="2"/>
      <c r="L17" s="2"/>
      <c r="N17" s="127"/>
      <c r="O17" s="127"/>
    </row>
    <row r="18" spans="1:15" x14ac:dyDescent="0.2">
      <c r="A18" s="70" t="s">
        <v>10</v>
      </c>
      <c r="B18" s="48">
        <f>Charter!G10</f>
        <v>2</v>
      </c>
      <c r="C18" s="48">
        <f>Charter!G11</f>
        <v>2</v>
      </c>
      <c r="D18" s="48">
        <f t="shared" si="0"/>
        <v>4</v>
      </c>
      <c r="E18" s="9">
        <f>'[1]Monthly Summary'!D18</f>
        <v>12</v>
      </c>
      <c r="F18" s="92">
        <f t="shared" si="1"/>
        <v>-0.66666666666666663</v>
      </c>
      <c r="G18" s="48">
        <f>D18+'[2]Monthly Summary'!$G$18</f>
        <v>80</v>
      </c>
      <c r="H18" s="9">
        <f>'[1]Monthly Summary'!G18</f>
        <v>83</v>
      </c>
      <c r="I18" s="251">
        <f t="shared" si="2"/>
        <v>-3.614457831325301E-2</v>
      </c>
      <c r="L18" s="2"/>
    </row>
    <row r="19" spans="1:15" x14ac:dyDescent="0.2">
      <c r="A19" s="70" t="s">
        <v>11</v>
      </c>
      <c r="B19" s="48">
        <f>Cargo!M4</f>
        <v>709</v>
      </c>
      <c r="C19" s="48">
        <f>Cargo!M5</f>
        <v>694</v>
      </c>
      <c r="D19" s="48">
        <f t="shared" si="0"/>
        <v>1403</v>
      </c>
      <c r="E19" s="9">
        <f>'[1]Monthly Summary'!D19</f>
        <v>1242</v>
      </c>
      <c r="F19" s="92">
        <f t="shared" si="1"/>
        <v>0.12962962962962962</v>
      </c>
      <c r="G19" s="48">
        <f>D19+'[2]Monthly Summary'!$G$19</f>
        <v>12789</v>
      </c>
      <c r="H19" s="9">
        <f>'[1]Monthly Summary'!G19</f>
        <v>12199</v>
      </c>
      <c r="I19" s="251">
        <f t="shared" si="2"/>
        <v>4.8364620050823835E-2</v>
      </c>
    </row>
    <row r="20" spans="1:15" x14ac:dyDescent="0.2">
      <c r="A20" s="70" t="s">
        <v>171</v>
      </c>
      <c r="B20" s="48">
        <f>'[4]General Avation'!$EI$4</f>
        <v>937</v>
      </c>
      <c r="C20" s="48">
        <f>'[4]General Avation'!$EI$5</f>
        <v>937</v>
      </c>
      <c r="D20" s="48">
        <f t="shared" si="0"/>
        <v>1874</v>
      </c>
      <c r="E20" s="9">
        <f>'[1]Monthly Summary'!D20</f>
        <v>1752</v>
      </c>
      <c r="F20" s="92">
        <f t="shared" si="1"/>
        <v>6.9634703196347028E-2</v>
      </c>
      <c r="G20" s="48">
        <f>D20+'[2]Monthly Summary'!$G$20</f>
        <v>22077</v>
      </c>
      <c r="H20" s="9">
        <f>'[1]Monthly Summary'!G20</f>
        <v>23793</v>
      </c>
      <c r="I20" s="251">
        <f t="shared" si="2"/>
        <v>-7.2122052704576972E-2</v>
      </c>
    </row>
    <row r="21" spans="1:15" ht="12.75" customHeight="1" x14ac:dyDescent="0.2">
      <c r="A21" s="70" t="s">
        <v>12</v>
      </c>
      <c r="B21" s="18">
        <f>'[4]Military '!$EI$4</f>
        <v>42</v>
      </c>
      <c r="C21" s="18">
        <f>'[4]Military '!$EI$5</f>
        <v>42</v>
      </c>
      <c r="D21" s="18">
        <f t="shared" si="0"/>
        <v>84</v>
      </c>
      <c r="E21" s="117">
        <f>'[1]Monthly Summary'!D21</f>
        <v>39</v>
      </c>
      <c r="F21" s="249">
        <f t="shared" si="1"/>
        <v>1.1538461538461537</v>
      </c>
      <c r="G21" s="454">
        <f>D21+'[2]Monthly Summary'!$G$21</f>
        <v>1252</v>
      </c>
      <c r="H21" s="117">
        <f>'[1]Monthly Summary'!G21</f>
        <v>1079</v>
      </c>
      <c r="I21" s="252">
        <f t="shared" si="2"/>
        <v>0.1603336422613531</v>
      </c>
    </row>
    <row r="22" spans="1:15" ht="15.75" thickBot="1" x14ac:dyDescent="0.3">
      <c r="A22" s="71" t="s">
        <v>31</v>
      </c>
      <c r="B22" s="268">
        <f>SUM(B16:B21)</f>
        <v>16146</v>
      </c>
      <c r="C22" s="268">
        <f>SUM(C16:C21)</f>
        <v>16117</v>
      </c>
      <c r="D22" s="268">
        <f>SUM(D16:D21)</f>
        <v>32263</v>
      </c>
      <c r="E22" s="268">
        <f>SUM(E16:E21)</f>
        <v>32659</v>
      </c>
      <c r="F22" s="264">
        <f t="shared" si="1"/>
        <v>-1.212529471202425E-2</v>
      </c>
      <c r="G22" s="268">
        <f>SUM(G16:G21)</f>
        <v>404612</v>
      </c>
      <c r="H22" s="268">
        <f>SUM(H16:H21)</f>
        <v>412586</v>
      </c>
      <c r="I22" s="265">
        <f t="shared" si="2"/>
        <v>-1.9326879729317039E-2</v>
      </c>
    </row>
    <row r="23" spans="1:15" x14ac:dyDescent="0.2">
      <c r="B23" s="127"/>
      <c r="C23" s="127"/>
      <c r="D23" s="7"/>
      <c r="L23" s="2"/>
    </row>
    <row r="24" spans="1:15" ht="12.75" customHeight="1" x14ac:dyDescent="0.2">
      <c r="B24" s="8"/>
      <c r="C24" s="8"/>
      <c r="D24" s="487" t="s">
        <v>208</v>
      </c>
      <c r="E24" s="487" t="s">
        <v>183</v>
      </c>
      <c r="F24" s="8"/>
      <c r="G24" s="8"/>
      <c r="H24" s="8"/>
      <c r="I24" s="8"/>
    </row>
    <row r="25" spans="1:15" ht="13.5" thickBot="1" x14ac:dyDescent="0.25">
      <c r="B25" s="8" t="s">
        <v>0</v>
      </c>
      <c r="C25" s="8" t="s">
        <v>1</v>
      </c>
      <c r="D25" s="488"/>
      <c r="E25" s="489"/>
      <c r="F25" s="8" t="s">
        <v>2</v>
      </c>
      <c r="G25" s="8" t="s">
        <v>205</v>
      </c>
      <c r="H25" s="8" t="s">
        <v>184</v>
      </c>
      <c r="I25" s="8" t="s">
        <v>2</v>
      </c>
    </row>
    <row r="26" spans="1:15" ht="15" x14ac:dyDescent="0.25">
      <c r="A26" s="67" t="s">
        <v>140</v>
      </c>
      <c r="B26" s="52"/>
      <c r="C26" s="52"/>
      <c r="D26" s="52"/>
      <c r="E26" s="52"/>
      <c r="F26" s="52"/>
      <c r="G26" s="52"/>
      <c r="H26" s="52"/>
      <c r="I26" s="53"/>
    </row>
    <row r="27" spans="1:15" x14ac:dyDescent="0.2">
      <c r="A27" s="64" t="s">
        <v>17</v>
      </c>
      <c r="B27" s="22">
        <f>(Cargo!M16+'Major Airline Stats'!J28+'Regional Major'!K25)*0.00045359237</f>
        <v>8184.4125253821694</v>
      </c>
      <c r="C27" s="22">
        <f>(Cargo!M21+'Major Airline Stats'!J33+'Regional Major'!K30)*0.00045359237</f>
        <v>8601.1863491169006</v>
      </c>
      <c r="D27" s="22">
        <f>(SUM(B27:C27)+('Cargo Summary'!E17*0.00045359237))</f>
        <v>16785.598874499068</v>
      </c>
      <c r="E27" s="9">
        <f>'[1]Monthly Summary'!D27</f>
        <v>16777.755808829399</v>
      </c>
      <c r="F27" s="95">
        <f>(D27-E27)/E27</f>
        <v>4.6746810235142987E-4</v>
      </c>
      <c r="G27" s="55">
        <f>+D27+'[2]Monthly Summary'!$G$27</f>
        <v>182845.80952995896</v>
      </c>
      <c r="H27" s="9">
        <f>'[1]Monthly Summary'!G27</f>
        <v>185424.64045714607</v>
      </c>
      <c r="I27" s="97">
        <f>(G27-H27)/H27</f>
        <v>-1.390770353297846E-2</v>
      </c>
    </row>
    <row r="28" spans="1:15" x14ac:dyDescent="0.2">
      <c r="A28" s="64" t="s">
        <v>18</v>
      </c>
      <c r="B28" s="22">
        <f>(Cargo!M17+'Major Airline Stats'!J29+'Regional Major'!K26)*0.00045359237</f>
        <v>830.80658877755002</v>
      </c>
      <c r="C28" s="22">
        <f>(Cargo!M22+'Major Airline Stats'!J34+'Regional Major'!K31)*0.00045359237</f>
        <v>1310.5208897734799</v>
      </c>
      <c r="D28" s="22">
        <f>SUM(B28:C28)</f>
        <v>2141.3274785510298</v>
      </c>
      <c r="E28" s="9">
        <f>'[1]Monthly Summary'!D28</f>
        <v>1028.02809766118</v>
      </c>
      <c r="F28" s="95">
        <f>(D28-E28)/E28</f>
        <v>1.0829464519721461</v>
      </c>
      <c r="G28" s="22">
        <f>+D28+'[2]Monthly Summary'!$G$28</f>
        <v>16494.112706466778</v>
      </c>
      <c r="H28" s="9">
        <f>'[1]Monthly Summary'!G28</f>
        <v>13149.311683869899</v>
      </c>
      <c r="I28" s="97">
        <f>(G28-H28)/H28</f>
        <v>0.25437080685370822</v>
      </c>
    </row>
    <row r="29" spans="1:15" ht="15.75" thickBot="1" x14ac:dyDescent="0.3">
      <c r="A29" s="65" t="s">
        <v>68</v>
      </c>
      <c r="B29" s="56">
        <f>SUM(B27:B28)</f>
        <v>9015.2191141597195</v>
      </c>
      <c r="C29" s="56">
        <f>SUM(C27:C28)</f>
        <v>9911.7072388903798</v>
      </c>
      <c r="D29" s="56">
        <f>SUM(D27:D28)</f>
        <v>18926.926353050098</v>
      </c>
      <c r="E29" s="56">
        <f>SUM(E27:E28)</f>
        <v>17805.783906490578</v>
      </c>
      <c r="F29" s="96">
        <f>(D29-E29)/E29</f>
        <v>6.2965070925680475E-2</v>
      </c>
      <c r="G29" s="56">
        <f>SUM(G27:G28)</f>
        <v>199339.92223642574</v>
      </c>
      <c r="H29" s="56">
        <f>SUM(H27:H28)</f>
        <v>198573.95214101597</v>
      </c>
      <c r="I29" s="98">
        <f>(G29-H29)/H29</f>
        <v>3.857354336513534E-3</v>
      </c>
    </row>
    <row r="30" spans="1:15" s="7" customFormat="1" ht="4.5" customHeight="1" thickBot="1" x14ac:dyDescent="0.3">
      <c r="A30" s="61"/>
      <c r="B30" s="404"/>
      <c r="C30" s="404"/>
      <c r="D30" s="404"/>
      <c r="E30" s="404"/>
      <c r="F30" s="269"/>
      <c r="G30" s="404"/>
      <c r="H30" s="404"/>
      <c r="I30" s="269"/>
    </row>
    <row r="31" spans="1:15" ht="13.5" thickBot="1" x14ac:dyDescent="0.25">
      <c r="B31" s="486" t="s">
        <v>163</v>
      </c>
      <c r="C31" s="485"/>
      <c r="D31" s="486" t="s">
        <v>175</v>
      </c>
      <c r="E31" s="485"/>
      <c r="F31" s="433"/>
      <c r="G31" s="434"/>
      <c r="H31" s="432"/>
      <c r="I31" s="432"/>
    </row>
    <row r="32" spans="1:15" x14ac:dyDescent="0.2">
      <c r="A32" s="408" t="s">
        <v>164</v>
      </c>
      <c r="B32" s="409">
        <f>C8-B33</f>
        <v>814544</v>
      </c>
      <c r="C32" s="410">
        <f>B32/C8</f>
        <v>0.58701431603374155</v>
      </c>
      <c r="D32" s="411">
        <f>+B32+'[2]Monthly Summary'!$D$32</f>
        <v>9752331</v>
      </c>
      <c r="E32" s="412">
        <f>+D32/D34</f>
        <v>0.54999444497394212</v>
      </c>
      <c r="G32" s="440"/>
      <c r="H32" s="432"/>
      <c r="I32" s="431"/>
    </row>
    <row r="33" spans="1:14" ht="13.5" thickBot="1" x14ac:dyDescent="0.25">
      <c r="A33" s="413" t="s">
        <v>165</v>
      </c>
      <c r="B33" s="414">
        <f>'Major Airline Stats'!J51+'Regional Major'!K45</f>
        <v>573061</v>
      </c>
      <c r="C33" s="415">
        <f>+B33/C8</f>
        <v>0.4129856839662584</v>
      </c>
      <c r="D33" s="416">
        <f>+B33+'[2]Monthly Summary'!$D$33</f>
        <v>7979359</v>
      </c>
      <c r="E33" s="417">
        <f>+D33/D34</f>
        <v>0.45000555502605788</v>
      </c>
      <c r="G33" s="432"/>
      <c r="H33" s="432"/>
      <c r="I33" s="431"/>
    </row>
    <row r="34" spans="1:14" ht="13.5" thickBot="1" x14ac:dyDescent="0.25">
      <c r="B34" s="303"/>
      <c r="D34" s="418">
        <f>SUM(D32:D33)</f>
        <v>17731690</v>
      </c>
    </row>
    <row r="35" spans="1:14" ht="13.5" thickBot="1" x14ac:dyDescent="0.25">
      <c r="B35" s="484" t="s">
        <v>215</v>
      </c>
      <c r="C35" s="485"/>
      <c r="D35" s="486" t="s">
        <v>209</v>
      </c>
      <c r="E35" s="485"/>
    </row>
    <row r="36" spans="1:14" x14ac:dyDescent="0.2">
      <c r="A36" s="408" t="s">
        <v>164</v>
      </c>
      <c r="B36" s="409">
        <f>'[1]Monthly Summary'!$B$32</f>
        <v>771103</v>
      </c>
      <c r="C36" s="410">
        <f>+B36/B38</f>
        <v>0.57373222858129247</v>
      </c>
      <c r="D36" s="411">
        <f>'[1]Monthly Summary'!$D$32</f>
        <v>9298618</v>
      </c>
      <c r="E36" s="412">
        <f>+D36/D38</f>
        <v>0.5467294750328866</v>
      </c>
    </row>
    <row r="37" spans="1:14" ht="13.5" thickBot="1" x14ac:dyDescent="0.25">
      <c r="A37" s="413" t="s">
        <v>165</v>
      </c>
      <c r="B37" s="414">
        <f>'[1]Monthly Summary'!$B$33</f>
        <v>572909</v>
      </c>
      <c r="C37" s="417">
        <f>+B37/B38</f>
        <v>0.42626777141870759</v>
      </c>
      <c r="D37" s="416">
        <f>'[1]Monthly Summary'!$D$33</f>
        <v>7709095</v>
      </c>
      <c r="E37" s="417">
        <f>+D37/D38</f>
        <v>0.45327052496711345</v>
      </c>
    </row>
    <row r="38" spans="1:14" x14ac:dyDescent="0.2">
      <c r="B38" s="439">
        <f>+SUM(B36:B37)</f>
        <v>1344012</v>
      </c>
      <c r="D38" s="418">
        <f>SUM(D36:D37)</f>
        <v>17007713</v>
      </c>
    </row>
    <row r="39" spans="1:14" x14ac:dyDescent="0.2">
      <c r="A39" s="428" t="s">
        <v>166</v>
      </c>
    </row>
    <row r="40" spans="1:14" x14ac:dyDescent="0.2">
      <c r="A40" s="218" t="s">
        <v>172</v>
      </c>
      <c r="I40" s="2"/>
    </row>
    <row r="41" spans="1:14" x14ac:dyDescent="0.2">
      <c r="N41" s="429"/>
    </row>
    <row r="42" spans="1:14" x14ac:dyDescent="0.2">
      <c r="G42" s="2"/>
      <c r="N42" s="429"/>
    </row>
    <row r="43" spans="1:14" x14ac:dyDescent="0.2">
      <c r="J43" s="2"/>
      <c r="N43" s="429"/>
    </row>
    <row r="44" spans="1:14" x14ac:dyDescent="0.2">
      <c r="N44" s="429"/>
    </row>
    <row r="45" spans="1:14" x14ac:dyDescent="0.2">
      <c r="J45" s="2"/>
      <c r="N45" s="429"/>
    </row>
    <row r="46" spans="1:14" x14ac:dyDescent="0.2">
      <c r="B46" s="2"/>
      <c r="F46" s="303"/>
    </row>
    <row r="47" spans="1:14" x14ac:dyDescent="0.2">
      <c r="N47" s="429"/>
    </row>
    <row r="51" spans="12:12" x14ac:dyDescent="0.2">
      <c r="L51" s="430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E25" zoomScaleNormal="100" zoomScaleSheetLayoutView="85" workbookViewId="0">
      <selection activeCell="P56" sqref="P56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3" t="s">
        <v>148</v>
      </c>
      <c r="B1" s="524"/>
      <c r="C1" s="254" t="s">
        <v>201</v>
      </c>
      <c r="D1" s="255" t="s">
        <v>153</v>
      </c>
      <c r="E1" s="256" t="s">
        <v>188</v>
      </c>
      <c r="F1" s="258" t="s">
        <v>107</v>
      </c>
      <c r="G1" s="257" t="s">
        <v>202</v>
      </c>
      <c r="H1" s="256" t="s">
        <v>189</v>
      </c>
      <c r="I1" s="258" t="s">
        <v>108</v>
      </c>
      <c r="J1" s="530" t="s">
        <v>152</v>
      </c>
      <c r="K1" s="531"/>
      <c r="L1" s="259" t="s">
        <v>203</v>
      </c>
      <c r="M1" s="394" t="s">
        <v>155</v>
      </c>
      <c r="N1" s="260" t="s">
        <v>190</v>
      </c>
      <c r="O1" s="338" t="s">
        <v>108</v>
      </c>
      <c r="P1" s="261" t="s">
        <v>204</v>
      </c>
      <c r="Q1" s="261" t="s">
        <v>191</v>
      </c>
      <c r="R1" s="262" t="s">
        <v>108</v>
      </c>
    </row>
    <row r="2" spans="1:23" s="213" customFormat="1" ht="13.5" thickBot="1" x14ac:dyDescent="0.25">
      <c r="A2" s="525">
        <v>42339</v>
      </c>
      <c r="B2" s="526"/>
      <c r="C2" s="527" t="s">
        <v>9</v>
      </c>
      <c r="D2" s="528"/>
      <c r="E2" s="528"/>
      <c r="F2" s="528"/>
      <c r="G2" s="528"/>
      <c r="H2" s="528"/>
      <c r="I2" s="529"/>
      <c r="J2" s="525">
        <f>+A2</f>
        <v>42339</v>
      </c>
      <c r="K2" s="526"/>
      <c r="L2" s="520" t="s">
        <v>154</v>
      </c>
      <c r="M2" s="521"/>
      <c r="N2" s="521"/>
      <c r="O2" s="521"/>
      <c r="P2" s="521"/>
      <c r="Q2" s="521"/>
      <c r="R2" s="522"/>
    </row>
    <row r="3" spans="1:23" x14ac:dyDescent="0.2">
      <c r="A3" s="339"/>
      <c r="B3" s="340"/>
      <c r="C3" s="341"/>
      <c r="D3" s="342"/>
      <c r="E3" s="343"/>
      <c r="F3" s="344"/>
      <c r="G3" s="435"/>
      <c r="H3" s="436"/>
      <c r="I3" s="344"/>
      <c r="J3" s="345"/>
      <c r="K3" s="340"/>
      <c r="L3" s="341"/>
      <c r="M3" s="342"/>
      <c r="N3" s="343"/>
      <c r="O3" s="344"/>
      <c r="P3" s="346"/>
      <c r="Q3" s="346"/>
      <c r="R3" s="340"/>
    </row>
    <row r="4" spans="1:23" ht="14.1" customHeight="1" x14ac:dyDescent="0.2">
      <c r="A4" s="347" t="s">
        <v>111</v>
      </c>
      <c r="B4" s="57"/>
      <c r="C4" s="348">
        <f>[4]AirCanada!$EI$19</f>
        <v>0</v>
      </c>
      <c r="D4" s="349">
        <f>C4/$C$56</f>
        <v>0</v>
      </c>
      <c r="E4" s="350">
        <f>[4]AirCanada!$DU$19</f>
        <v>158</v>
      </c>
      <c r="F4" s="351">
        <f>(C4-E4)/E4</f>
        <v>-1</v>
      </c>
      <c r="G4" s="350">
        <f>SUM([4]AirCanada!$DX$19:$EI$19)</f>
        <v>1945</v>
      </c>
      <c r="H4" s="350">
        <f>SUM([4]AirCanada!$DJ$19:$DU$19)</f>
        <v>2025</v>
      </c>
      <c r="I4" s="351">
        <f>(G4-H4)/H4</f>
        <v>-3.9506172839506172E-2</v>
      </c>
      <c r="J4" s="347" t="s">
        <v>111</v>
      </c>
      <c r="K4" s="57"/>
      <c r="L4" s="348">
        <f>[4]AirCanada!$EI$41</f>
        <v>0</v>
      </c>
      <c r="M4" s="349">
        <f>L4/$L$56</f>
        <v>0</v>
      </c>
      <c r="N4" s="350">
        <f>[4]AirCanada!$DU$41</f>
        <v>6645</v>
      </c>
      <c r="O4" s="351">
        <f>(L4-N4)/N4</f>
        <v>-1</v>
      </c>
      <c r="P4" s="350">
        <f>SUM([4]AirCanada!$DX$41:$EI$41)</f>
        <v>82726</v>
      </c>
      <c r="Q4" s="350">
        <f>SUM([4]AirCanada!$DJ$41:$DU$41)</f>
        <v>79408</v>
      </c>
      <c r="R4" s="351">
        <f>(P4-Q4)/Q4</f>
        <v>4.1784203102961916E-2</v>
      </c>
      <c r="T4" s="20"/>
    </row>
    <row r="5" spans="1:23" ht="14.1" customHeight="1" x14ac:dyDescent="0.2">
      <c r="A5" s="347"/>
      <c r="B5" s="57"/>
      <c r="C5" s="348"/>
      <c r="D5" s="349"/>
      <c r="E5" s="350"/>
      <c r="F5" s="351"/>
      <c r="G5" s="350"/>
      <c r="H5" s="350"/>
      <c r="I5" s="351"/>
      <c r="J5" s="347"/>
      <c r="K5" s="57"/>
      <c r="L5" s="352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7" t="s">
        <v>187</v>
      </c>
      <c r="B6" s="57"/>
      <c r="C6" s="348">
        <f>'[4]Air France'!$EI$19</f>
        <v>0</v>
      </c>
      <c r="D6" s="349">
        <f>C6/$C$56</f>
        <v>0</v>
      </c>
      <c r="E6" s="350">
        <f>'[4]Air France'!$DU$19</f>
        <v>0</v>
      </c>
      <c r="F6" s="351" t="e">
        <f>(C6-E6)/E6</f>
        <v>#DIV/0!</v>
      </c>
      <c r="G6" s="350">
        <f>SUM('[4]Air France'!$DX$19:$EI$19)</f>
        <v>244</v>
      </c>
      <c r="H6" s="350">
        <f>SUM('[4]Air France'!$DJ$19:$DU$19)</f>
        <v>182</v>
      </c>
      <c r="I6" s="351">
        <f>(G6-H6)/H6</f>
        <v>0.34065934065934067</v>
      </c>
      <c r="J6" s="347" t="s">
        <v>187</v>
      </c>
      <c r="K6" s="57"/>
      <c r="L6" s="348">
        <f>'[4]Air France'!$EI$41</f>
        <v>0</v>
      </c>
      <c r="M6" s="349">
        <f>L6/$L$56</f>
        <v>0</v>
      </c>
      <c r="N6" s="350">
        <f>'[4]Air France'!$DU$41</f>
        <v>0</v>
      </c>
      <c r="O6" s="351" t="e">
        <f>(L6-N6)/N6</f>
        <v>#DIV/0!</v>
      </c>
      <c r="P6" s="350">
        <f>SUM('[4]Air France'!$DX$41:$EI$41)</f>
        <v>60100</v>
      </c>
      <c r="Q6" s="350">
        <f>SUM('[4]Air France'!$DJ$41:$DU$41)</f>
        <v>41957</v>
      </c>
      <c r="R6" s="351">
        <f>(P6-Q6)/Q6</f>
        <v>0.43241890506947589</v>
      </c>
      <c r="T6" s="20"/>
    </row>
    <row r="7" spans="1:23" ht="14.1" customHeight="1" x14ac:dyDescent="0.2">
      <c r="A7" s="347"/>
      <c r="B7" s="57"/>
      <c r="C7" s="348"/>
      <c r="D7" s="349"/>
      <c r="E7" s="350"/>
      <c r="F7" s="351"/>
      <c r="G7" s="350"/>
      <c r="H7" s="350"/>
      <c r="I7" s="351"/>
      <c r="J7" s="347"/>
      <c r="K7" s="57"/>
      <c r="L7" s="352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7" t="s">
        <v>142</v>
      </c>
      <c r="B8" s="57"/>
      <c r="C8" s="348">
        <f>[4]Alaska!$EI$19</f>
        <v>92</v>
      </c>
      <c r="D8" s="349">
        <f>C8/$C$56</f>
        <v>3.1836113225828778E-3</v>
      </c>
      <c r="E8" s="350">
        <f>[4]Alaska!$DU$19</f>
        <v>90</v>
      </c>
      <c r="F8" s="351">
        <f>(C8-E8)/E8</f>
        <v>2.2222222222222223E-2</v>
      </c>
      <c r="G8" s="350">
        <f>SUM([4]Alaska!$DX$19:$EI$19)</f>
        <v>1308</v>
      </c>
      <c r="H8" s="350">
        <f>SUM([4]Alaska!$DJ$19:$DU$19)</f>
        <v>1348</v>
      </c>
      <c r="I8" s="351">
        <f>(G8-H8)/H8</f>
        <v>-2.967359050445104E-2</v>
      </c>
      <c r="J8" s="347" t="s">
        <v>142</v>
      </c>
      <c r="K8" s="57"/>
      <c r="L8" s="348">
        <f>[4]Alaska!$EI$41</f>
        <v>14407</v>
      </c>
      <c r="M8" s="349">
        <f>L8/$L$56</f>
        <v>5.2619487727902431E-3</v>
      </c>
      <c r="N8" s="350">
        <f>[4]Alaska!$DU$41</f>
        <v>13971</v>
      </c>
      <c r="O8" s="351">
        <f>(L8-N8)/N8</f>
        <v>3.1207501252594659E-2</v>
      </c>
      <c r="P8" s="350">
        <f>SUM([4]Alaska!$DX$41:$EI$41)</f>
        <v>193548</v>
      </c>
      <c r="Q8" s="350">
        <f>SUM([4]Alaska!$DJ$41:$DU$41)</f>
        <v>185017</v>
      </c>
      <c r="R8" s="351">
        <f>(P8-Q8)/Q8</f>
        <v>4.6109276444867231E-2</v>
      </c>
      <c r="T8" s="20"/>
    </row>
    <row r="9" spans="1:23" ht="14.1" customHeight="1" x14ac:dyDescent="0.2">
      <c r="A9" s="347"/>
      <c r="B9" s="57"/>
      <c r="C9" s="348"/>
      <c r="D9" s="349"/>
      <c r="E9" s="353"/>
      <c r="F9" s="351"/>
      <c r="G9" s="353"/>
      <c r="H9" s="353"/>
      <c r="I9" s="351"/>
      <c r="J9" s="347"/>
      <c r="K9" s="57"/>
      <c r="L9" s="354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7" t="s">
        <v>19</v>
      </c>
      <c r="B10" s="355"/>
      <c r="C10" s="348">
        <f>SUM(C11:C12)</f>
        <v>656</v>
      </c>
      <c r="D10" s="349">
        <f>C10/$C$56</f>
        <v>2.2700532908851823E-2</v>
      </c>
      <c r="E10" s="353">
        <f>SUM(E11:E12)</f>
        <v>719</v>
      </c>
      <c r="F10" s="351">
        <f>(C10-E10)/E10</f>
        <v>-8.7621696801112661E-2</v>
      </c>
      <c r="G10" s="353">
        <f>SUM(G11:G12)</f>
        <v>10533</v>
      </c>
      <c r="H10" s="353">
        <f>SUM(H11:H12)</f>
        <v>10169</v>
      </c>
      <c r="I10" s="351">
        <f>(G10-H10)/H10</f>
        <v>3.5795063428065689E-2</v>
      </c>
      <c r="J10" s="347" t="s">
        <v>19</v>
      </c>
      <c r="K10" s="355"/>
      <c r="L10" s="348">
        <f>SUM(L11:L12)</f>
        <v>160717</v>
      </c>
      <c r="M10" s="349">
        <f>L10/$L$56</f>
        <v>5.8699564164401294E-2</v>
      </c>
      <c r="N10" s="353">
        <f>SUM(N11:N12)</f>
        <v>78492</v>
      </c>
      <c r="O10" s="351">
        <f>(L10-N10)/N10</f>
        <v>1.0475589869031239</v>
      </c>
      <c r="P10" s="348">
        <f>SUM(P11:P12)</f>
        <v>1298756</v>
      </c>
      <c r="Q10" s="353">
        <f>SUM(Q11:Q12)</f>
        <v>977348</v>
      </c>
      <c r="R10" s="351">
        <f>(P10-Q10)/Q10</f>
        <v>0.32885727499314471</v>
      </c>
      <c r="T10" s="20"/>
    </row>
    <row r="11" spans="1:23" ht="14.1" customHeight="1" x14ac:dyDescent="0.2">
      <c r="A11" s="54"/>
      <c r="B11" s="356" t="s">
        <v>19</v>
      </c>
      <c r="C11" s="352">
        <f>[4]American!$EI$19</f>
        <v>656</v>
      </c>
      <c r="D11" s="40">
        <f>C11/$C$56</f>
        <v>2.2700532908851823E-2</v>
      </c>
      <c r="E11" s="9">
        <f>[4]American!$DU$19</f>
        <v>603</v>
      </c>
      <c r="F11" s="84">
        <f>(C11-E11)/E11</f>
        <v>8.7893864013267001E-2</v>
      </c>
      <c r="G11" s="9">
        <f>SUM([4]American!$DX$19:$EI$19)</f>
        <v>8719</v>
      </c>
      <c r="H11" s="9">
        <f>SUM([4]American!$DJ$19:$DU$19)</f>
        <v>5557</v>
      </c>
      <c r="I11" s="84">
        <f>(G11-H11)/H11</f>
        <v>0.56901205686521505</v>
      </c>
      <c r="J11" s="54"/>
      <c r="K11" s="356" t="s">
        <v>19</v>
      </c>
      <c r="L11" s="352">
        <f>[4]American!$EI$41</f>
        <v>160717</v>
      </c>
      <c r="M11" s="40">
        <f>L11/$L$56</f>
        <v>5.8699564164401294E-2</v>
      </c>
      <c r="N11" s="9">
        <f>[4]American!$DU$41</f>
        <v>68564</v>
      </c>
      <c r="O11" s="84">
        <f>(L11-N11)/N11</f>
        <v>1.344043521381483</v>
      </c>
      <c r="P11" s="9">
        <f>SUM([4]American!$DX$41:$EI$41)</f>
        <v>1182258</v>
      </c>
      <c r="Q11" s="9">
        <f>SUM([4]American!$DJ$41:$DU$41)</f>
        <v>686241</v>
      </c>
      <c r="R11" s="84">
        <f>(P11-Q11)/Q11</f>
        <v>0.72280292200553453</v>
      </c>
      <c r="T11" s="20"/>
    </row>
    <row r="12" spans="1:23" ht="14.1" customHeight="1" x14ac:dyDescent="0.2">
      <c r="A12" s="54"/>
      <c r="B12" s="356" t="s">
        <v>173</v>
      </c>
      <c r="C12" s="352">
        <f>'[4]American Eagle'!$EI$19</f>
        <v>0</v>
      </c>
      <c r="D12" s="40">
        <f>C12/$C$56</f>
        <v>0</v>
      </c>
      <c r="E12" s="9">
        <f>'[4]American Eagle'!$DU$19</f>
        <v>116</v>
      </c>
      <c r="F12" s="84">
        <f>(C12-E12)/E12</f>
        <v>-1</v>
      </c>
      <c r="G12" s="9">
        <f>SUM('[4]American Eagle'!$DX$19:$EI$19)</f>
        <v>1814</v>
      </c>
      <c r="H12" s="9">
        <f>SUM('[4]American Eagle'!$DJ$19:$DU$19)</f>
        <v>4612</v>
      </c>
      <c r="I12" s="84">
        <f>(G12-H12)/H12</f>
        <v>-0.60667823070251514</v>
      </c>
      <c r="J12" s="54"/>
      <c r="K12" s="356" t="s">
        <v>173</v>
      </c>
      <c r="L12" s="352">
        <f>'[4]American Eagle'!$EI$41</f>
        <v>0</v>
      </c>
      <c r="M12" s="40">
        <f>L12/$L$56</f>
        <v>0</v>
      </c>
      <c r="N12" s="9">
        <f>'[4]American Eagle'!$DU$41</f>
        <v>9928</v>
      </c>
      <c r="O12" s="84">
        <f>(L12-N12)/N12</f>
        <v>-1</v>
      </c>
      <c r="P12" s="9">
        <f>SUM('[4]American Eagle'!$DX$41:$EI$41)</f>
        <v>116498</v>
      </c>
      <c r="Q12" s="9">
        <f>SUM('[4]American Eagle'!$DJ$41:$DU$41)</f>
        <v>291107</v>
      </c>
      <c r="R12" s="84">
        <f>(P12-Q12)/Q12</f>
        <v>-0.59981037900153555</v>
      </c>
      <c r="T12" s="20"/>
    </row>
    <row r="13" spans="1:23" ht="14.1" customHeight="1" x14ac:dyDescent="0.2">
      <c r="A13" s="54"/>
      <c r="B13" s="357"/>
      <c r="C13" s="352"/>
      <c r="D13" s="40"/>
      <c r="E13" s="9"/>
      <c r="F13" s="84"/>
      <c r="G13" s="9"/>
      <c r="H13" s="9"/>
      <c r="I13" s="84"/>
      <c r="J13" s="54"/>
      <c r="K13" s="357"/>
      <c r="L13" s="352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7" t="s">
        <v>210</v>
      </c>
      <c r="B14" s="363"/>
      <c r="C14" s="348">
        <f>[4]Condor!$EI$19</f>
        <v>0</v>
      </c>
      <c r="D14" s="349">
        <f>C14/$C$56</f>
        <v>0</v>
      </c>
      <c r="E14" s="350">
        <f>[4]Condor!$DU$19</f>
        <v>0</v>
      </c>
      <c r="F14" s="351" t="e">
        <f>(C14-E14)/E14</f>
        <v>#DIV/0!</v>
      </c>
      <c r="G14" s="350">
        <f>SUM([4]Condor!$DX$19:$EI$19)</f>
        <v>44</v>
      </c>
      <c r="H14" s="350">
        <f>SUM([4]Condor!$DJ$19:$DU$19)</f>
        <v>46</v>
      </c>
      <c r="I14" s="351">
        <f>(G14-H14)/H14</f>
        <v>-4.3478260869565216E-2</v>
      </c>
      <c r="J14" s="347" t="s">
        <v>210</v>
      </c>
      <c r="K14" s="363"/>
      <c r="L14" s="348">
        <f>[4]Condor!$EI$41</f>
        <v>0</v>
      </c>
      <c r="M14" s="349">
        <f>L14/$L$56</f>
        <v>0</v>
      </c>
      <c r="N14" s="350">
        <f>[4]Condor!$DU$41</f>
        <v>0</v>
      </c>
      <c r="O14" s="351" t="e">
        <f>(L14-N14)/N14</f>
        <v>#DIV/0!</v>
      </c>
      <c r="P14" s="350">
        <f>SUM([4]Condor!$DX$41:$EI$41)</f>
        <v>10581</v>
      </c>
      <c r="Q14" s="350">
        <f>SUM([4]Condor!$DJ$41:$DU$41)</f>
        <v>9825</v>
      </c>
      <c r="R14" s="351">
        <f>(P14-Q14)/Q14</f>
        <v>7.6946564885496185E-2</v>
      </c>
      <c r="T14" s="323"/>
      <c r="U14"/>
    </row>
    <row r="15" spans="1:23" ht="14.1" customHeight="1" x14ac:dyDescent="0.2">
      <c r="A15" s="54"/>
      <c r="B15" s="357"/>
      <c r="C15" s="352"/>
      <c r="D15" s="40"/>
      <c r="E15" s="9"/>
      <c r="F15" s="84"/>
      <c r="G15" s="9"/>
      <c r="H15" s="9"/>
      <c r="I15" s="84"/>
      <c r="J15" s="54"/>
      <c r="K15" s="357"/>
      <c r="L15" s="352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7" t="s">
        <v>20</v>
      </c>
      <c r="B16" s="361"/>
      <c r="C16" s="348">
        <f>SUM(C17:C23)</f>
        <v>21751</v>
      </c>
      <c r="D16" s="349">
        <f t="shared" ref="D16:D23" si="0">C16/$C$56</f>
        <v>0.75268184649456715</v>
      </c>
      <c r="E16" s="350">
        <f>SUM(E17:E23)</f>
        <v>22142</v>
      </c>
      <c r="F16" s="351">
        <f t="shared" ref="F16:F23" si="1">(C16-E16)/E16</f>
        <v>-1.7658748080570861E-2</v>
      </c>
      <c r="G16" s="353">
        <f>SUM(G17:G23)</f>
        <v>277797</v>
      </c>
      <c r="H16" s="353">
        <f>SUM(H17:H23)</f>
        <v>284300</v>
      </c>
      <c r="I16" s="351">
        <f>(G16-H16)/H16</f>
        <v>-2.2873724938445306E-2</v>
      </c>
      <c r="J16" s="347" t="s">
        <v>20</v>
      </c>
      <c r="K16" s="361"/>
      <c r="L16" s="348">
        <f>SUM(L17:L23)</f>
        <v>1962446</v>
      </c>
      <c r="M16" s="349">
        <f t="shared" ref="M16:M23" si="2">L16/$L$56</f>
        <v>0.71675507193497057</v>
      </c>
      <c r="N16" s="350">
        <f>SUM(N17:N23)</f>
        <v>1916668</v>
      </c>
      <c r="O16" s="351">
        <f t="shared" ref="O16:O23" si="3">(L16-N16)/N16</f>
        <v>2.3884157297977531E-2</v>
      </c>
      <c r="P16" s="350">
        <f>SUM(P17:P23)</f>
        <v>25844791</v>
      </c>
      <c r="Q16" s="350">
        <f>SUM(Q17:Q23)</f>
        <v>25216478</v>
      </c>
      <c r="R16" s="351">
        <f t="shared" ref="R16:R23" si="4">(P16-Q16)/Q16</f>
        <v>2.49167627612389E-2</v>
      </c>
      <c r="T16" s="438"/>
      <c r="V16" s="11"/>
      <c r="W16" s="11"/>
    </row>
    <row r="17" spans="1:23" ht="14.1" customHeight="1" x14ac:dyDescent="0.2">
      <c r="A17" s="54"/>
      <c r="B17" s="356" t="s">
        <v>20</v>
      </c>
      <c r="C17" s="352">
        <f>[4]Delta!$EI$19</f>
        <v>10067</v>
      </c>
      <c r="D17" s="40">
        <f t="shared" si="0"/>
        <v>0.34836320852654162</v>
      </c>
      <c r="E17" s="9">
        <f>[4]Delta!$DU$19</f>
        <v>9864</v>
      </c>
      <c r="F17" s="84">
        <f t="shared" si="1"/>
        <v>2.0579886455798866E-2</v>
      </c>
      <c r="G17" s="9">
        <f>SUM([4]Delta!$DX$19:$EI$19)</f>
        <v>131473</v>
      </c>
      <c r="H17" s="9">
        <f>SUM([4]Delta!$DJ$19:$DU$19)</f>
        <v>123930</v>
      </c>
      <c r="I17" s="84">
        <f t="shared" ref="I17:I23" si="5">(G17-H17)/H17</f>
        <v>6.0865004437989187E-2</v>
      </c>
      <c r="J17" s="54"/>
      <c r="K17" s="356" t="s">
        <v>20</v>
      </c>
      <c r="L17" s="352">
        <f>[4]Delta!$EI$41</f>
        <v>1358867</v>
      </c>
      <c r="M17" s="40">
        <f t="shared" si="2"/>
        <v>0.49630655535747614</v>
      </c>
      <c r="N17" s="9">
        <f>[4]Delta!$DU$41</f>
        <v>1303635</v>
      </c>
      <c r="O17" s="84">
        <f t="shared" si="3"/>
        <v>4.2367687274428807E-2</v>
      </c>
      <c r="P17" s="9">
        <f>SUM([4]Delta!$DX$41:$EI$41)</f>
        <v>18286879</v>
      </c>
      <c r="Q17" s="9">
        <f>SUM([4]Delta!$DJ$41:$DU$41)</f>
        <v>17187077</v>
      </c>
      <c r="R17" s="84">
        <f t="shared" si="4"/>
        <v>6.3990054853422726E-2</v>
      </c>
      <c r="T17" s="20"/>
      <c r="U17" s="9"/>
      <c r="V17" s="11"/>
      <c r="W17" s="11"/>
    </row>
    <row r="18" spans="1:23" ht="14.1" customHeight="1" x14ac:dyDescent="0.2">
      <c r="A18" s="54"/>
      <c r="B18" s="358" t="s">
        <v>131</v>
      </c>
      <c r="C18" s="352">
        <f>[4]Compass!$EI$19</f>
        <v>1233</v>
      </c>
      <c r="D18" s="40">
        <f t="shared" si="0"/>
        <v>4.266731261679009E-2</v>
      </c>
      <c r="E18" s="9">
        <f>[4]Compass!$DU$19</f>
        <v>1526</v>
      </c>
      <c r="F18" s="84">
        <f t="shared" si="1"/>
        <v>-0.19200524246395806</v>
      </c>
      <c r="G18" s="9">
        <f>SUM([4]Compass!$DX$19:$EI$19)</f>
        <v>16849</v>
      </c>
      <c r="H18" s="9">
        <f>SUM([4]Compass!$DJ$19:$DU$19)</f>
        <v>27169</v>
      </c>
      <c r="I18" s="84">
        <f t="shared" si="5"/>
        <v>-0.37984467591740589</v>
      </c>
      <c r="J18" s="54"/>
      <c r="K18" s="358" t="s">
        <v>131</v>
      </c>
      <c r="L18" s="352">
        <f>[4]Compass!$EI$41</f>
        <v>75405</v>
      </c>
      <c r="M18" s="40">
        <f t="shared" si="2"/>
        <v>2.7540587715155704E-2</v>
      </c>
      <c r="N18" s="9">
        <f>[4]Compass!$DU$41</f>
        <v>86270</v>
      </c>
      <c r="O18" s="84">
        <f t="shared" si="3"/>
        <v>-0.12594181059464471</v>
      </c>
      <c r="P18" s="9">
        <f>SUM([4]Compass!$DX$41:$EI$41)</f>
        <v>1017865</v>
      </c>
      <c r="Q18" s="9">
        <f>SUM([4]Compass!$DJ$41:$DU$41)</f>
        <v>1665052</v>
      </c>
      <c r="R18" s="84">
        <f t="shared" si="4"/>
        <v>-0.38868876167230815</v>
      </c>
      <c r="T18" s="9"/>
      <c r="U18" s="9"/>
      <c r="V18" s="11"/>
      <c r="W18" s="11"/>
    </row>
    <row r="19" spans="1:23" ht="14.1" customHeight="1" x14ac:dyDescent="0.2">
      <c r="A19" s="54"/>
      <c r="B19" s="357" t="s">
        <v>193</v>
      </c>
      <c r="C19" s="352">
        <f>[4]Pinnacle!$EI$19</f>
        <v>4472</v>
      </c>
      <c r="D19" s="40">
        <f t="shared" si="0"/>
        <v>0.15475119385424596</v>
      </c>
      <c r="E19" s="9">
        <f>[4]Pinnacle!$DU$19</f>
        <v>6923</v>
      </c>
      <c r="F19" s="84">
        <f t="shared" si="1"/>
        <v>-0.35403726708074534</v>
      </c>
      <c r="G19" s="9">
        <f>SUM([4]Pinnacle!$DX$19:$EI$19)</f>
        <v>57749</v>
      </c>
      <c r="H19" s="9">
        <f>SUM([4]Pinnacle!$DJ$19:$DU$19)</f>
        <v>82721</v>
      </c>
      <c r="I19" s="84">
        <f t="shared" si="5"/>
        <v>-0.30188223063067421</v>
      </c>
      <c r="J19" s="54"/>
      <c r="K19" s="357" t="s">
        <v>193</v>
      </c>
      <c r="L19" s="352">
        <f>[4]Pinnacle!$EI$41</f>
        <v>255057</v>
      </c>
      <c r="M19" s="40">
        <f t="shared" si="2"/>
        <v>9.3155887286843958E-2</v>
      </c>
      <c r="N19" s="9">
        <f>[4]Pinnacle!$DU$41</f>
        <v>356311</v>
      </c>
      <c r="O19" s="84">
        <f t="shared" si="3"/>
        <v>-0.28417309597514528</v>
      </c>
      <c r="P19" s="9">
        <f>SUM([4]Pinnacle!$DX$41:$EI$41)</f>
        <v>3238137</v>
      </c>
      <c r="Q19" s="9">
        <f>SUM([4]Pinnacle!$DJ$41:$DU$41)</f>
        <v>4060851</v>
      </c>
      <c r="R19" s="84">
        <f t="shared" si="4"/>
        <v>-0.20259645084244657</v>
      </c>
      <c r="T19" s="20"/>
      <c r="U19" s="11"/>
    </row>
    <row r="20" spans="1:23" ht="14.1" customHeight="1" x14ac:dyDescent="0.2">
      <c r="A20" s="54"/>
      <c r="B20" s="356" t="s">
        <v>179</v>
      </c>
      <c r="C20" s="352">
        <f>'[4]Go Jet'!$EI$19</f>
        <v>0</v>
      </c>
      <c r="D20" s="40">
        <f t="shared" si="0"/>
        <v>0</v>
      </c>
      <c r="E20" s="9">
        <f>'[4]Go Jet'!$DU$19</f>
        <v>0</v>
      </c>
      <c r="F20" s="84" t="e">
        <f>(C20-E20)/E20</f>
        <v>#DIV/0!</v>
      </c>
      <c r="G20" s="9">
        <f>SUM('[4]Go Jet'!$DX$19:$EI$19)</f>
        <v>74</v>
      </c>
      <c r="H20" s="9">
        <f>SUM('[4]Go Jet'!$DJ$19:$DU$19)</f>
        <v>0</v>
      </c>
      <c r="I20" s="84" t="e">
        <f>(G20-H20)/H20</f>
        <v>#DIV/0!</v>
      </c>
      <c r="J20" s="54"/>
      <c r="K20" s="356" t="s">
        <v>179</v>
      </c>
      <c r="L20" s="352">
        <f>'[4]Go Jet'!$EI$41</f>
        <v>0</v>
      </c>
      <c r="M20" s="40">
        <f t="shared" si="2"/>
        <v>0</v>
      </c>
      <c r="N20" s="9">
        <f>'[4]Go Jet'!$DU$41</f>
        <v>0</v>
      </c>
      <c r="O20" s="84" t="e">
        <f>(L20-N20)/N20</f>
        <v>#DIV/0!</v>
      </c>
      <c r="P20" s="9">
        <f>SUM('[4]Go Jet'!$DX$41:$EI$41)</f>
        <v>4356</v>
      </c>
      <c r="Q20" s="9">
        <f>SUM('[4]Go Jet'!$DJ$41:$DU$41)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7" t="s">
        <v>110</v>
      </c>
      <c r="C21" s="352">
        <f>'[4]Sky West'!$EI$19</f>
        <v>4736</v>
      </c>
      <c r="D21" s="40">
        <f t="shared" si="0"/>
        <v>0.16388677417122291</v>
      </c>
      <c r="E21" s="9">
        <f>'[4]Sky West'!$DU$19</f>
        <v>2736</v>
      </c>
      <c r="F21" s="84">
        <f t="shared" si="1"/>
        <v>0.73099415204678364</v>
      </c>
      <c r="G21" s="9">
        <f>SUM('[4]Sky West'!$DX$19:$EI$19)</f>
        <v>54869</v>
      </c>
      <c r="H21" s="9">
        <f>SUM('[4]Sky West'!$DJ$19:$DU$19)</f>
        <v>36272</v>
      </c>
      <c r="I21" s="84">
        <f t="shared" si="5"/>
        <v>0.51270952801058667</v>
      </c>
      <c r="J21" s="54"/>
      <c r="K21" s="357" t="s">
        <v>110</v>
      </c>
      <c r="L21" s="352">
        <f>'[4]Sky West'!$EI$41</f>
        <v>206466</v>
      </c>
      <c r="M21" s="40">
        <f t="shared" si="2"/>
        <v>7.5408725988957467E-2</v>
      </c>
      <c r="N21" s="9">
        <f>'[4]Sky West'!$DU$41</f>
        <v>109023</v>
      </c>
      <c r="O21" s="84">
        <f t="shared" si="3"/>
        <v>0.89378388046558988</v>
      </c>
      <c r="P21" s="9">
        <f>SUM('[4]Sky West'!$DX$41:$EI$41)</f>
        <v>2371208</v>
      </c>
      <c r="Q21" s="9">
        <f>SUM('[4]Sky West'!$DJ$41:$DU$41)</f>
        <v>1481866</v>
      </c>
      <c r="R21" s="84">
        <f t="shared" si="4"/>
        <v>0.60015008104646439</v>
      </c>
      <c r="T21" s="20"/>
    </row>
    <row r="22" spans="1:23" ht="14.1" customHeight="1" x14ac:dyDescent="0.2">
      <c r="A22" s="54"/>
      <c r="B22" s="357" t="s">
        <v>147</v>
      </c>
      <c r="C22" s="352">
        <f>'[4]Shuttle America_Delta'!$EI$19</f>
        <v>154</v>
      </c>
      <c r="D22" s="40">
        <f t="shared" si="0"/>
        <v>5.3290885182365562E-3</v>
      </c>
      <c r="E22" s="9">
        <f>'[4]Shuttle America_Delta'!$DU$19</f>
        <v>246</v>
      </c>
      <c r="F22" s="84">
        <f t="shared" si="1"/>
        <v>-0.37398373983739835</v>
      </c>
      <c r="G22" s="9">
        <f>SUM('[4]Shuttle America_Delta'!$DX$19:$EI$19)</f>
        <v>4005</v>
      </c>
      <c r="H22" s="9">
        <f>SUM('[4]Shuttle America_Delta'!$DJ$19:$DU$19)</f>
        <v>2902</v>
      </c>
      <c r="I22" s="84">
        <f t="shared" si="5"/>
        <v>0.3800827015851137</v>
      </c>
      <c r="J22" s="54"/>
      <c r="K22" s="357" t="s">
        <v>147</v>
      </c>
      <c r="L22" s="352">
        <f>'[4]Shuttle America_Delta'!$EI$41</f>
        <v>6547</v>
      </c>
      <c r="M22" s="40">
        <f t="shared" si="2"/>
        <v>2.3911972385269467E-3</v>
      </c>
      <c r="N22" s="9">
        <f>'[4]Shuttle America_Delta'!$DU$41</f>
        <v>15263</v>
      </c>
      <c r="O22" s="84">
        <f t="shared" si="3"/>
        <v>-0.57105418331913782</v>
      </c>
      <c r="P22" s="9">
        <f>SUM('[4]Shuttle America_Delta'!$DX$41:$EI$41)</f>
        <v>203703</v>
      </c>
      <c r="Q22" s="9">
        <f>SUM('[4]Shuttle America_Delta'!$DJ$41:$DU$41)</f>
        <v>178373</v>
      </c>
      <c r="R22" s="84">
        <f t="shared" si="4"/>
        <v>0.14200579684145023</v>
      </c>
      <c r="T22" s="20"/>
    </row>
    <row r="23" spans="1:23" ht="14.1" customHeight="1" x14ac:dyDescent="0.2">
      <c r="A23" s="54"/>
      <c r="B23" s="362" t="s">
        <v>55</v>
      </c>
      <c r="C23" s="352">
        <f>'[4]Atlantic Southeast'!$EI$19</f>
        <v>1089</v>
      </c>
      <c r="D23" s="40">
        <f t="shared" si="0"/>
        <v>3.7684268807529932E-2</v>
      </c>
      <c r="E23" s="9">
        <f>'[4]Atlantic Southeast'!$DU$19</f>
        <v>847</v>
      </c>
      <c r="F23" s="84">
        <f t="shared" si="1"/>
        <v>0.2857142857142857</v>
      </c>
      <c r="G23" s="9">
        <f>SUM('[4]Atlantic Southeast'!$DX$19:$EI$19)</f>
        <v>12778</v>
      </c>
      <c r="H23" s="9">
        <f>SUM('[4]Atlantic Southeast'!$DJ$19:$DU$19)</f>
        <v>11306</v>
      </c>
      <c r="I23" s="84">
        <f t="shared" si="5"/>
        <v>0.1301963559172121</v>
      </c>
      <c r="J23" s="54"/>
      <c r="K23" s="362" t="s">
        <v>55</v>
      </c>
      <c r="L23" s="352">
        <f>'[4]Atlantic Southeast'!$EI$41</f>
        <v>60104</v>
      </c>
      <c r="M23" s="40">
        <f t="shared" si="2"/>
        <v>2.1952118348010325E-2</v>
      </c>
      <c r="N23" s="9">
        <f>'[4]Atlantic Southeast'!$DU$41</f>
        <v>46166</v>
      </c>
      <c r="O23" s="84">
        <f t="shared" si="3"/>
        <v>0.30191049690248234</v>
      </c>
      <c r="P23" s="9">
        <f>SUM('[4]Atlantic Southeast'!$DX$41:$EI$41)</f>
        <v>722643</v>
      </c>
      <c r="Q23" s="9">
        <f>SUM('[4]Atlantic Southeast'!$DJ$41:$DU$41)</f>
        <v>643259</v>
      </c>
      <c r="R23" s="84">
        <f t="shared" si="4"/>
        <v>0.12340907783645468</v>
      </c>
      <c r="T23" s="321"/>
    </row>
    <row r="24" spans="1:23" ht="14.1" customHeight="1" x14ac:dyDescent="0.2">
      <c r="A24" s="54"/>
      <c r="B24" s="362"/>
      <c r="C24" s="352"/>
      <c r="D24" s="40"/>
      <c r="E24" s="5"/>
      <c r="F24" s="84"/>
      <c r="G24" s="9"/>
      <c r="H24" s="9"/>
      <c r="I24" s="84"/>
      <c r="J24" s="54"/>
      <c r="K24" s="362"/>
      <c r="L24" s="352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7" t="s">
        <v>51</v>
      </c>
      <c r="B25" s="363"/>
      <c r="C25" s="348">
        <f>[4]Frontier!$EI$19</f>
        <v>224</v>
      </c>
      <c r="D25" s="349">
        <f>C25/$C$56</f>
        <v>7.7514014810713544E-3</v>
      </c>
      <c r="E25" s="350">
        <f>[4]Frontier!$DU$19</f>
        <v>288</v>
      </c>
      <c r="F25" s="351">
        <f>(C25-E25)/E25</f>
        <v>-0.22222222222222221</v>
      </c>
      <c r="G25" s="350">
        <f>SUM([4]Frontier!$DX$19:$EI$19)</f>
        <v>3403</v>
      </c>
      <c r="H25" s="350">
        <f>SUM([4]Frontier!$DJ$19:$DU$19)</f>
        <v>3265</v>
      </c>
      <c r="I25" s="351">
        <f>(G25-H25)/H25</f>
        <v>4.2266462480857581E-2</v>
      </c>
      <c r="J25" s="347" t="s">
        <v>51</v>
      </c>
      <c r="K25" s="363"/>
      <c r="L25" s="348">
        <f>[4]Frontier!$EI$41</f>
        <v>31924</v>
      </c>
      <c r="M25" s="349">
        <f>L25/$L$56</f>
        <v>1.1659780150104512E-2</v>
      </c>
      <c r="N25" s="350">
        <f>[4]Frontier!$DU$41</f>
        <v>38811</v>
      </c>
      <c r="O25" s="351">
        <f>(L25-N25)/N25</f>
        <v>-0.1774496920976012</v>
      </c>
      <c r="P25" s="350">
        <f>SUM([4]Frontier!$DX$41:$EI$41)</f>
        <v>453762</v>
      </c>
      <c r="Q25" s="350">
        <f>SUM([4]Frontier!$DJ$41:$DU$41)</f>
        <v>456105</v>
      </c>
      <c r="R25" s="351">
        <f>(P25-Q25)/Q25</f>
        <v>-5.1369750386424176E-3</v>
      </c>
      <c r="T25" s="323"/>
      <c r="U25"/>
    </row>
    <row r="26" spans="1:23" s="7" customFormat="1" ht="14.1" customHeight="1" x14ac:dyDescent="0.2">
      <c r="A26" s="347"/>
      <c r="B26" s="363"/>
      <c r="C26" s="348"/>
      <c r="D26" s="349"/>
      <c r="E26" s="174"/>
      <c r="F26" s="351"/>
      <c r="G26" s="350"/>
      <c r="H26" s="350"/>
      <c r="I26" s="351"/>
      <c r="J26" s="347"/>
      <c r="K26" s="363"/>
      <c r="L26" s="352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7" t="s">
        <v>178</v>
      </c>
      <c r="B27" s="363"/>
      <c r="C27" s="348">
        <f>'[4]Great Lakes'!$EI$19</f>
        <v>139</v>
      </c>
      <c r="D27" s="349">
        <f>C27/$C$56</f>
        <v>4.8100214547719565E-3</v>
      </c>
      <c r="E27" s="350">
        <f>'[4]Great Lakes'!$DU$19</f>
        <v>212</v>
      </c>
      <c r="F27" s="351">
        <f>(C27-E27)/E27</f>
        <v>-0.34433962264150941</v>
      </c>
      <c r="G27" s="350">
        <f>SUM('[4]Great Lakes'!$DX$19:$EI$19)</f>
        <v>2648</v>
      </c>
      <c r="H27" s="350">
        <f>SUM('[4]Great Lakes'!$DJ$19:$DU$19)</f>
        <v>2080</v>
      </c>
      <c r="I27" s="351">
        <f>(G27-H27)/H27</f>
        <v>0.27307692307692305</v>
      </c>
      <c r="J27" s="347" t="s">
        <v>178</v>
      </c>
      <c r="K27" s="363"/>
      <c r="L27" s="348">
        <f>'[4]Great Lakes'!$EI$41</f>
        <v>446</v>
      </c>
      <c r="M27" s="349">
        <f>L27/$L$56</f>
        <v>1.6289506161341349E-4</v>
      </c>
      <c r="N27" s="350">
        <f>'[4]Great Lakes'!$DU$41</f>
        <v>873</v>
      </c>
      <c r="O27" s="351">
        <f>(L27-N27)/N27</f>
        <v>-0.48911798396334477</v>
      </c>
      <c r="P27" s="350">
        <f>SUM('[4]Great Lakes'!$DX$41:$EI$41)</f>
        <v>8765</v>
      </c>
      <c r="Q27" s="350">
        <f>SUM('[4]Great Lakes'!$DJ$41:$DU$41)</f>
        <v>11462</v>
      </c>
      <c r="R27" s="351">
        <f>(P27-Q27)/Q27</f>
        <v>-0.23529924969464316</v>
      </c>
      <c r="T27" s="323"/>
    </row>
    <row r="28" spans="1:23" s="7" customFormat="1" ht="14.1" customHeight="1" x14ac:dyDescent="0.2">
      <c r="A28" s="347"/>
      <c r="B28" s="363"/>
      <c r="C28" s="348"/>
      <c r="D28" s="349"/>
      <c r="E28" s="174"/>
      <c r="F28" s="351"/>
      <c r="G28" s="350"/>
      <c r="H28" s="350"/>
      <c r="I28" s="351"/>
      <c r="J28" s="347"/>
      <c r="K28" s="363"/>
      <c r="L28" s="352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7" t="s">
        <v>52</v>
      </c>
      <c r="B29" s="363"/>
      <c r="C29" s="348">
        <f>[4]Icelandair!$EI$19</f>
        <v>32</v>
      </c>
      <c r="D29" s="349">
        <f>C29/$C$56</f>
        <v>1.1073430687244792E-3</v>
      </c>
      <c r="E29" s="350">
        <f>[4]Icelandair!$DU$19</f>
        <v>0</v>
      </c>
      <c r="F29" s="351" t="e">
        <f>(C29-E29)/E29</f>
        <v>#DIV/0!</v>
      </c>
      <c r="G29" s="350">
        <f>SUM([4]Icelandair!$DX$19:$EI$19)</f>
        <v>370</v>
      </c>
      <c r="H29" s="350">
        <f>SUM([4]Icelandair!$DJ$19:$DU$19)</f>
        <v>260</v>
      </c>
      <c r="I29" s="351">
        <f>(G29-H29)/H29</f>
        <v>0.42307692307692307</v>
      </c>
      <c r="J29" s="347" t="s">
        <v>52</v>
      </c>
      <c r="K29" s="363"/>
      <c r="L29" s="348">
        <f>[4]Icelandair!$EI$41</f>
        <v>4041</v>
      </c>
      <c r="M29" s="349">
        <f>L29/$L$56</f>
        <v>1.4759169147529237E-3</v>
      </c>
      <c r="N29" s="350">
        <f>[4]Icelandair!$DU$41</f>
        <v>0</v>
      </c>
      <c r="O29" s="351" t="e">
        <f>(L29-N29)/N29</f>
        <v>#DIV/0!</v>
      </c>
      <c r="P29" s="350">
        <f>SUM([4]Icelandair!$DX$41:$EI$41)</f>
        <v>56795</v>
      </c>
      <c r="Q29" s="350">
        <f>SUM([4]Icelandair!$DJ$41:$DU$41)</f>
        <v>40263</v>
      </c>
      <c r="R29" s="351">
        <f>(P29-Q29)/Q29</f>
        <v>0.41060030300772421</v>
      </c>
      <c r="T29" s="20"/>
    </row>
    <row r="30" spans="1:23" s="7" customFormat="1" ht="14.1" customHeight="1" x14ac:dyDescent="0.2">
      <c r="A30" s="347"/>
      <c r="B30" s="363"/>
      <c r="C30" s="348"/>
      <c r="D30" s="349"/>
      <c r="E30" s="174"/>
      <c r="F30" s="351"/>
      <c r="G30" s="350"/>
      <c r="H30" s="350"/>
      <c r="I30" s="351"/>
      <c r="J30" s="347"/>
      <c r="K30" s="363"/>
      <c r="L30" s="352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59" t="s">
        <v>144</v>
      </c>
      <c r="B31" s="57"/>
      <c r="C31" s="348">
        <f>SUM(C32:C33)</f>
        <v>1285</v>
      </c>
      <c r="D31" s="349">
        <f>C31/$C$56</f>
        <v>4.4466745103467369E-2</v>
      </c>
      <c r="E31" s="350">
        <f>SUM(E32:E33)</f>
        <v>1325</v>
      </c>
      <c r="F31" s="351">
        <f>(C31-E31)/E31</f>
        <v>-3.0188679245283019E-2</v>
      </c>
      <c r="G31" s="348">
        <f>SUM(G32:G33)</f>
        <v>15874</v>
      </c>
      <c r="H31" s="350">
        <f>SUM(H32:H33)</f>
        <v>16892</v>
      </c>
      <c r="I31" s="351">
        <f>(G31-H31)/H31</f>
        <v>-6.0265214302628461E-2</v>
      </c>
      <c r="J31" s="347" t="s">
        <v>144</v>
      </c>
      <c r="K31" s="57"/>
      <c r="L31" s="348">
        <f>SUM(L32:L33)</f>
        <v>148317</v>
      </c>
      <c r="M31" s="349">
        <f>L31/$L$56</f>
        <v>5.4170643168871414E-2</v>
      </c>
      <c r="N31" s="350">
        <f>SUM(N32:N33)</f>
        <v>146680</v>
      </c>
      <c r="O31" s="351">
        <f>(L31-N31)/N31</f>
        <v>1.1160349059176438E-2</v>
      </c>
      <c r="P31" s="348">
        <f>SUM(P32:P33)</f>
        <v>1885984</v>
      </c>
      <c r="Q31" s="350">
        <f>SUM(Q32:Q33)</f>
        <v>1885779</v>
      </c>
      <c r="R31" s="351">
        <f>(P31-Q31)/Q31</f>
        <v>1.0870839053780957E-4</v>
      </c>
      <c r="T31" s="20"/>
    </row>
    <row r="32" spans="1:23" ht="14.1" customHeight="1" x14ac:dyDescent="0.2">
      <c r="A32" s="359"/>
      <c r="B32" s="57" t="s">
        <v>144</v>
      </c>
      <c r="C32" s="450">
        <f>[4]Southwest!$EI$19</f>
        <v>1285</v>
      </c>
      <c r="D32" s="451">
        <f>C32/$C$56</f>
        <v>4.4466745103467369E-2</v>
      </c>
      <c r="E32" s="290">
        <f>[4]Southwest!$DU$19</f>
        <v>1183</v>
      </c>
      <c r="F32" s="452">
        <f>(C32-E32)/E32</f>
        <v>8.6221470836855454E-2</v>
      </c>
      <c r="G32" s="290">
        <f>SUM([4]Southwest!$DX$19:$EI$19)</f>
        <v>15874</v>
      </c>
      <c r="H32" s="290">
        <f>SUM([4]Southwest!$DJ$19:$DU$19)</f>
        <v>14718</v>
      </c>
      <c r="I32" s="452">
        <f>(G32-H32)/H32</f>
        <v>7.8543280337002308E-2</v>
      </c>
      <c r="J32" s="347"/>
      <c r="K32" s="57" t="s">
        <v>144</v>
      </c>
      <c r="L32" s="450">
        <f>[4]Southwest!$EI$41</f>
        <v>148317</v>
      </c>
      <c r="M32" s="451">
        <f>L32/$L$56</f>
        <v>5.4170643168871414E-2</v>
      </c>
      <c r="N32" s="290">
        <f>[4]Southwest!$DU$41</f>
        <v>135597</v>
      </c>
      <c r="O32" s="452">
        <f>(L32-N32)/N32</f>
        <v>9.3807385119139802E-2</v>
      </c>
      <c r="P32" s="290">
        <f>SUM([4]Southwest!$DX$41:$EI$41)</f>
        <v>1885984</v>
      </c>
      <c r="Q32" s="290">
        <f>SUM([4]Southwest!$DJ$41:$DU$41)</f>
        <v>1673257</v>
      </c>
      <c r="R32" s="452">
        <f>(P32-Q32)/Q32</f>
        <v>0.12713348875875016</v>
      </c>
      <c r="T32" s="20"/>
    </row>
    <row r="33" spans="1:21" ht="14.1" customHeight="1" x14ac:dyDescent="0.2">
      <c r="A33" s="359"/>
      <c r="B33" s="57" t="s">
        <v>194</v>
      </c>
      <c r="C33" s="450">
        <f>[4]AirTran!$EI$19</f>
        <v>0</v>
      </c>
      <c r="D33" s="451">
        <f>C33/$C$56</f>
        <v>0</v>
      </c>
      <c r="E33" s="290">
        <f>[4]AirTran!$DU$19</f>
        <v>142</v>
      </c>
      <c r="F33" s="452">
        <f>(C33-E33)/E33</f>
        <v>-1</v>
      </c>
      <c r="G33" s="290">
        <f>SUM([4]AirTran!$DX$19:$EI$19)</f>
        <v>0</v>
      </c>
      <c r="H33" s="290">
        <f>SUM([4]AirTran!$DJ$19:$DU$19)</f>
        <v>2174</v>
      </c>
      <c r="I33" s="452">
        <f>(G33-H33)/H33</f>
        <v>-1</v>
      </c>
      <c r="J33" s="347"/>
      <c r="K33" s="57" t="s">
        <v>194</v>
      </c>
      <c r="L33" s="450">
        <f>[4]AirTran!$EI$41</f>
        <v>0</v>
      </c>
      <c r="M33" s="451">
        <f>L33/$L$56</f>
        <v>0</v>
      </c>
      <c r="N33" s="290">
        <f>[4]AirTran!$DU$41</f>
        <v>11083</v>
      </c>
      <c r="O33" s="452">
        <f>(L33-N33)/N33</f>
        <v>-1</v>
      </c>
      <c r="P33" s="290">
        <f>SUM([4]AirTran!$DX$41:$EI$41)</f>
        <v>0</v>
      </c>
      <c r="Q33" s="290">
        <f>SUM([4]AirTran!$DJ$41:$DU$41)</f>
        <v>212522</v>
      </c>
      <c r="R33" s="452">
        <f>(P33-Q33)/Q33</f>
        <v>-1</v>
      </c>
      <c r="T33" s="20"/>
    </row>
    <row r="34" spans="1:21" ht="14.1" customHeight="1" x14ac:dyDescent="0.2">
      <c r="A34" s="347"/>
      <c r="B34" s="57"/>
      <c r="C34" s="348"/>
      <c r="D34" s="349"/>
      <c r="E34" s="174"/>
      <c r="F34" s="351"/>
      <c r="G34" s="350"/>
      <c r="H34" s="350"/>
      <c r="I34" s="351"/>
      <c r="J34" s="347"/>
      <c r="K34" s="57"/>
      <c r="L34" s="352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7" t="s">
        <v>180</v>
      </c>
      <c r="B35" s="57"/>
      <c r="C35" s="348">
        <f>[4]Spirit!$EI$19</f>
        <v>674</v>
      </c>
      <c r="D35" s="349">
        <f>C35/$C$56</f>
        <v>2.3323413385009342E-2</v>
      </c>
      <c r="E35" s="350">
        <f>[4]Spirit!$DU$19</f>
        <v>680</v>
      </c>
      <c r="F35" s="351">
        <f>(C35-E35)/E35</f>
        <v>-8.8235294117647058E-3</v>
      </c>
      <c r="G35" s="350">
        <f>SUM([4]Spirit!$DX$19:$EI$19)</f>
        <v>7501</v>
      </c>
      <c r="H35" s="350">
        <f>SUM([4]Spirit!$DJ$19:$DU$19)</f>
        <v>7669</v>
      </c>
      <c r="I35" s="351">
        <f>(G35-H35)/H35</f>
        <v>-2.1906376320250359E-2</v>
      </c>
      <c r="J35" s="347" t="s">
        <v>180</v>
      </c>
      <c r="K35" s="57"/>
      <c r="L35" s="348">
        <f>[4]Spirit!$EI$41</f>
        <v>105474</v>
      </c>
      <c r="M35" s="349">
        <f>L35/$L$56</f>
        <v>3.8522855893751512E-2</v>
      </c>
      <c r="N35" s="350">
        <f>[4]Spirit!$DU$41</f>
        <v>91578</v>
      </c>
      <c r="O35" s="351">
        <f>(L35-N35)/N35</f>
        <v>0.15173950075345607</v>
      </c>
      <c r="P35" s="350">
        <f>SUM([4]Spirit!$DX$41:$EI$41)</f>
        <v>1029510</v>
      </c>
      <c r="Q35" s="350">
        <f>SUM([4]Spirit!$DJ$41:$DU$41)</f>
        <v>996858</v>
      </c>
      <c r="R35" s="351">
        <f>(P35-Q35)/Q35</f>
        <v>3.2754915945902026E-2</v>
      </c>
      <c r="T35" s="20"/>
      <c r="U35" s="7"/>
    </row>
    <row r="36" spans="1:21" ht="14.1" customHeight="1" x14ac:dyDescent="0.2">
      <c r="A36" s="347"/>
      <c r="B36" s="57"/>
      <c r="C36" s="348"/>
      <c r="D36" s="349"/>
      <c r="E36" s="174"/>
      <c r="F36" s="351"/>
      <c r="G36" s="350"/>
      <c r="H36" s="350"/>
      <c r="I36" s="351"/>
      <c r="J36" s="347"/>
      <c r="K36" s="57"/>
      <c r="L36" s="352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7" t="s">
        <v>53</v>
      </c>
      <c r="B37" s="363"/>
      <c r="C37" s="348">
        <f>'[4]Sun Country'!$EI$19</f>
        <v>1717</v>
      </c>
      <c r="D37" s="349">
        <f>C37/$C$56</f>
        <v>5.9415876531247837E-2</v>
      </c>
      <c r="E37" s="350">
        <f>'[4]Sun Country'!$DU$19</f>
        <v>1566</v>
      </c>
      <c r="F37" s="351">
        <f>(C37-E37)/E37</f>
        <v>9.6424010217113665E-2</v>
      </c>
      <c r="G37" s="350">
        <f>SUM('[4]Sun Country'!$DX$19:$EI$19)</f>
        <v>18492</v>
      </c>
      <c r="H37" s="350">
        <f>SUM('[4]Sun Country'!$DJ$19:$DU$19)</f>
        <v>16839</v>
      </c>
      <c r="I37" s="351">
        <f>(G37-H37)/H37</f>
        <v>9.8164974167112062E-2</v>
      </c>
      <c r="J37" s="347" t="s">
        <v>53</v>
      </c>
      <c r="K37" s="363"/>
      <c r="L37" s="348">
        <f>'[4]Sun Country'!$EI$41</f>
        <v>181752</v>
      </c>
      <c r="M37" s="349">
        <f>L37/$L$56</f>
        <v>6.6382294256415092E-2</v>
      </c>
      <c r="N37" s="350">
        <f>'[4]Sun Country'!$DU$41</f>
        <v>169822</v>
      </c>
      <c r="O37" s="351">
        <f>(L37-N37)/N37</f>
        <v>7.0250026498333548E-2</v>
      </c>
      <c r="P37" s="350">
        <f>SUM('[4]Sun Country'!$DX$41:$EI$41)</f>
        <v>2051651</v>
      </c>
      <c r="Q37" s="350">
        <f>SUM('[4]Sun Country'!$DJ$41:$DU$41)</f>
        <v>1672881</v>
      </c>
      <c r="R37" s="351">
        <f>(P37-Q37)/Q37</f>
        <v>0.22641777867044935</v>
      </c>
      <c r="T37" s="20"/>
    </row>
    <row r="38" spans="1:21" s="7" customFormat="1" ht="14.1" customHeight="1" x14ac:dyDescent="0.2">
      <c r="A38" s="347"/>
      <c r="B38" s="363"/>
      <c r="C38" s="348"/>
      <c r="D38" s="349"/>
      <c r="E38" s="174"/>
      <c r="F38" s="351"/>
      <c r="G38" s="350"/>
      <c r="H38" s="350"/>
      <c r="I38" s="351"/>
      <c r="J38" s="347"/>
      <c r="K38" s="363"/>
      <c r="L38" s="352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7" t="s">
        <v>21</v>
      </c>
      <c r="B39" s="355"/>
      <c r="C39" s="348">
        <f>SUM(C40:C46)</f>
        <v>1568</v>
      </c>
      <c r="D39" s="349">
        <f>C39/$C$56</f>
        <v>5.4259810367499481E-2</v>
      </c>
      <c r="E39" s="174">
        <f>SUM(E40:E46)</f>
        <v>1636</v>
      </c>
      <c r="F39" s="351">
        <f t="shared" ref="F39:F46" si="6">(C39-E39)/E39</f>
        <v>-4.1564792176039117E-2</v>
      </c>
      <c r="G39" s="350">
        <f>SUM(G40:G46)</f>
        <v>19560</v>
      </c>
      <c r="H39" s="350">
        <f>SUM(H40:H46)</f>
        <v>20408</v>
      </c>
      <c r="I39" s="351">
        <f t="shared" ref="I39:I46" si="7">(G39-H39)/H39</f>
        <v>-4.1552332418659348E-2</v>
      </c>
      <c r="J39" s="347" t="s">
        <v>21</v>
      </c>
      <c r="K39" s="355"/>
      <c r="L39" s="348">
        <f>SUM(L40:L46)</f>
        <v>122627</v>
      </c>
      <c r="M39" s="349">
        <f>L39/$L$56</f>
        <v>4.4787741525713132E-2</v>
      </c>
      <c r="N39" s="350">
        <f>SUM(N40:N46)</f>
        <v>96923</v>
      </c>
      <c r="O39" s="351">
        <f t="shared" ref="O39:O46" si="8">(L39-N39)/N39</f>
        <v>0.2652002104763575</v>
      </c>
      <c r="P39" s="350">
        <f>SUM(P40:P46)</f>
        <v>1567854</v>
      </c>
      <c r="Q39" s="350">
        <f>SUM(Q40:Q46)</f>
        <v>1297274</v>
      </c>
      <c r="R39" s="351">
        <f t="shared" ref="R39:R46" si="9">(P39-Q39)/Q39</f>
        <v>0.20857582900759591</v>
      </c>
      <c r="T39" s="20"/>
      <c r="U39"/>
    </row>
    <row r="40" spans="1:21" s="7" customFormat="1" ht="14.1" customHeight="1" x14ac:dyDescent="0.2">
      <c r="A40" s="364"/>
      <c r="B40" s="356" t="s">
        <v>182</v>
      </c>
      <c r="C40" s="352">
        <f>[4]United!$EI$19</f>
        <v>502</v>
      </c>
      <c r="D40" s="40">
        <f>C40/$C$56</f>
        <v>1.7371444390615269E-2</v>
      </c>
      <c r="E40" s="9">
        <f>[4]United!$DU$19+[4]Continental!$DU$19</f>
        <v>74</v>
      </c>
      <c r="F40" s="84">
        <f t="shared" si="6"/>
        <v>5.7837837837837842</v>
      </c>
      <c r="G40" s="9">
        <f>SUM([4]United!$DX$19:$EI$19)</f>
        <v>7242</v>
      </c>
      <c r="H40" s="9">
        <f>SUM([4]United!$DJ$19:$DU$19)+SUM([4]Continental!$DJ$19:$DU$19)</f>
        <v>3002</v>
      </c>
      <c r="I40" s="84">
        <f t="shared" si="7"/>
        <v>1.4123917388407727</v>
      </c>
      <c r="J40" s="364"/>
      <c r="K40" s="356" t="s">
        <v>182</v>
      </c>
      <c r="L40" s="352">
        <f>[4]United!$EI$41</f>
        <v>58281</v>
      </c>
      <c r="M40" s="40">
        <f>L40/$L$56</f>
        <v>2.12862939145546E-2</v>
      </c>
      <c r="N40" s="9">
        <f>[4]United!$DU$41+[4]Continental!$DU$41</f>
        <v>9218</v>
      </c>
      <c r="O40" s="84">
        <f t="shared" si="8"/>
        <v>5.3225211542633977</v>
      </c>
      <c r="P40" s="9">
        <f>SUM([4]United!$DX$41:$EI$41)</f>
        <v>851638</v>
      </c>
      <c r="Q40" s="9">
        <f>SUM([4]United!$DJ$41:$DU$41)+SUM([4]Continental!$DJ$41:$DU$41)</f>
        <v>337110</v>
      </c>
      <c r="R40" s="84">
        <f t="shared" si="9"/>
        <v>1.5262911215923585</v>
      </c>
      <c r="T40" s="20"/>
    </row>
    <row r="41" spans="1:21" s="7" customFormat="1" ht="14.1" customHeight="1" x14ac:dyDescent="0.2">
      <c r="A41" s="364"/>
      <c r="B41" s="356" t="s">
        <v>181</v>
      </c>
      <c r="C41" s="352">
        <f>[4]Chautaqua_Continental!$EI$19</f>
        <v>0</v>
      </c>
      <c r="D41" s="40">
        <f>C41/$C$56</f>
        <v>0</v>
      </c>
      <c r="E41" s="9">
        <f>[4]Chautaqua_Continental!$DU$19</f>
        <v>0</v>
      </c>
      <c r="F41" s="84" t="e">
        <f t="shared" si="6"/>
        <v>#DIV/0!</v>
      </c>
      <c r="G41" s="9">
        <f>SUM([4]Chautaqua_Continental!$DX$19:$EI$19)</f>
        <v>0</v>
      </c>
      <c r="H41" s="9">
        <f>SUM([4]Chautaqua_Continental!$DJ$19:$DU$19)</f>
        <v>58</v>
      </c>
      <c r="I41" s="84">
        <f t="shared" si="7"/>
        <v>-1</v>
      </c>
      <c r="J41" s="54"/>
      <c r="K41" s="357" t="s">
        <v>181</v>
      </c>
      <c r="L41" s="352">
        <f>[4]Chautaqua_Continental!$EI$41</f>
        <v>0</v>
      </c>
      <c r="M41" s="40">
        <f>L41/$L$56</f>
        <v>0</v>
      </c>
      <c r="N41" s="9">
        <f>[4]Chautaqua_Continental!$DU$41</f>
        <v>0</v>
      </c>
      <c r="O41" s="84" t="e">
        <f t="shared" si="8"/>
        <v>#DIV/0!</v>
      </c>
      <c r="P41" s="9">
        <f>SUM([4]Chautaqua_Continental!$DX$41:$EI$41)</f>
        <v>0</v>
      </c>
      <c r="Q41" s="9">
        <f>SUM([4]Chautaqua_Continental!$DJ$41:$DU$41)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4"/>
      <c r="B42" s="356" t="s">
        <v>198</v>
      </c>
      <c r="C42" s="352">
        <f>'[4]Continental Express'!$EI$19</f>
        <v>1066</v>
      </c>
      <c r="D42" s="40">
        <f>C42/$C$55</f>
        <v>8.2802547770700632E-2</v>
      </c>
      <c r="E42" s="9">
        <f>'[4]Continental Express'!$DU$19</f>
        <v>412</v>
      </c>
      <c r="F42" s="84">
        <f t="shared" si="6"/>
        <v>1.587378640776699</v>
      </c>
      <c r="G42" s="9">
        <f>SUM('[4]Continental Express'!$DX$19:$EI$19)</f>
        <v>6446</v>
      </c>
      <c r="H42" s="9">
        <f>SUM('[4]Continental Express'!$DJ$19:$DU$19)</f>
        <v>5100</v>
      </c>
      <c r="I42" s="84">
        <f t="shared" si="7"/>
        <v>0.26392156862745098</v>
      </c>
      <c r="J42" s="54"/>
      <c r="K42" s="356" t="s">
        <v>198</v>
      </c>
      <c r="L42" s="352">
        <f>'[4]Continental Express'!$EI$41</f>
        <v>64346</v>
      </c>
      <c r="M42" s="40">
        <f>L42/$L$55</f>
        <v>9.5506676977378274E-2</v>
      </c>
      <c r="N42" s="9">
        <f>'[4]Continental Express'!$DU$41</f>
        <v>16051</v>
      </c>
      <c r="O42" s="84">
        <f t="shared" si="8"/>
        <v>3.0088468008223788</v>
      </c>
      <c r="P42" s="9">
        <f>SUM('[4]Continental Express'!$DX$41:$EI$41)</f>
        <v>356526</v>
      </c>
      <c r="Q42" s="9">
        <f>SUM('[4]Continental Express'!$DJ$41:$DU$41)</f>
        <v>208376</v>
      </c>
      <c r="R42" s="84">
        <f t="shared" si="9"/>
        <v>0.71097439244442739</v>
      </c>
      <c r="T42" s="20"/>
    </row>
    <row r="43" spans="1:21" s="7" customFormat="1" ht="14.1" customHeight="1" x14ac:dyDescent="0.2">
      <c r="A43" s="364"/>
      <c r="B43" s="356" t="s">
        <v>179</v>
      </c>
      <c r="C43" s="352">
        <f>'[4]Go Jet_UA'!$EI$19</f>
        <v>0</v>
      </c>
      <c r="D43" s="40">
        <f>C43/$C$56</f>
        <v>0</v>
      </c>
      <c r="E43" s="9">
        <f>'[4]Go Jet_UA'!$DU$19</f>
        <v>344</v>
      </c>
      <c r="F43" s="84">
        <f t="shared" si="6"/>
        <v>-1</v>
      </c>
      <c r="G43" s="9">
        <f>SUM('[4]Go Jet_UA'!$DX$19:$EI$19)</f>
        <v>292</v>
      </c>
      <c r="H43" s="9">
        <f>SUM('[4]Go Jet_UA'!$DJ$19:$DU$19)</f>
        <v>3196</v>
      </c>
      <c r="I43" s="84">
        <f t="shared" si="7"/>
        <v>-0.90863579474342926</v>
      </c>
      <c r="J43" s="364"/>
      <c r="K43" s="357" t="s">
        <v>179</v>
      </c>
      <c r="L43" s="352">
        <f>'[4]Go Jet_UA'!$EI$41</f>
        <v>0</v>
      </c>
      <c r="M43" s="40">
        <f>L43/$L$56</f>
        <v>0</v>
      </c>
      <c r="N43" s="9">
        <f>'[4]Go Jet_UA'!$DU$41</f>
        <v>22162</v>
      </c>
      <c r="O43" s="84">
        <f t="shared" si="8"/>
        <v>-1</v>
      </c>
      <c r="P43" s="9">
        <f>SUM('[4]Go Jet_UA'!$DX$41:$EI$41)</f>
        <v>17949</v>
      </c>
      <c r="Q43" s="9">
        <f>SUM('[4]Go Jet_UA'!$DJ$41:$DU$41)</f>
        <v>198434</v>
      </c>
      <c r="R43" s="84">
        <f t="shared" si="9"/>
        <v>-0.90954675106080607</v>
      </c>
      <c r="T43" s="20"/>
    </row>
    <row r="44" spans="1:21" s="7" customFormat="1" ht="14.1" customHeight="1" x14ac:dyDescent="0.2">
      <c r="A44" s="364"/>
      <c r="B44" s="356" t="s">
        <v>57</v>
      </c>
      <c r="C44" s="352">
        <f>[4]MESA_UA!$EI$19</f>
        <v>0</v>
      </c>
      <c r="D44" s="40">
        <f>C44/$C$56</f>
        <v>0</v>
      </c>
      <c r="E44" s="9">
        <f>[4]MESA_UA!$DU$19</f>
        <v>120</v>
      </c>
      <c r="F44" s="84">
        <f>(C44-E44)/E44</f>
        <v>-1</v>
      </c>
      <c r="G44" s="9">
        <f>SUM([4]MESA_UA!$DX$19:$EI$19)</f>
        <v>2256</v>
      </c>
      <c r="H44" s="9">
        <f>SUM([4]MESA_UA!$DJ$19:$DU$19)</f>
        <v>1242</v>
      </c>
      <c r="I44" s="84">
        <f>(G44-H44)/H44</f>
        <v>0.81642512077294682</v>
      </c>
      <c r="J44" s="364"/>
      <c r="K44" s="357" t="s">
        <v>57</v>
      </c>
      <c r="L44" s="352">
        <f>[4]MESA_UA!$EI$41</f>
        <v>0</v>
      </c>
      <c r="M44" s="40">
        <f>L44/$L$56</f>
        <v>0</v>
      </c>
      <c r="N44" s="9">
        <f>[4]MESA_UA!$DU$41</f>
        <v>7647</v>
      </c>
      <c r="O44" s="84">
        <f>(L44-N44)/N44</f>
        <v>-1</v>
      </c>
      <c r="P44" s="9">
        <f>SUM([4]MESA_UA!$DX$41:$EI$41)</f>
        <v>136219</v>
      </c>
      <c r="Q44" s="9">
        <f>SUM([4]MESA_UA!$DJ$41:$DU$41)</f>
        <v>71833</v>
      </c>
      <c r="R44" s="84">
        <f t="shared" si="9"/>
        <v>0.89632898528531457</v>
      </c>
      <c r="T44" s="20"/>
    </row>
    <row r="45" spans="1:21" s="7" customFormat="1" ht="14.1" customHeight="1" x14ac:dyDescent="0.2">
      <c r="A45" s="364"/>
      <c r="B45" s="356" t="s">
        <v>110</v>
      </c>
      <c r="C45" s="352">
        <f>'[4]Sky West_UA'!$EI$19</f>
        <v>0</v>
      </c>
      <c r="D45" s="40">
        <f>C45/$C$56</f>
        <v>0</v>
      </c>
      <c r="E45" s="9">
        <f>'[4]Sky West_UA'!$DU$19+'[4]Sky West_CO'!$DU$19</f>
        <v>454</v>
      </c>
      <c r="F45" s="84">
        <f t="shared" si="6"/>
        <v>-1</v>
      </c>
      <c r="G45" s="9">
        <f>SUM('[4]Sky West_UA'!$DX$19:$EI$19)</f>
        <v>2074</v>
      </c>
      <c r="H45" s="9">
        <f>SUM('[4]Sky West_UA'!$DJ$19:$DU$19)+SUM('[4]Sky West_CO'!$DJ$19:$DU$19)</f>
        <v>4118</v>
      </c>
      <c r="I45" s="84">
        <f t="shared" si="7"/>
        <v>-0.49635745507527929</v>
      </c>
      <c r="J45" s="364"/>
      <c r="K45" s="356" t="s">
        <v>110</v>
      </c>
      <c r="L45" s="352">
        <f>'[4]Sky West_UA'!$EI$41</f>
        <v>0</v>
      </c>
      <c r="M45" s="40">
        <f>L45/$L$56</f>
        <v>0</v>
      </c>
      <c r="N45" s="9">
        <f>'[4]Sky West_UA'!$DU$41+'[4]Sky West_CO'!$DU$41</f>
        <v>27832</v>
      </c>
      <c r="O45" s="84">
        <f t="shared" si="8"/>
        <v>-1</v>
      </c>
      <c r="P45" s="9">
        <f>SUM('[4]Sky West_UA'!$DX$41:$EI$41)</f>
        <v>131384</v>
      </c>
      <c r="Q45" s="9">
        <f>SUM('[4]Sky West_UA'!$DJ$41:$DU$41)+SUM('[4]Sky West_CO'!$DJ$41:$DU$41)</f>
        <v>253200</v>
      </c>
      <c r="R45" s="84">
        <f t="shared" si="9"/>
        <v>-0.48110584518167454</v>
      </c>
      <c r="T45" s="20"/>
    </row>
    <row r="46" spans="1:21" s="7" customFormat="1" ht="14.1" customHeight="1" x14ac:dyDescent="0.2">
      <c r="A46" s="364"/>
      <c r="B46" s="358" t="s">
        <v>147</v>
      </c>
      <c r="C46" s="352">
        <f>'[4]Shuttle America'!$EI$19</f>
        <v>0</v>
      </c>
      <c r="D46" s="40">
        <f>C46/$C$56</f>
        <v>0</v>
      </c>
      <c r="E46" s="9">
        <f>'[4]Shuttle America'!$DU$19</f>
        <v>232</v>
      </c>
      <c r="F46" s="84">
        <f t="shared" si="6"/>
        <v>-1</v>
      </c>
      <c r="G46" s="9">
        <f>SUM('[4]Shuttle America'!$DX$19:$EI$19)</f>
        <v>1250</v>
      </c>
      <c r="H46" s="9">
        <f>SUM('[4]Shuttle America'!$DJ$19:$DU$19)</f>
        <v>3692</v>
      </c>
      <c r="I46" s="84">
        <f t="shared" si="7"/>
        <v>-0.661430119176598</v>
      </c>
      <c r="J46" s="364"/>
      <c r="K46" s="358" t="s">
        <v>147</v>
      </c>
      <c r="L46" s="352">
        <f>'[4]Shuttle America'!$EI$41</f>
        <v>0</v>
      </c>
      <c r="M46" s="40">
        <f>L46/$L$56</f>
        <v>0</v>
      </c>
      <c r="N46" s="9">
        <f>'[4]Shuttle America'!$DU$41</f>
        <v>14013</v>
      </c>
      <c r="O46" s="84">
        <f t="shared" si="8"/>
        <v>-1</v>
      </c>
      <c r="P46" s="9">
        <f>SUM('[4]Shuttle America'!$DX$41:$EI$41)</f>
        <v>74138</v>
      </c>
      <c r="Q46" s="9">
        <f>SUM('[4]Shuttle America'!$DJ$41:$DU$41)</f>
        <v>226106</v>
      </c>
      <c r="R46" s="84">
        <f t="shared" si="9"/>
        <v>-0.67210954154246239</v>
      </c>
      <c r="T46" s="20"/>
    </row>
    <row r="47" spans="1:21" s="7" customFormat="1" ht="14.1" customHeight="1" x14ac:dyDescent="0.2">
      <c r="A47" s="364"/>
      <c r="B47" s="358"/>
      <c r="C47" s="352"/>
      <c r="D47" s="40"/>
      <c r="E47" s="5"/>
      <c r="F47" s="84"/>
      <c r="G47" s="9"/>
      <c r="H47" s="9"/>
      <c r="I47" s="84"/>
      <c r="J47" s="364"/>
      <c r="K47" s="358"/>
      <c r="L47" s="352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59" t="s">
        <v>22</v>
      </c>
      <c r="B48" s="360"/>
      <c r="C48" s="348">
        <f>SUM(C49:C52)</f>
        <v>760</v>
      </c>
      <c r="D48" s="349">
        <f>C48/$C$56</f>
        <v>2.629939788220638E-2</v>
      </c>
      <c r="E48" s="350">
        <f>SUM(E49:E52)</f>
        <v>798</v>
      </c>
      <c r="F48" s="351">
        <f>(C48-E48)/E48</f>
        <v>-4.7619047619047616E-2</v>
      </c>
      <c r="G48" s="350">
        <f>SUM(G49:G52)</f>
        <v>8695</v>
      </c>
      <c r="H48" s="350">
        <f>SUM(H49:H52)</f>
        <v>9905</v>
      </c>
      <c r="I48" s="351">
        <f>(G48-H48)/H48</f>
        <v>-0.12216052498738011</v>
      </c>
      <c r="J48" s="359" t="s">
        <v>22</v>
      </c>
      <c r="K48" s="360"/>
      <c r="L48" s="348">
        <f>SUM(L49:L52)</f>
        <v>5808</v>
      </c>
      <c r="M48" s="349">
        <f>L48/$L$56</f>
        <v>2.1212881566159318E-3</v>
      </c>
      <c r="N48" s="350">
        <f>SUM(N49:N52)</f>
        <v>95545</v>
      </c>
      <c r="O48" s="351">
        <f>(L48-N48)/N48</f>
        <v>-0.93921188968548852</v>
      </c>
      <c r="P48" s="350">
        <f>SUM(P49:P52)</f>
        <v>945653</v>
      </c>
      <c r="Q48" s="350">
        <f>SUM(Q49:Q52)</f>
        <v>1211524</v>
      </c>
      <c r="R48" s="351">
        <f>(P48-Q48)/Q48</f>
        <v>-0.2194516988520244</v>
      </c>
      <c r="T48" s="20"/>
      <c r="U48"/>
    </row>
    <row r="49" spans="1:21" s="7" customFormat="1" ht="14.1" customHeight="1" x14ac:dyDescent="0.2">
      <c r="A49" s="364"/>
      <c r="B49" s="356" t="s">
        <v>22</v>
      </c>
      <c r="C49" s="352">
        <f>'[4]US Airways'!$EI$19</f>
        <v>636</v>
      </c>
      <c r="D49" s="40">
        <f>C49/$C$56</f>
        <v>2.2008443490899025E-2</v>
      </c>
      <c r="E49" s="9">
        <f>'[4]US Airways'!$DU$19</f>
        <v>695</v>
      </c>
      <c r="F49" s="84">
        <f>(C49-E49)/E49</f>
        <v>-8.4892086330935257E-2</v>
      </c>
      <c r="G49" s="9">
        <f>SUM('[4]US Airways'!$DX$19:$EI$19)</f>
        <v>8317</v>
      </c>
      <c r="H49" s="9">
        <f>SUM('[4]US Airways'!$DJ$19:$DU$19)</f>
        <v>8419</v>
      </c>
      <c r="I49" s="84">
        <f>(G49-H49)/H49</f>
        <v>-1.211545314170329E-2</v>
      </c>
      <c r="J49" s="364"/>
      <c r="K49" s="356" t="s">
        <v>22</v>
      </c>
      <c r="L49" s="352">
        <f>'[4]US Airways'!$EI$41</f>
        <v>0</v>
      </c>
      <c r="M49" s="40">
        <f>L49/$L$56</f>
        <v>0</v>
      </c>
      <c r="N49" s="9">
        <f>'[4]US Airways'!$DU$41</f>
        <v>90106</v>
      </c>
      <c r="O49" s="84">
        <f>(L49-N49)/N49</f>
        <v>-1</v>
      </c>
      <c r="P49" s="9">
        <f>SUM('[4]US Airways'!$DX$41:$EI$41)</f>
        <v>924497</v>
      </c>
      <c r="Q49" s="9">
        <f>SUM('[4]US Airways'!$DJ$41:$DU$41)</f>
        <v>1120290</v>
      </c>
      <c r="R49" s="84">
        <f>(P49-Q49)/Q49</f>
        <v>-0.17476992564425284</v>
      </c>
      <c r="T49" s="324"/>
    </row>
    <row r="50" spans="1:21" s="7" customFormat="1" ht="14.1" customHeight="1" x14ac:dyDescent="0.2">
      <c r="A50" s="364"/>
      <c r="B50" s="358" t="s">
        <v>58</v>
      </c>
      <c r="C50" s="352">
        <f>[4]Republic!$EI$19</f>
        <v>24</v>
      </c>
      <c r="D50" s="40">
        <f>C50/$C$56</f>
        <v>8.3050730154335937E-4</v>
      </c>
      <c r="E50" s="9">
        <f>[4]Republic!$DU$19</f>
        <v>101</v>
      </c>
      <c r="F50" s="84">
        <f>(C50-E50)/E50</f>
        <v>-0.76237623762376239</v>
      </c>
      <c r="G50" s="9">
        <f>SUM([4]Republic!$DX$19:$EI$19)</f>
        <v>220</v>
      </c>
      <c r="H50" s="9">
        <f>SUM([4]Republic!$DJ$19:$DU$19)</f>
        <v>1303</v>
      </c>
      <c r="I50" s="84">
        <f>(G50-H50)/H50</f>
        <v>-0.83115886415963158</v>
      </c>
      <c r="J50" s="364"/>
      <c r="K50" s="358" t="s">
        <v>58</v>
      </c>
      <c r="L50" s="352">
        <f>[4]Republic!$EI$41</f>
        <v>1603</v>
      </c>
      <c r="M50" s="40">
        <f>L50/$L$56</f>
        <v>5.8547260934148392E-4</v>
      </c>
      <c r="N50" s="9">
        <f>[4]Republic!$DU$41</f>
        <v>5371</v>
      </c>
      <c r="O50" s="84">
        <f>(L50-N50)/N50</f>
        <v>-0.70154533606404768</v>
      </c>
      <c r="P50" s="9">
        <f>SUM([4]Republic!$DX$41:$EI$41)</f>
        <v>14205</v>
      </c>
      <c r="Q50" s="9">
        <f>SUM([4]Republic!$DJ$41:$DU$41)</f>
        <v>77739</v>
      </c>
      <c r="R50" s="84">
        <f>(P50-Q50)/Q50</f>
        <v>-0.81727318334426735</v>
      </c>
      <c r="T50" s="321"/>
    </row>
    <row r="51" spans="1:21" s="7" customFormat="1" ht="14.1" customHeight="1" x14ac:dyDescent="0.2">
      <c r="A51" s="364"/>
      <c r="B51" s="357" t="s">
        <v>109</v>
      </c>
      <c r="C51" s="352">
        <f>[4]MESA!$EI$19</f>
        <v>0</v>
      </c>
      <c r="D51" s="40">
        <f>C51/$C$56</f>
        <v>0</v>
      </c>
      <c r="E51" s="9">
        <f>[4]MESA!$DU$19</f>
        <v>2</v>
      </c>
      <c r="F51" s="84">
        <f>(C51-E51)/E51</f>
        <v>-1</v>
      </c>
      <c r="G51" s="9">
        <f>SUM([4]MESA!$DX$19:$EI$19)</f>
        <v>12</v>
      </c>
      <c r="H51" s="9">
        <f>SUM([4]MESA!$DJ$19:$DU$19)</f>
        <v>142</v>
      </c>
      <c r="I51" s="84">
        <f>(G51-H51)/H51</f>
        <v>-0.91549295774647887</v>
      </c>
      <c r="J51" s="364"/>
      <c r="K51" s="357" t="s">
        <v>109</v>
      </c>
      <c r="L51" s="352">
        <f>[4]MESA!$EI$41</f>
        <v>0</v>
      </c>
      <c r="M51" s="40">
        <f>L51/$L$56</f>
        <v>0</v>
      </c>
      <c r="N51" s="9">
        <f>[4]MESA!$DU$41</f>
        <v>68</v>
      </c>
      <c r="O51" s="84">
        <f>(L51-N51)/N51</f>
        <v>-1</v>
      </c>
      <c r="P51" s="9">
        <f>SUM([4]MESA!$DX$41:$EI$41)</f>
        <v>697</v>
      </c>
      <c r="Q51" s="9">
        <f>SUM([4]MESA!$DJ$41:$DU$41)</f>
        <v>11823</v>
      </c>
      <c r="R51" s="84">
        <f>(P51-Q51)/Q51</f>
        <v>-0.94104711156220922</v>
      </c>
      <c r="T51" s="321"/>
      <c r="U51"/>
    </row>
    <row r="52" spans="1:21" ht="14.1" customHeight="1" thickBot="1" x14ac:dyDescent="0.25">
      <c r="A52" s="365"/>
      <c r="B52" s="366" t="s">
        <v>54</v>
      </c>
      <c r="C52" s="367">
        <f>'[4]Air Wisconsin'!$EI$19</f>
        <v>100</v>
      </c>
      <c r="D52" s="368">
        <f>C52/$C$56</f>
        <v>3.4604470897639976E-3</v>
      </c>
      <c r="E52" s="369">
        <f>'[4]Air Wisconsin'!$DU$19</f>
        <v>0</v>
      </c>
      <c r="F52" s="370" t="e">
        <f>(C52-E52)/E52</f>
        <v>#DIV/0!</v>
      </c>
      <c r="G52" s="371">
        <f>SUM('[4]Air Wisconsin'!$DX$19:$EI$19)</f>
        <v>146</v>
      </c>
      <c r="H52" s="371">
        <f>SUM('[4]Air Wisconsin'!$DJ$19:$DU$19)</f>
        <v>41</v>
      </c>
      <c r="I52" s="395">
        <f>(G52-H52)/H52</f>
        <v>2.5609756097560976</v>
      </c>
      <c r="J52" s="365"/>
      <c r="K52" s="366" t="s">
        <v>54</v>
      </c>
      <c r="L52" s="367">
        <f>'[4]Air Wisconsin'!$EI$41</f>
        <v>4205</v>
      </c>
      <c r="M52" s="368">
        <f>L52/$L$56</f>
        <v>1.5358155472744478E-3</v>
      </c>
      <c r="N52" s="371">
        <f>'[4]Air Wisconsin'!$DU$41</f>
        <v>0</v>
      </c>
      <c r="O52" s="370" t="e">
        <f>(L52-N52)/N52</f>
        <v>#DIV/0!</v>
      </c>
      <c r="P52" s="371">
        <f>SUM('[4]Air Wisconsin'!$DX$41:$EI$41)</f>
        <v>6254</v>
      </c>
      <c r="Q52" s="371">
        <f>SUM('[4]Air Wisconsin'!$DJ$41:$DU$41)</f>
        <v>1672</v>
      </c>
      <c r="R52" s="370">
        <f>(P52-Q52)/Q52</f>
        <v>2.7404306220095696</v>
      </c>
      <c r="T52" s="20"/>
      <c r="U52" s="215"/>
    </row>
    <row r="53" spans="1:21" s="218" customFormat="1" ht="14.1" customHeight="1" x14ac:dyDescent="0.2">
      <c r="B53" s="253"/>
      <c r="C53" s="372"/>
      <c r="D53" s="349"/>
      <c r="E53" s="350"/>
      <c r="F53" s="349"/>
      <c r="G53" s="373"/>
      <c r="H53" s="350"/>
      <c r="I53" s="374"/>
      <c r="J53" s="375"/>
      <c r="K53" s="253"/>
      <c r="L53" s="376"/>
      <c r="M53" s="375"/>
      <c r="N53" s="377"/>
      <c r="O53" s="375"/>
      <c r="P53" s="219"/>
      <c r="Q53" s="219"/>
      <c r="R53" s="219"/>
      <c r="T53" s="217"/>
      <c r="U53"/>
    </row>
    <row r="54" spans="1:21" ht="14.1" customHeight="1" x14ac:dyDescent="0.2">
      <c r="B54" s="378" t="s">
        <v>149</v>
      </c>
      <c r="C54" s="379">
        <f>+C56-C55</f>
        <v>16024</v>
      </c>
      <c r="D54" s="447">
        <f>C54/$C$56</f>
        <v>0.55450204166378292</v>
      </c>
      <c r="E54" s="379">
        <f>+E56-E55</f>
        <v>15397</v>
      </c>
      <c r="F54" s="381">
        <f>(C54-E54)/E54</f>
        <v>4.0722218614015718E-2</v>
      </c>
      <c r="G54" s="379">
        <f>+G56-G55</f>
        <v>205635</v>
      </c>
      <c r="H54" s="379">
        <f>+H56-H55</f>
        <v>189489</v>
      </c>
      <c r="I54" s="382">
        <f>(G54-H54)/H54</f>
        <v>8.5208112344252171E-2</v>
      </c>
      <c r="K54" s="378" t="s">
        <v>149</v>
      </c>
      <c r="L54" s="379">
        <f>+L56-L55</f>
        <v>2064226</v>
      </c>
      <c r="M54" s="380">
        <f>+L54/L56</f>
        <v>0.75392874765473117</v>
      </c>
      <c r="N54" s="379">
        <f>+N56-N55</f>
        <v>1933258</v>
      </c>
      <c r="O54" s="381">
        <f>(L54-N54)/N54</f>
        <v>6.7744708673131052E-2</v>
      </c>
      <c r="P54" s="379">
        <f>+P56-P55</f>
        <v>26995968</v>
      </c>
      <c r="Q54" s="379">
        <f>+Q56-Q55</f>
        <v>24630865</v>
      </c>
      <c r="R54" s="382">
        <f>(P54-Q54)/Q54</f>
        <v>9.6021922088404127E-2</v>
      </c>
    </row>
    <row r="55" spans="1:21" ht="14.1" customHeight="1" x14ac:dyDescent="0.2">
      <c r="B55" s="322" t="s">
        <v>150</v>
      </c>
      <c r="C55" s="383">
        <f>+C52+C51+C50+C46+C23+C21+C19+C18+C4+C22+C12+C45+C43+C20+C42+C41+C44</f>
        <v>12874</v>
      </c>
      <c r="D55" s="448">
        <f>C55/$C$56</f>
        <v>0.44549795833621703</v>
      </c>
      <c r="E55" s="383">
        <f>+E52+E51+E50+E46+E23+E21+E19+E18+E4+E22+E12+E45+E43+E20+E42+E41+E44</f>
        <v>14217</v>
      </c>
      <c r="F55" s="385">
        <f>(C55-E55)/E55</f>
        <v>-9.4464373637194912E-2</v>
      </c>
      <c r="G55" s="383">
        <f>+G52+G51+G50+G46+G23+G21+G19+G18+G4+G22+G12+G45+G43+G20+G42+G41+G44</f>
        <v>162779</v>
      </c>
      <c r="H55" s="383">
        <f>+H52+H51+H50+H46+H23+H21+H19+H18+H4+H22+H12+H45+H43+H20+H42+H41+H44</f>
        <v>185899</v>
      </c>
      <c r="I55" s="386">
        <f>(G55-H55)/H55</f>
        <v>-0.12436860876067111</v>
      </c>
      <c r="K55" s="322" t="s">
        <v>150</v>
      </c>
      <c r="L55" s="383">
        <f>+L52+L51+L50+L46+L23+L21+L19+L18+L4+L22+L12+L45+L43+L20+L42+L41+L44</f>
        <v>673733</v>
      </c>
      <c r="M55" s="384">
        <f>+L55/L56</f>
        <v>0.24607125234526886</v>
      </c>
      <c r="N55" s="383">
        <f>+N52+N51+N50+N46+N23+N21+N19+N18+N4+N22+N12+N45+N43+N20+N42+N41+N44</f>
        <v>722750</v>
      </c>
      <c r="O55" s="385">
        <f>(L55-N55)/N55</f>
        <v>-6.7820131442407477E-2</v>
      </c>
      <c r="P55" s="383">
        <f>+P52+P51+P50+P46+P23+P21+P19+P18+P4+P22+P12+P45+P43+P20+P42+P41+P44</f>
        <v>8494508</v>
      </c>
      <c r="Q55" s="383">
        <f>+Q52+Q51+Q50+Q46+Q23+Q21+Q19+Q18+Q4+Q22+Q12+Q45+Q43+Q20+Q42+Q41+Q44</f>
        <v>9451314</v>
      </c>
      <c r="R55" s="386">
        <f>(P55-Q55)/Q55</f>
        <v>-0.1012352356508312</v>
      </c>
    </row>
    <row r="56" spans="1:21" ht="14.1" customHeight="1" x14ac:dyDescent="0.2">
      <c r="B56" s="322" t="s">
        <v>151</v>
      </c>
      <c r="C56" s="387">
        <f>+C48+C39+C37+C31+C29+C25+C16+C10+C8+C4+C27+C35+C14+C6</f>
        <v>28898</v>
      </c>
      <c r="D56" s="449">
        <f>+C56/C56</f>
        <v>1</v>
      </c>
      <c r="E56" s="387">
        <f>+E48+E39+E37+E31+E29+E25+E16+E10+E8+E4+E27+E35+E14+E6</f>
        <v>29614</v>
      </c>
      <c r="F56" s="389">
        <f>(C56-E56)/E56</f>
        <v>-2.4177753765111096E-2</v>
      </c>
      <c r="G56" s="387">
        <f>+G48+G39+G37+G31+G29+G25+G16+G10+G8+G4+G27+G35+G14+G6</f>
        <v>368414</v>
      </c>
      <c r="H56" s="387">
        <f>+H48+H39+H37+H31+H29+H25+H16+H10+H8+H4+H27+H35+H14+H6</f>
        <v>375388</v>
      </c>
      <c r="I56" s="390">
        <f>(G56-H56)/H56</f>
        <v>-1.8578111180964762E-2</v>
      </c>
      <c r="K56" s="322" t="s">
        <v>151</v>
      </c>
      <c r="L56" s="387">
        <f>+L48+L39+L37+L31+L29+L25+L16+L10+L8+L4+L27+L35+L14+L6</f>
        <v>2737959</v>
      </c>
      <c r="M56" s="388">
        <f>+L56/L56</f>
        <v>1</v>
      </c>
      <c r="N56" s="387">
        <f>+N48+N39+N37+N31+N29+N25+N16+N10+N8+N4+N27+N35+N14+N6</f>
        <v>2656008</v>
      </c>
      <c r="O56" s="389">
        <f>(L56-N56)/N56</f>
        <v>3.0854952244119747E-2</v>
      </c>
      <c r="P56" s="387">
        <f>+P48+P39+P37+P31+P29+P25+P16+P10+P8+P4+P27+P35+P14+P6</f>
        <v>35490476</v>
      </c>
      <c r="Q56" s="387">
        <f>+Q48+Q39+Q37+Q31+Q29+Q25+Q16+Q10+Q8+Q4+Q27+Q35+Q14+Q6</f>
        <v>34082179</v>
      </c>
      <c r="R56" s="390">
        <f>(P56-Q56)/Q56</f>
        <v>4.1320626829640203E-2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2"/>
      <c r="F58" s="2"/>
      <c r="G58" s="2"/>
      <c r="I58" s="2"/>
      <c r="J58"/>
      <c r="K58"/>
      <c r="M58" s="2"/>
      <c r="O58" s="2"/>
      <c r="P58" s="2"/>
      <c r="Q58" s="2"/>
      <c r="R58" s="2"/>
    </row>
    <row r="59" spans="1:21" x14ac:dyDescent="0.2">
      <c r="B59" s="322"/>
      <c r="D59" s="2"/>
      <c r="F59" s="2"/>
      <c r="G59" s="2"/>
      <c r="I59" s="2"/>
      <c r="J59"/>
      <c r="K59"/>
      <c r="M59" s="2"/>
      <c r="O59" s="2"/>
      <c r="P59" s="2"/>
      <c r="Q59" s="2"/>
      <c r="R59" s="2"/>
    </row>
    <row r="60" spans="1:21" x14ac:dyDescent="0.2">
      <c r="B60" s="253"/>
      <c r="D60" s="2"/>
      <c r="F60" s="2"/>
      <c r="G60" s="2"/>
      <c r="I60" s="2"/>
      <c r="J60"/>
      <c r="K60"/>
      <c r="M60" s="2"/>
      <c r="O60" s="2"/>
      <c r="P60" s="2"/>
      <c r="Q60" s="2"/>
      <c r="R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December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6">
        <v>42339</v>
      </c>
      <c r="B1" s="466" t="s">
        <v>19</v>
      </c>
      <c r="C1" s="466" t="s">
        <v>20</v>
      </c>
      <c r="D1" s="466" t="s">
        <v>21</v>
      </c>
      <c r="E1" s="466" t="s">
        <v>22</v>
      </c>
      <c r="F1" s="466" t="s">
        <v>180</v>
      </c>
      <c r="G1" s="466" t="s">
        <v>210</v>
      </c>
      <c r="H1" s="466" t="s">
        <v>187</v>
      </c>
      <c r="I1" s="466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[4]American!$EI$22</f>
        <v>80390</v>
      </c>
      <c r="C4" s="21">
        <f>[4]Delta!$EI$22+[4]Delta!$EI$32</f>
        <v>672074</v>
      </c>
      <c r="D4" s="21">
        <f>[4]United!$EI$22</f>
        <v>28310</v>
      </c>
      <c r="E4" s="21">
        <f>'[4]US Airways'!$EI$22</f>
        <v>0</v>
      </c>
      <c r="F4" s="21">
        <f>[4]Spirit!$EI$22</f>
        <v>46349</v>
      </c>
      <c r="G4" s="21">
        <f>[4]Condor!$EI$32</f>
        <v>0</v>
      </c>
      <c r="H4" s="21">
        <f>'[4]Air France'!$EI$32</f>
        <v>0</v>
      </c>
      <c r="I4" s="21">
        <f>'Other Major Airline Stats'!I5</f>
        <v>185128</v>
      </c>
      <c r="J4" s="275">
        <f>SUM(B4:I4)</f>
        <v>1012251</v>
      </c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</row>
    <row r="5" spans="1:26" x14ac:dyDescent="0.2">
      <c r="A5" s="64" t="s">
        <v>34</v>
      </c>
      <c r="B5" s="14">
        <f>[4]American!$EI$23</f>
        <v>80327</v>
      </c>
      <c r="C5" s="14">
        <f>[4]Delta!$EI$23+[4]Delta!$EI$33</f>
        <v>686793</v>
      </c>
      <c r="D5" s="14">
        <f>[4]United!$EI$23</f>
        <v>29971</v>
      </c>
      <c r="E5" s="14">
        <f>'[4]US Airways'!$EI$23</f>
        <v>0</v>
      </c>
      <c r="F5" s="14">
        <f>[4]Spirit!$EI$23</f>
        <v>59125</v>
      </c>
      <c r="G5" s="14">
        <f>[4]Condor!$EI$33</f>
        <v>0</v>
      </c>
      <c r="H5" s="14">
        <f>'[4]Air France'!$EI$33</f>
        <v>0</v>
      </c>
      <c r="I5" s="14">
        <f>'Other Major Airline Stats'!I6</f>
        <v>195759</v>
      </c>
      <c r="J5" s="276">
        <f>SUM(B5:I5)</f>
        <v>1051975</v>
      </c>
      <c r="L5" s="459"/>
      <c r="M5" s="459"/>
      <c r="N5" s="459"/>
      <c r="O5" s="459"/>
      <c r="P5" s="459"/>
      <c r="Q5" s="459"/>
      <c r="R5" s="459"/>
      <c r="S5" s="459"/>
    </row>
    <row r="6" spans="1:26" ht="15" x14ac:dyDescent="0.25">
      <c r="A6" s="62" t="s">
        <v>7</v>
      </c>
      <c r="B6" s="35">
        <f t="shared" ref="B6:I6" si="0">SUM(B4:B5)</f>
        <v>160717</v>
      </c>
      <c r="C6" s="35">
        <f t="shared" si="0"/>
        <v>1358867</v>
      </c>
      <c r="D6" s="35">
        <f t="shared" si="0"/>
        <v>58281</v>
      </c>
      <c r="E6" s="35">
        <f t="shared" si="0"/>
        <v>0</v>
      </c>
      <c r="F6" s="35">
        <f t="shared" si="0"/>
        <v>105474</v>
      </c>
      <c r="G6" s="35">
        <f>SUM(G4:G5)</f>
        <v>0</v>
      </c>
      <c r="H6" s="35">
        <f>SUM(H4:H5)</f>
        <v>0</v>
      </c>
      <c r="I6" s="35">
        <f t="shared" si="0"/>
        <v>380887</v>
      </c>
      <c r="J6" s="277">
        <f>SUM(B6:I6)</f>
        <v>2064226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[4]American!$EI$27</f>
        <v>2611</v>
      </c>
      <c r="C9" s="21">
        <f>[4]Delta!$EI$27+[4]Delta!$EI$37</f>
        <v>23508</v>
      </c>
      <c r="D9" s="21">
        <f>[4]United!$EI$27</f>
        <v>1133</v>
      </c>
      <c r="E9" s="21">
        <f>'[4]US Airways'!$EI$27</f>
        <v>0</v>
      </c>
      <c r="F9" s="21">
        <f>[4]Spirit!$EI$27</f>
        <v>356</v>
      </c>
      <c r="G9" s="21">
        <f>[4]Condor!$EI$37</f>
        <v>0</v>
      </c>
      <c r="H9" s="21">
        <f>'[4]Air France'!$EI$37</f>
        <v>0</v>
      </c>
      <c r="I9" s="21">
        <f>'Other Major Airline Stats'!I10</f>
        <v>3530</v>
      </c>
      <c r="J9" s="275">
        <f>SUM(B9:I9)</f>
        <v>31138</v>
      </c>
    </row>
    <row r="10" spans="1:26" x14ac:dyDescent="0.2">
      <c r="A10" s="64" t="s">
        <v>36</v>
      </c>
      <c r="B10" s="14">
        <f>[4]American!$EI$28</f>
        <v>2506</v>
      </c>
      <c r="C10" s="14">
        <f>[4]Delta!$EI$28+[4]Delta!$EI$38</f>
        <v>22496</v>
      </c>
      <c r="D10" s="14">
        <f>[4]United!$EI$28</f>
        <v>1104</v>
      </c>
      <c r="E10" s="14">
        <f>'[4]US Airways'!$EI$28</f>
        <v>0</v>
      </c>
      <c r="F10" s="14">
        <f>[4]Spirit!$EI$28</f>
        <v>370</v>
      </c>
      <c r="G10" s="14">
        <f>[4]Condor!$EI$38</f>
        <v>0</v>
      </c>
      <c r="H10" s="14">
        <f>'[4]Air France'!$EI$38</f>
        <v>0</v>
      </c>
      <c r="I10" s="14">
        <f>'Other Major Airline Stats'!I11</f>
        <v>3465</v>
      </c>
      <c r="J10" s="276">
        <f>SUM(B10:I10)</f>
        <v>29941</v>
      </c>
    </row>
    <row r="11" spans="1:26" ht="15.75" thickBot="1" x14ac:dyDescent="0.3">
      <c r="A11" s="65" t="s">
        <v>37</v>
      </c>
      <c r="B11" s="278">
        <f t="shared" ref="B11:I11" si="1">SUM(B9:B10)</f>
        <v>5117</v>
      </c>
      <c r="C11" s="278">
        <f t="shared" si="1"/>
        <v>46004</v>
      </c>
      <c r="D11" s="278">
        <f t="shared" si="1"/>
        <v>2237</v>
      </c>
      <c r="E11" s="278">
        <f t="shared" si="1"/>
        <v>0</v>
      </c>
      <c r="F11" s="278">
        <f t="shared" si="1"/>
        <v>726</v>
      </c>
      <c r="G11" s="278">
        <f>SUM(G9:G10)</f>
        <v>0</v>
      </c>
      <c r="H11" s="278">
        <f>SUM(H9:H10)</f>
        <v>0</v>
      </c>
      <c r="I11" s="278">
        <f t="shared" si="1"/>
        <v>6995</v>
      </c>
      <c r="J11" s="279">
        <f>SUM(B11:I11)</f>
        <v>61079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0">
        <f>[4]American!$EI$4</f>
        <v>328</v>
      </c>
      <c r="C15" s="460">
        <f>[4]Delta!$EI$4+[4]Delta!$EI$15</f>
        <v>5037</v>
      </c>
      <c r="D15" s="460">
        <f>[4]United!$EI$4+[4]United!$EI$15</f>
        <v>251</v>
      </c>
      <c r="E15" s="460">
        <f>'[4]US Airways'!$EI$4</f>
        <v>318</v>
      </c>
      <c r="F15" s="460">
        <f>[4]Spirit!$EI$4</f>
        <v>337</v>
      </c>
      <c r="G15" s="460">
        <f>[4]Condor!$EI$15</f>
        <v>0</v>
      </c>
      <c r="H15" s="460">
        <f>'[4]Air France'!$EI$15</f>
        <v>0</v>
      </c>
      <c r="I15" s="21">
        <f>'Other Major Airline Stats'!I16</f>
        <v>1697</v>
      </c>
      <c r="J15" s="28">
        <f>SUM(B15:I15)</f>
        <v>7968</v>
      </c>
    </row>
    <row r="16" spans="1:26" x14ac:dyDescent="0.2">
      <c r="A16" s="64" t="s">
        <v>26</v>
      </c>
      <c r="B16" s="14">
        <f>[4]American!$EI$5</f>
        <v>328</v>
      </c>
      <c r="C16" s="462">
        <f>[4]Delta!$EI$5+[4]Delta!$EI$16</f>
        <v>5025</v>
      </c>
      <c r="D16" s="462">
        <f>[4]United!$EI$5+[4]United!$EI$16</f>
        <v>251</v>
      </c>
      <c r="E16" s="462">
        <f>'[4]US Airways'!$EI$5</f>
        <v>318</v>
      </c>
      <c r="F16" s="462">
        <f>[4]Spirit!$EI$5</f>
        <v>337</v>
      </c>
      <c r="G16" s="14">
        <f>[4]Condor!$EI$16</f>
        <v>0</v>
      </c>
      <c r="H16" s="14">
        <f>'[4]Air France'!$EI$16</f>
        <v>0</v>
      </c>
      <c r="I16" s="14">
        <f>'Other Major Airline Stats'!I17</f>
        <v>1691</v>
      </c>
      <c r="J16" s="34">
        <f>SUM(B16:I16)</f>
        <v>7950</v>
      </c>
    </row>
    <row r="17" spans="1:10" x14ac:dyDescent="0.2">
      <c r="A17" s="64" t="s">
        <v>27</v>
      </c>
      <c r="B17" s="282">
        <f t="shared" ref="B17:I17" si="2">SUM(B15:B16)</f>
        <v>656</v>
      </c>
      <c r="C17" s="280">
        <f t="shared" si="2"/>
        <v>10062</v>
      </c>
      <c r="D17" s="280">
        <f t="shared" si="2"/>
        <v>502</v>
      </c>
      <c r="E17" s="280">
        <f t="shared" si="2"/>
        <v>636</v>
      </c>
      <c r="F17" s="280">
        <f t="shared" si="2"/>
        <v>674</v>
      </c>
      <c r="G17" s="280">
        <f>SUM(G15:G16)</f>
        <v>0</v>
      </c>
      <c r="H17" s="280">
        <f>SUM(H15:H16)</f>
        <v>0</v>
      </c>
      <c r="I17" s="280">
        <f t="shared" si="2"/>
        <v>3388</v>
      </c>
      <c r="J17" s="281">
        <f>SUM(B17:I17)</f>
        <v>15918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[4]American!$EI$8</f>
        <v>0</v>
      </c>
      <c r="C19" s="21">
        <f>[4]Delta!$EI$8</f>
        <v>1</v>
      </c>
      <c r="D19" s="21">
        <f>[4]United!$EI$8</f>
        <v>0</v>
      </c>
      <c r="E19" s="21">
        <f>'[4]US Airways'!$EI$8</f>
        <v>0</v>
      </c>
      <c r="F19" s="21">
        <f>[4]Spirit!$EI$8</f>
        <v>0</v>
      </c>
      <c r="G19" s="21">
        <f>[4]Condor!$EI$8</f>
        <v>0</v>
      </c>
      <c r="H19" s="21">
        <f>'[4]Air France'!$EI$8</f>
        <v>0</v>
      </c>
      <c r="I19" s="21">
        <f>'Other Major Airline Stats'!I20</f>
        <v>50</v>
      </c>
      <c r="J19" s="28">
        <f>SUM(B19:I19)</f>
        <v>51</v>
      </c>
    </row>
    <row r="20" spans="1:10" x14ac:dyDescent="0.2">
      <c r="A20" s="64" t="s">
        <v>29</v>
      </c>
      <c r="B20" s="14">
        <f>[4]American!$EI$9</f>
        <v>0</v>
      </c>
      <c r="C20" s="14">
        <f>[4]Delta!$EI$9</f>
        <v>4</v>
      </c>
      <c r="D20" s="14">
        <f>[4]United!$EI$9</f>
        <v>0</v>
      </c>
      <c r="E20" s="14">
        <f>'[4]US Airways'!$EI$9</f>
        <v>0</v>
      </c>
      <c r="F20" s="14">
        <f>[4]Spirit!$EI$9</f>
        <v>0</v>
      </c>
      <c r="G20" s="14">
        <f>[4]Condor!$EI$9</f>
        <v>0</v>
      </c>
      <c r="H20" s="14">
        <f>'[4]Air France'!$EI$9</f>
        <v>0</v>
      </c>
      <c r="I20" s="14">
        <f>'Other Major Airline Stats'!I21</f>
        <v>51</v>
      </c>
      <c r="J20" s="34">
        <f>SUM(B20:I20)</f>
        <v>55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5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101</v>
      </c>
      <c r="J21" s="172">
        <f>SUM(B21:I21)</f>
        <v>106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656</v>
      </c>
      <c r="C23" s="29">
        <f t="shared" si="4"/>
        <v>10067</v>
      </c>
      <c r="D23" s="29">
        <f t="shared" si="4"/>
        <v>502</v>
      </c>
      <c r="E23" s="29">
        <f t="shared" si="4"/>
        <v>636</v>
      </c>
      <c r="F23" s="29">
        <f>F17+F21</f>
        <v>674</v>
      </c>
      <c r="G23" s="29">
        <f>G17+G21</f>
        <v>0</v>
      </c>
      <c r="H23" s="29">
        <f>H17+H21</f>
        <v>0</v>
      </c>
      <c r="I23" s="29">
        <f t="shared" si="4"/>
        <v>3489</v>
      </c>
      <c r="J23" s="30">
        <f>SUM(B23:I23)</f>
        <v>16024</v>
      </c>
    </row>
    <row r="25" spans="1:10" ht="13.5" thickBot="1" x14ac:dyDescent="0.25">
      <c r="B25" s="437"/>
      <c r="C25" s="437"/>
      <c r="D25" s="437"/>
      <c r="E25" s="437"/>
      <c r="F25" s="437"/>
      <c r="G25" s="437"/>
      <c r="H25" s="437"/>
      <c r="I25" s="437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[4]American!$EI$47</f>
        <v>38317</v>
      </c>
      <c r="C28" s="21">
        <f>[4]Delta!$EI$47</f>
        <v>3595749</v>
      </c>
      <c r="D28" s="21">
        <f>[4]United!$EI$47</f>
        <v>28528</v>
      </c>
      <c r="E28" s="21">
        <f>'[4]US Airways'!$EI$47</f>
        <v>0</v>
      </c>
      <c r="F28" s="21">
        <f>[4]Spirit!$EI$47</f>
        <v>0</v>
      </c>
      <c r="G28" s="21">
        <f>[4]Condor!$EI$47</f>
        <v>0</v>
      </c>
      <c r="H28" s="21">
        <f>'[4]Air France'!$EI$47</f>
        <v>0</v>
      </c>
      <c r="I28" s="21">
        <f>'Other Major Airline Stats'!I28</f>
        <v>458946</v>
      </c>
      <c r="J28" s="28">
        <f>SUM(B28:I28)</f>
        <v>4121540</v>
      </c>
    </row>
    <row r="29" spans="1:10" x14ac:dyDescent="0.2">
      <c r="A29" s="64" t="s">
        <v>41</v>
      </c>
      <c r="B29" s="14">
        <f>[4]American!$EI$48</f>
        <v>2228</v>
      </c>
      <c r="C29" s="14">
        <f>[4]Delta!$EI$48</f>
        <v>1172146</v>
      </c>
      <c r="D29" s="14">
        <f>[4]United!$EI$48</f>
        <v>140592</v>
      </c>
      <c r="E29" s="14">
        <f>'[4]US Airways'!$EI$48</f>
        <v>0</v>
      </c>
      <c r="F29" s="14">
        <f>[4]Spirit!$EI$48</f>
        <v>0</v>
      </c>
      <c r="G29" s="14">
        <f>[4]Condor!$EI$48</f>
        <v>0</v>
      </c>
      <c r="H29" s="14">
        <f>'[4]Air France'!$EI$48</f>
        <v>0</v>
      </c>
      <c r="I29" s="14">
        <f>'Other Major Airline Stats'!I29</f>
        <v>514702</v>
      </c>
      <c r="J29" s="34">
        <f>SUM(B29:I29)</f>
        <v>1829668</v>
      </c>
    </row>
    <row r="30" spans="1:10" x14ac:dyDescent="0.2">
      <c r="A30" s="68" t="s">
        <v>42</v>
      </c>
      <c r="B30" s="282">
        <f t="shared" ref="B30:I30" si="5">SUM(B28:B29)</f>
        <v>40545</v>
      </c>
      <c r="C30" s="282">
        <f t="shared" si="5"/>
        <v>4767895</v>
      </c>
      <c r="D30" s="282">
        <f t="shared" si="5"/>
        <v>169120</v>
      </c>
      <c r="E30" s="282">
        <f t="shared" si="5"/>
        <v>0</v>
      </c>
      <c r="F30" s="282">
        <f t="shared" si="5"/>
        <v>0</v>
      </c>
      <c r="G30" s="282">
        <f>SUM(G28:G29)</f>
        <v>0</v>
      </c>
      <c r="H30" s="282">
        <f>SUM(H28:H29)</f>
        <v>0</v>
      </c>
      <c r="I30" s="282">
        <f t="shared" si="5"/>
        <v>973648</v>
      </c>
      <c r="J30" s="28">
        <f>SUM(B30:I30)</f>
        <v>5951208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[4]American!$EI$52</f>
        <v>13801</v>
      </c>
      <c r="C33" s="21">
        <f>[4]Delta!$EI$52</f>
        <v>2020855</v>
      </c>
      <c r="D33" s="21">
        <f>[4]United!$EI$52</f>
        <v>20222</v>
      </c>
      <c r="E33" s="21">
        <f>'[4]US Airways'!$EI$52</f>
        <v>0</v>
      </c>
      <c r="F33" s="21">
        <f>[4]Spirit!$EI$52</f>
        <v>0</v>
      </c>
      <c r="G33" s="21">
        <f>[4]Condor!$EI$52</f>
        <v>0</v>
      </c>
      <c r="H33" s="21">
        <f>'[4]Air France'!$EI$52</f>
        <v>0</v>
      </c>
      <c r="I33" s="21">
        <f>'Other Major Airline Stats'!I33</f>
        <v>304412</v>
      </c>
      <c r="J33" s="28">
        <f t="shared" si="6"/>
        <v>2359290</v>
      </c>
    </row>
    <row r="34" spans="1:10" x14ac:dyDescent="0.2">
      <c r="A34" s="64" t="s">
        <v>41</v>
      </c>
      <c r="B34" s="14">
        <f>[4]American!$EI$53</f>
        <v>16674</v>
      </c>
      <c r="C34" s="14">
        <f>[4]Delta!$EI$53</f>
        <v>1722323</v>
      </c>
      <c r="D34" s="14">
        <f>[4]United!$EI$53</f>
        <v>178000</v>
      </c>
      <c r="E34" s="14">
        <f>'[4]US Airways'!$EI$53</f>
        <v>0</v>
      </c>
      <c r="F34" s="14">
        <f>[4]Spirit!$EI$53</f>
        <v>0</v>
      </c>
      <c r="G34" s="14">
        <f>[4]Condor!$EI$53</f>
        <v>0</v>
      </c>
      <c r="H34" s="14">
        <f>'[4]Air France'!$EI$53</f>
        <v>0</v>
      </c>
      <c r="I34" s="14">
        <f>'Other Major Airline Stats'!I34</f>
        <v>932065</v>
      </c>
      <c r="J34" s="34">
        <f t="shared" si="6"/>
        <v>2849062</v>
      </c>
    </row>
    <row r="35" spans="1:10" x14ac:dyDescent="0.2">
      <c r="A35" s="68" t="s">
        <v>44</v>
      </c>
      <c r="B35" s="282">
        <f t="shared" ref="B35:I35" si="7">SUM(B33:B34)</f>
        <v>30475</v>
      </c>
      <c r="C35" s="282">
        <f t="shared" si="7"/>
        <v>3743178</v>
      </c>
      <c r="D35" s="282">
        <f t="shared" si="7"/>
        <v>198222</v>
      </c>
      <c r="E35" s="282">
        <f t="shared" si="7"/>
        <v>0</v>
      </c>
      <c r="F35" s="282">
        <f t="shared" si="7"/>
        <v>0</v>
      </c>
      <c r="G35" s="282">
        <f>SUM(G33:G34)</f>
        <v>0</v>
      </c>
      <c r="H35" s="282">
        <f>SUM(H33:H34)</f>
        <v>0</v>
      </c>
      <c r="I35" s="282">
        <f t="shared" si="7"/>
        <v>1236477</v>
      </c>
      <c r="J35" s="28">
        <f t="shared" si="6"/>
        <v>5208352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[4]American!$EI$57</f>
        <v>0</v>
      </c>
      <c r="C38" s="21">
        <f>[4]Delta!$EI$57</f>
        <v>0</v>
      </c>
      <c r="D38" s="21">
        <f>[4]United!$EI$57</f>
        <v>0</v>
      </c>
      <c r="E38" s="21">
        <f>'[4]US Airways'!$EI$57</f>
        <v>0</v>
      </c>
      <c r="F38" s="21">
        <f>[4]Spirit!$EI$57</f>
        <v>0</v>
      </c>
      <c r="G38" s="21">
        <f>[4]Condor!$EI$57</f>
        <v>0</v>
      </c>
      <c r="H38" s="21">
        <f>'[4]Air France'!$EI$57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[4]American!$EI$58</f>
        <v>0</v>
      </c>
      <c r="C39" s="14">
        <f>[4]Delta!$EI$58</f>
        <v>0</v>
      </c>
      <c r="D39" s="14">
        <f>[4]United!$EI$58</f>
        <v>0</v>
      </c>
      <c r="E39" s="14">
        <f>'[4]US Airways'!$EI$58</f>
        <v>0</v>
      </c>
      <c r="F39" s="14">
        <f>[4]Spirit!$EI$58</f>
        <v>0</v>
      </c>
      <c r="G39" s="14">
        <f>[4]Condor!$EI$58</f>
        <v>0</v>
      </c>
      <c r="H39" s="14">
        <f>'[4]Air France'!$EI$58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52118</v>
      </c>
      <c r="C43" s="21">
        <f t="shared" si="9"/>
        <v>5616604</v>
      </c>
      <c r="D43" s="21">
        <f t="shared" si="9"/>
        <v>48750</v>
      </c>
      <c r="E43" s="21">
        <f t="shared" si="9"/>
        <v>0</v>
      </c>
      <c r="F43" s="21">
        <f t="shared" ref="F43:H44" si="10">F28+F33+F38</f>
        <v>0</v>
      </c>
      <c r="G43" s="21">
        <f t="shared" si="10"/>
        <v>0</v>
      </c>
      <c r="H43" s="21">
        <f t="shared" si="10"/>
        <v>0</v>
      </c>
      <c r="I43" s="21">
        <f t="shared" si="9"/>
        <v>763358</v>
      </c>
      <c r="J43" s="28">
        <f>SUM(B43:I43)</f>
        <v>6480830</v>
      </c>
    </row>
    <row r="44" spans="1:10" x14ac:dyDescent="0.2">
      <c r="A44" s="64" t="s">
        <v>41</v>
      </c>
      <c r="B44" s="14">
        <f t="shared" si="9"/>
        <v>18902</v>
      </c>
      <c r="C44" s="14">
        <f t="shared" si="9"/>
        <v>2894469</v>
      </c>
      <c r="D44" s="14">
        <f t="shared" si="9"/>
        <v>318592</v>
      </c>
      <c r="E44" s="14">
        <f t="shared" si="9"/>
        <v>0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1446767</v>
      </c>
      <c r="J44" s="28">
        <f>SUM(B44:I44)</f>
        <v>4678730</v>
      </c>
    </row>
    <row r="45" spans="1:10" ht="15.75" thickBot="1" x14ac:dyDescent="0.3">
      <c r="A45" s="65" t="s">
        <v>49</v>
      </c>
      <c r="B45" s="283">
        <f t="shared" ref="B45:I45" si="11">SUM(B43:B44)</f>
        <v>71020</v>
      </c>
      <c r="C45" s="283">
        <f t="shared" si="11"/>
        <v>8511073</v>
      </c>
      <c r="D45" s="283">
        <f t="shared" si="11"/>
        <v>367342</v>
      </c>
      <c r="E45" s="283">
        <f t="shared" si="11"/>
        <v>0</v>
      </c>
      <c r="F45" s="283">
        <f t="shared" si="11"/>
        <v>0</v>
      </c>
      <c r="G45" s="283">
        <f>SUM(G43:G44)</f>
        <v>0</v>
      </c>
      <c r="H45" s="283">
        <f>SUM(H43:H44)</f>
        <v>0</v>
      </c>
      <c r="I45" s="283">
        <f t="shared" si="11"/>
        <v>2210125</v>
      </c>
      <c r="J45" s="284">
        <f>SUM(B45:I45)</f>
        <v>11159560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1" t="s">
        <v>135</v>
      </c>
      <c r="C47" s="312">
        <f>[4]Delta!$EI$70+[4]Delta!$EI$73</f>
        <v>330347</v>
      </c>
      <c r="D47" s="300"/>
      <c r="E47" s="300"/>
      <c r="F47" s="300"/>
      <c r="G47" s="300"/>
      <c r="H47" s="300"/>
      <c r="I47" s="300"/>
      <c r="J47" s="301">
        <f>SUM(B47:I47)</f>
        <v>330347</v>
      </c>
    </row>
    <row r="48" spans="1:10" hidden="1" x14ac:dyDescent="0.2">
      <c r="A48" s="392" t="s">
        <v>136</v>
      </c>
      <c r="C48" s="312">
        <f>[4]Delta!$EI$71+[4]Delta!$EI$74</f>
        <v>356446</v>
      </c>
      <c r="D48" s="300"/>
      <c r="E48" s="300"/>
      <c r="F48" s="300"/>
      <c r="G48" s="300"/>
      <c r="H48" s="300"/>
      <c r="I48" s="300"/>
      <c r="J48" s="301">
        <f>SUM(B48:I48)</f>
        <v>356446</v>
      </c>
    </row>
    <row r="49" spans="1:10" hidden="1" x14ac:dyDescent="0.2">
      <c r="A49" s="393" t="s">
        <v>137</v>
      </c>
      <c r="C49" s="313">
        <f>SUM(C47:C48)</f>
        <v>686793</v>
      </c>
      <c r="J49" s="301">
        <f>SUM(B49:I49)</f>
        <v>686793</v>
      </c>
    </row>
    <row r="50" spans="1:10" x14ac:dyDescent="0.2">
      <c r="A50" s="391" t="s">
        <v>135</v>
      </c>
      <c r="B50" s="405"/>
      <c r="C50" s="315">
        <f>[4]Delta!$EI$70+[4]Delta!$EI$73</f>
        <v>330347</v>
      </c>
      <c r="D50" s="405"/>
      <c r="E50" s="405"/>
      <c r="F50" s="405"/>
      <c r="G50" s="405"/>
      <c r="H50" s="405"/>
      <c r="I50" s="314">
        <f>'Other Major Airline Stats'!I48</f>
        <v>160563</v>
      </c>
      <c r="J50" s="304">
        <f>SUM(B50:I50)</f>
        <v>490910</v>
      </c>
    </row>
    <row r="51" spans="1:10" x14ac:dyDescent="0.2">
      <c r="A51" s="407" t="s">
        <v>136</v>
      </c>
      <c r="B51" s="405"/>
      <c r="C51" s="315">
        <f>[4]Delta!$EI$71+[4]Delta!$EI$74</f>
        <v>356446</v>
      </c>
      <c r="D51" s="405"/>
      <c r="E51" s="405"/>
      <c r="F51" s="405"/>
      <c r="G51" s="405"/>
      <c r="H51" s="405"/>
      <c r="I51" s="314">
        <f>+'Other Major Airline Stats'!I49</f>
        <v>9630</v>
      </c>
      <c r="J51" s="304">
        <f>SUM(B51:I51)</f>
        <v>366076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topLeftCell="A7" zoomScaleNormal="100" workbookViewId="0">
      <selection activeCell="K33" sqref="K33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396">
        <v>42339</v>
      </c>
      <c r="B2" s="23" t="s">
        <v>50</v>
      </c>
      <c r="C2" s="467" t="s">
        <v>51</v>
      </c>
      <c r="D2" s="467" t="s">
        <v>178</v>
      </c>
      <c r="E2" s="467" t="s">
        <v>52</v>
      </c>
      <c r="F2" s="468" t="s">
        <v>144</v>
      </c>
      <c r="G2" s="468" t="s">
        <v>53</v>
      </c>
      <c r="H2" s="468" t="s">
        <v>142</v>
      </c>
      <c r="I2" s="469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[4]AirTran!$EI$22</f>
        <v>0</v>
      </c>
      <c r="C5" s="143">
        <f>[4]Frontier!$EI$22</f>
        <v>15962</v>
      </c>
      <c r="D5" s="143">
        <f>'[4]Great Lakes'!$EI$22</f>
        <v>222</v>
      </c>
      <c r="E5" s="143">
        <f>[4]Icelandair!$EI$32</f>
        <v>1888</v>
      </c>
      <c r="F5" s="115">
        <f>[4]Southwest!$EI$22</f>
        <v>74005</v>
      </c>
      <c r="G5" s="115">
        <f>'[4]Sun Country'!$EI$22+'[4]Sun Country'!$EI$32</f>
        <v>85871</v>
      </c>
      <c r="H5" s="115">
        <f>[4]Alaska!$EI$22</f>
        <v>7180</v>
      </c>
      <c r="I5" s="144">
        <f>SUM(B5:H5)</f>
        <v>185128</v>
      </c>
      <c r="K5" s="459"/>
      <c r="L5" s="459"/>
      <c r="M5" s="459"/>
      <c r="N5" s="459"/>
      <c r="O5" s="459"/>
      <c r="P5" s="459"/>
      <c r="Q5" s="459"/>
    </row>
    <row r="6" spans="1:17" x14ac:dyDescent="0.2">
      <c r="A6" s="64" t="s">
        <v>34</v>
      </c>
      <c r="B6" s="285">
        <f>[4]AirTran!$EI$23</f>
        <v>0</v>
      </c>
      <c r="C6" s="143">
        <f>[4]Frontier!$EI$23</f>
        <v>15962</v>
      </c>
      <c r="D6" s="143">
        <f>'[4]Great Lakes'!$EI$23</f>
        <v>224</v>
      </c>
      <c r="E6" s="143">
        <f>[4]Icelandair!$EI$33</f>
        <v>2153</v>
      </c>
      <c r="F6" s="115">
        <f>[4]Southwest!$EI$23</f>
        <v>74312</v>
      </c>
      <c r="G6" s="115">
        <f>'[4]Sun Country'!$EI$23+'[4]Sun Country'!$EI$33</f>
        <v>95881</v>
      </c>
      <c r="H6" s="115">
        <f>[4]Alaska!$EI$23</f>
        <v>7227</v>
      </c>
      <c r="I6" s="144">
        <f>SUM(B6:H6)</f>
        <v>195759</v>
      </c>
      <c r="K6" s="459"/>
      <c r="L6" s="459"/>
      <c r="M6" s="459"/>
      <c r="N6" s="459"/>
      <c r="O6" s="459"/>
      <c r="P6" s="459"/>
      <c r="Q6" s="459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31924</v>
      </c>
      <c r="D7" s="152">
        <f t="shared" si="0"/>
        <v>446</v>
      </c>
      <c r="E7" s="152">
        <f t="shared" si="0"/>
        <v>4041</v>
      </c>
      <c r="F7" s="152">
        <f t="shared" si="0"/>
        <v>148317</v>
      </c>
      <c r="G7" s="152">
        <f>SUM(G5:G6)</f>
        <v>181752</v>
      </c>
      <c r="H7" s="152">
        <f t="shared" si="0"/>
        <v>14407</v>
      </c>
      <c r="I7" s="153">
        <f>SUM(B7:H7)</f>
        <v>380887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[4]AirTran!$EI$27</f>
        <v>0</v>
      </c>
      <c r="C10" s="151">
        <f>[4]Frontier!$EI$27</f>
        <v>149</v>
      </c>
      <c r="D10" s="151">
        <f>'[4]Great Lakes'!$EI$27</f>
        <v>26</v>
      </c>
      <c r="E10" s="151">
        <f>[4]Icelandair!$EI$37</f>
        <v>165</v>
      </c>
      <c r="F10" s="151">
        <f>[4]Southwest!$EI$27</f>
        <v>1129</v>
      </c>
      <c r="G10" s="151">
        <f>'[4]Sun Country'!$EI$27+'[4]Sun Country'!$EI$37</f>
        <v>1767</v>
      </c>
      <c r="H10" s="151">
        <f>[4]Alaska!$EI$27</f>
        <v>294</v>
      </c>
      <c r="I10" s="144">
        <f>SUM(B10:H10)</f>
        <v>3530</v>
      </c>
    </row>
    <row r="11" spans="1:17" x14ac:dyDescent="0.2">
      <c r="A11" s="64" t="s">
        <v>36</v>
      </c>
      <c r="B11" s="14">
        <f>[4]AirTran!$EI$28</f>
        <v>0</v>
      </c>
      <c r="C11" s="154">
        <f>[4]Frontier!$EI$28</f>
        <v>149</v>
      </c>
      <c r="D11" s="154">
        <f>'[4]Great Lakes'!$EI$28</f>
        <v>32</v>
      </c>
      <c r="E11" s="154">
        <f>[4]Icelandair!$EI$38</f>
        <v>176</v>
      </c>
      <c r="F11" s="154">
        <f>[4]Southwest!$EI$28</f>
        <v>1175</v>
      </c>
      <c r="G11" s="154">
        <f>'[4]Sun Country'!$EI$28+'[4]Sun Country'!$EI$38</f>
        <v>1662</v>
      </c>
      <c r="H11" s="154">
        <f>[4]Alaska!$EI$28</f>
        <v>271</v>
      </c>
      <c r="I11" s="144">
        <f>SUM(B11:H11)</f>
        <v>3465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298</v>
      </c>
      <c r="D12" s="147">
        <f t="shared" si="1"/>
        <v>58</v>
      </c>
      <c r="E12" s="147">
        <f t="shared" si="1"/>
        <v>341</v>
      </c>
      <c r="F12" s="147">
        <f t="shared" si="1"/>
        <v>2304</v>
      </c>
      <c r="G12" s="147">
        <f>SUM(G10:G11)</f>
        <v>3429</v>
      </c>
      <c r="H12" s="147">
        <f t="shared" si="1"/>
        <v>565</v>
      </c>
      <c r="I12" s="155">
        <f>SUM(B12:H12)</f>
        <v>6995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[4]AirTran!$EI$4</f>
        <v>0</v>
      </c>
      <c r="C16" s="143">
        <f>[4]Frontier!$EI$4</f>
        <v>112</v>
      </c>
      <c r="D16" s="143">
        <f>'[4]Great Lakes'!$EI$4</f>
        <v>70</v>
      </c>
      <c r="E16" s="143">
        <f>[4]Icelandair!$EI$15</f>
        <v>16</v>
      </c>
      <c r="F16" s="461">
        <f>[4]Southwest!$EI$4</f>
        <v>642</v>
      </c>
      <c r="G16" s="143">
        <f>'[4]Sun Country'!$EI$4+'[4]Sun Country'!$EI$15</f>
        <v>811</v>
      </c>
      <c r="H16" s="143">
        <f>[4]Alaska!$EI$4</f>
        <v>46</v>
      </c>
      <c r="I16" s="144">
        <f>SUM(B16:H16)</f>
        <v>1697</v>
      </c>
    </row>
    <row r="17" spans="1:256" x14ac:dyDescent="0.2">
      <c r="A17" s="64" t="s">
        <v>26</v>
      </c>
      <c r="B17" s="14">
        <f>[4]AirTran!$EI$5</f>
        <v>0</v>
      </c>
      <c r="C17" s="143">
        <f>[4]Frontier!$EI$5</f>
        <v>112</v>
      </c>
      <c r="D17" s="143">
        <f>'[4]Great Lakes'!$EI$5</f>
        <v>69</v>
      </c>
      <c r="E17" s="143">
        <f>[4]Icelandair!$EI$16</f>
        <v>16</v>
      </c>
      <c r="F17" s="103">
        <f>[4]Southwest!$EI$5</f>
        <v>640</v>
      </c>
      <c r="G17" s="115">
        <f>'[4]Sun Country'!$EI$5+'[4]Sun Country'!$EI$16</f>
        <v>808</v>
      </c>
      <c r="H17" s="115">
        <f>[4]Alaska!$EI$5</f>
        <v>46</v>
      </c>
      <c r="I17" s="144">
        <f>SUM(B17:H17)</f>
        <v>1691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224</v>
      </c>
      <c r="D18" s="145">
        <f t="shared" si="2"/>
        <v>139</v>
      </c>
      <c r="E18" s="145">
        <f t="shared" si="2"/>
        <v>32</v>
      </c>
      <c r="F18" s="145">
        <f t="shared" si="2"/>
        <v>1282</v>
      </c>
      <c r="G18" s="145">
        <f t="shared" si="2"/>
        <v>1619</v>
      </c>
      <c r="H18" s="145">
        <f t="shared" si="2"/>
        <v>92</v>
      </c>
      <c r="I18" s="146">
        <f>SUM(B18:H18)</f>
        <v>3388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[4]AirTran!$EI$8</f>
        <v>0</v>
      </c>
      <c r="C20" s="143">
        <f>[4]Frontier!$EI$8</f>
        <v>0</v>
      </c>
      <c r="D20" s="143">
        <f>'[4]Great Lakes'!$EI$8</f>
        <v>0</v>
      </c>
      <c r="E20" s="143">
        <f>[4]Icelandair!$EI$8</f>
        <v>0</v>
      </c>
      <c r="F20" s="115">
        <f>[4]Southwest!$EI$8</f>
        <v>2</v>
      </c>
      <c r="G20" s="143">
        <f>'[4]Sun Country'!$EI$8</f>
        <v>48</v>
      </c>
      <c r="H20" s="115">
        <f>[4]Alaska!$EI$8</f>
        <v>0</v>
      </c>
      <c r="I20" s="144">
        <f>SUM(B20:H20)</f>
        <v>50</v>
      </c>
    </row>
    <row r="21" spans="1:256" x14ac:dyDescent="0.2">
      <c r="A21" s="64" t="s">
        <v>29</v>
      </c>
      <c r="B21" s="14">
        <f>[4]AirTran!$EI$9</f>
        <v>0</v>
      </c>
      <c r="C21" s="143">
        <f>[4]Frontier!$EI$9</f>
        <v>0</v>
      </c>
      <c r="D21" s="143">
        <f>'[4]Great Lakes'!$EI$9</f>
        <v>0</v>
      </c>
      <c r="E21" s="143">
        <f>[4]Icelandair!$EI$9</f>
        <v>0</v>
      </c>
      <c r="F21" s="115">
        <f>[4]Southwest!$EI$9</f>
        <v>1</v>
      </c>
      <c r="G21" s="115">
        <f>'[4]Sun Country'!$EI$9</f>
        <v>50</v>
      </c>
      <c r="H21" s="115">
        <f>[4]Alaska!$EI$9</f>
        <v>0</v>
      </c>
      <c r="I21" s="144">
        <f>SUM(B21:H21)</f>
        <v>51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3</v>
      </c>
      <c r="G22" s="145">
        <f t="shared" si="3"/>
        <v>98</v>
      </c>
      <c r="H22" s="145">
        <f t="shared" si="3"/>
        <v>0</v>
      </c>
      <c r="I22" s="146">
        <f>SUM(B22:H22)</f>
        <v>101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224</v>
      </c>
      <c r="D23" s="147">
        <f t="shared" si="4"/>
        <v>139</v>
      </c>
      <c r="E23" s="147">
        <f t="shared" si="4"/>
        <v>32</v>
      </c>
      <c r="F23" s="147">
        <f t="shared" si="4"/>
        <v>1285</v>
      </c>
      <c r="G23" s="147">
        <f t="shared" si="4"/>
        <v>1717</v>
      </c>
      <c r="H23" s="147">
        <f t="shared" si="4"/>
        <v>92</v>
      </c>
      <c r="I23" s="148">
        <f>SUM(B23:H23)</f>
        <v>3489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7"/>
      <c r="C25" s="437"/>
      <c r="D25" s="437"/>
      <c r="E25" s="437"/>
      <c r="F25" s="437"/>
      <c r="G25" s="437"/>
      <c r="H25" s="437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[4]AirTran!$EI$47</f>
        <v>0</v>
      </c>
      <c r="C28" s="143">
        <f>[4]Frontier!$EI$47</f>
        <v>0</v>
      </c>
      <c r="D28" s="143">
        <f>'[4]Great Lakes'!$EI$47</f>
        <v>46</v>
      </c>
      <c r="E28" s="143">
        <f>[4]Icelandair!$EI$47</f>
        <v>58163</v>
      </c>
      <c r="F28" s="115">
        <f>[4]Southwest!$EI$47</f>
        <v>205317</v>
      </c>
      <c r="G28" s="115">
        <f>'[4]Sun Country'!$EI$47</f>
        <v>192655</v>
      </c>
      <c r="H28" s="115">
        <f>[4]Alaska!$EI$47</f>
        <v>2765</v>
      </c>
      <c r="I28" s="144">
        <f>SUM(B28:H28)</f>
        <v>458946</v>
      </c>
    </row>
    <row r="29" spans="1:256" x14ac:dyDescent="0.2">
      <c r="A29" s="64" t="s">
        <v>41</v>
      </c>
      <c r="B29" s="14">
        <f>[4]AirTran!$EI$48</f>
        <v>0</v>
      </c>
      <c r="C29" s="143">
        <f>[4]Frontier!$EI$48</f>
        <v>0</v>
      </c>
      <c r="D29" s="143">
        <f>'[4]Great Lakes'!$EI$48</f>
        <v>0</v>
      </c>
      <c r="E29" s="143">
        <f>[4]Icelandair!$EI$48</f>
        <v>0</v>
      </c>
      <c r="F29" s="115">
        <f>[4]Southwest!$EI$48</f>
        <v>0</v>
      </c>
      <c r="G29" s="115">
        <f>'[4]Sun Country'!$EI$48</f>
        <v>514702</v>
      </c>
      <c r="H29" s="115">
        <f>[4]Alaska!$EI$48</f>
        <v>0</v>
      </c>
      <c r="I29" s="144">
        <f>SUM(B29:H29)</f>
        <v>514702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46</v>
      </c>
      <c r="E30" s="159">
        <f t="shared" si="5"/>
        <v>58163</v>
      </c>
      <c r="F30" s="159">
        <f t="shared" si="5"/>
        <v>205317</v>
      </c>
      <c r="G30" s="159">
        <f t="shared" si="5"/>
        <v>707357</v>
      </c>
      <c r="H30" s="159">
        <f t="shared" si="5"/>
        <v>2765</v>
      </c>
      <c r="I30" s="162">
        <f>SUM(B30:H30)</f>
        <v>973648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[4]AirTran!$EI$52</f>
        <v>0</v>
      </c>
      <c r="C33" s="143">
        <f>[4]Frontier!$EI$52</f>
        <v>0</v>
      </c>
      <c r="D33" s="143">
        <f>'[4]Great Lakes'!$EI$52</f>
        <v>0</v>
      </c>
      <c r="E33" s="143">
        <f>[4]Icelandair!$EI$52</f>
        <v>8116</v>
      </c>
      <c r="F33" s="115">
        <f>[4]Southwest!$EI$52</f>
        <v>140596</v>
      </c>
      <c r="G33" s="115">
        <f>'[4]Sun Country'!$EI$52</f>
        <v>149173</v>
      </c>
      <c r="H33" s="115">
        <f>[4]Alaska!$EI$52</f>
        <v>6527</v>
      </c>
      <c r="I33" s="144">
        <f>SUM(B33:H33)</f>
        <v>304412</v>
      </c>
    </row>
    <row r="34" spans="1:9" x14ac:dyDescent="0.2">
      <c r="A34" s="64" t="s">
        <v>41</v>
      </c>
      <c r="B34" s="14">
        <f>[4]AirTran!$EI$53</f>
        <v>0</v>
      </c>
      <c r="C34" s="143">
        <f>[4]Frontier!$EI$53</f>
        <v>0</v>
      </c>
      <c r="D34" s="143">
        <f>'[4]Great Lakes'!$EI$53</f>
        <v>0</v>
      </c>
      <c r="E34" s="143">
        <f>[4]Icelandair!$EI$53</f>
        <v>0</v>
      </c>
      <c r="F34" s="115">
        <f>[4]Southwest!$EI$53</f>
        <v>0</v>
      </c>
      <c r="G34" s="115">
        <f>'[4]Sun Country'!$EI$53</f>
        <v>932065</v>
      </c>
      <c r="H34" s="115">
        <f>[4]Alaska!$EI$53</f>
        <v>0</v>
      </c>
      <c r="I34" s="160">
        <f>SUM(B34:H34)</f>
        <v>932065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0</v>
      </c>
      <c r="E35" s="161">
        <f t="shared" si="6"/>
        <v>8116</v>
      </c>
      <c r="F35" s="161">
        <f t="shared" si="6"/>
        <v>140596</v>
      </c>
      <c r="G35" s="161">
        <f t="shared" si="6"/>
        <v>1081238</v>
      </c>
      <c r="H35" s="161">
        <f t="shared" si="6"/>
        <v>6527</v>
      </c>
      <c r="I35" s="162">
        <f>SUM(B35:H35)</f>
        <v>1236477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[4]AirTran!$EI$57</f>
        <v>0</v>
      </c>
      <c r="C38" s="151">
        <f>[4]Frontier!$EI$57</f>
        <v>0</v>
      </c>
      <c r="D38" s="151">
        <f>'[4]Great Lakes'!$EI$57</f>
        <v>0</v>
      </c>
      <c r="E38" s="151">
        <f>[4]Icelandair!$EI$57</f>
        <v>0</v>
      </c>
      <c r="F38" s="151">
        <f>[4]Southwest!$EI$57</f>
        <v>0</v>
      </c>
      <c r="G38" s="151">
        <f>'[4]Sun Country'!$EI$57</f>
        <v>0</v>
      </c>
      <c r="H38" s="151">
        <f>[4]Alaska!$EI$57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[4]AirTran!$EI$58</f>
        <v>0</v>
      </c>
      <c r="C39" s="154">
        <f>[4]Frontier!$EI$58</f>
        <v>0</v>
      </c>
      <c r="D39" s="154">
        <f>'[4]Great Lakes'!$EI$58</f>
        <v>0</v>
      </c>
      <c r="E39" s="154">
        <f>[4]Icelandair!$EI$58</f>
        <v>0</v>
      </c>
      <c r="F39" s="154">
        <f>[4]Southwest!$EI$58</f>
        <v>0</v>
      </c>
      <c r="G39" s="154">
        <f>'[4]Sun Country'!$EI$58</f>
        <v>0</v>
      </c>
      <c r="H39" s="154">
        <f>[4]Alaska!$EI$58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46</v>
      </c>
      <c r="E43" s="151">
        <f t="shared" si="8"/>
        <v>66279</v>
      </c>
      <c r="F43" s="151">
        <f t="shared" si="8"/>
        <v>345913</v>
      </c>
      <c r="G43" s="151">
        <f t="shared" si="8"/>
        <v>341828</v>
      </c>
      <c r="H43" s="151">
        <f t="shared" si="8"/>
        <v>9292</v>
      </c>
      <c r="I43" s="144">
        <f>SUM(B43:H43)</f>
        <v>763358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1446767</v>
      </c>
      <c r="H44" s="154">
        <f t="shared" si="9"/>
        <v>0</v>
      </c>
      <c r="I44" s="144">
        <f>SUM(B44:H44)</f>
        <v>1446767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46</v>
      </c>
      <c r="E45" s="164">
        <f t="shared" si="10"/>
        <v>66279</v>
      </c>
      <c r="F45" s="164">
        <f t="shared" si="10"/>
        <v>345913</v>
      </c>
      <c r="G45" s="164">
        <f t="shared" si="10"/>
        <v>1788595</v>
      </c>
      <c r="H45" s="164">
        <f t="shared" si="10"/>
        <v>9292</v>
      </c>
      <c r="I45" s="165">
        <f>SUM(B45:H45)</f>
        <v>2210125</v>
      </c>
    </row>
    <row r="48" spans="1:9" x14ac:dyDescent="0.2">
      <c r="A48" s="391" t="s">
        <v>135</v>
      </c>
      <c r="B48" s="405"/>
      <c r="C48" s="405"/>
      <c r="D48" s="405"/>
      <c r="F48" s="315">
        <f>[4]Southwest!$EI$70+[4]Southwest!$EI$73</f>
        <v>73903</v>
      </c>
      <c r="G48" s="315">
        <f>'[4]Sun Country'!$EI$70+'[4]Sun Country'!$EI$73</f>
        <v>86660</v>
      </c>
      <c r="H48" s="405"/>
      <c r="I48" s="304">
        <f>SUM(B48:H48)</f>
        <v>160563</v>
      </c>
    </row>
    <row r="49" spans="1:9" x14ac:dyDescent="0.2">
      <c r="A49" s="407" t="s">
        <v>136</v>
      </c>
      <c r="B49" s="405"/>
      <c r="C49" s="405"/>
      <c r="D49" s="405"/>
      <c r="F49" s="315">
        <f>[4]Southwest!$EI$71+[4]Southwest!$EI$74</f>
        <v>409</v>
      </c>
      <c r="G49" s="315">
        <f>'[4]Sun Country'!$EI$71+'[4]Sun Country'!$EI$74</f>
        <v>9221</v>
      </c>
      <c r="H49" s="405"/>
      <c r="I49" s="304">
        <f>SUM(B49:H49)</f>
        <v>9630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December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7" zoomScaleNormal="100" workbookViewId="0">
      <selection activeCell="G14" sqref="G1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3"/>
    </row>
    <row r="2" spans="1:20" s="7" customFormat="1" ht="39" thickBot="1" x14ac:dyDescent="0.25">
      <c r="A2" s="396">
        <v>42339</v>
      </c>
      <c r="B2" s="465" t="s">
        <v>192</v>
      </c>
      <c r="C2" s="465" t="s">
        <v>197</v>
      </c>
      <c r="D2" s="465" t="s">
        <v>211</v>
      </c>
      <c r="E2" s="465" t="s">
        <v>196</v>
      </c>
      <c r="F2" s="465" t="s">
        <v>169</v>
      </c>
      <c r="G2" s="465" t="s">
        <v>170</v>
      </c>
      <c r="H2" s="464" t="s">
        <v>58</v>
      </c>
      <c r="I2" s="465" t="s">
        <v>173</v>
      </c>
      <c r="J2" s="465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[4]Pinnacle!$EI$22+[4]Pinnacle!$EI$32</f>
        <v>128507</v>
      </c>
      <c r="C5" s="129">
        <f>[4]Chautaqua_Continental!$EI$22</f>
        <v>0</v>
      </c>
      <c r="D5" s="129">
        <f>[4]Chautaqua_AA!$EI$22</f>
        <v>0</v>
      </c>
      <c r="E5" s="129">
        <f>[4]MESA_UA!$EI$22</f>
        <v>0</v>
      </c>
      <c r="F5" s="127">
        <f>'[4]Sky West'!$EI$22+'[4]Sky West'!$EI$32</f>
        <v>104276</v>
      </c>
      <c r="G5" s="127">
        <f>'[4]Sky West_UA'!$EI$22</f>
        <v>0</v>
      </c>
      <c r="H5" s="127">
        <f>[4]Republic!$EI$22</f>
        <v>765</v>
      </c>
      <c r="I5" s="127">
        <f>'[4]American Eagle'!$EI$22</f>
        <v>0</v>
      </c>
      <c r="J5" s="127">
        <f>'Other Regional'!L5</f>
        <v>104627</v>
      </c>
      <c r="K5" s="106">
        <f>SUM(B5:J5)</f>
        <v>338175</v>
      </c>
      <c r="M5" s="459"/>
      <c r="N5" s="459"/>
      <c r="O5" s="459"/>
      <c r="P5" s="459"/>
      <c r="Q5" s="459"/>
      <c r="R5" s="459"/>
      <c r="S5" s="459"/>
      <c r="T5" s="459"/>
    </row>
    <row r="6" spans="1:20" s="10" customFormat="1" x14ac:dyDescent="0.2">
      <c r="A6" s="64" t="s">
        <v>34</v>
      </c>
      <c r="B6" s="128">
        <f>[4]Pinnacle!$EI$23+[4]Pinnacle!$EI$33</f>
        <v>126550</v>
      </c>
      <c r="C6" s="129">
        <f>[4]Chautaqua_Continental!$EI$23</f>
        <v>0</v>
      </c>
      <c r="D6" s="129">
        <f>[4]Chautaqua_AA!$EI$23</f>
        <v>0</v>
      </c>
      <c r="E6" s="129">
        <f>[4]MESA_UA!$EI$23</f>
        <v>0</v>
      </c>
      <c r="F6" s="127">
        <f>'[4]Sky West'!$EI$23+'[4]Sky West'!$EI$33</f>
        <v>102190</v>
      </c>
      <c r="G6" s="127">
        <f>'[4]Sky West_UA'!$EI$23</f>
        <v>0</v>
      </c>
      <c r="H6" s="127">
        <f>[4]Republic!$EI$23</f>
        <v>838</v>
      </c>
      <c r="I6" s="127">
        <f>'[4]American Eagle'!$EI$23</f>
        <v>0</v>
      </c>
      <c r="J6" s="127">
        <f>'Other Regional'!L6</f>
        <v>105980</v>
      </c>
      <c r="K6" s="112">
        <f>SUM(B6:J6)</f>
        <v>335558</v>
      </c>
      <c r="M6" s="459"/>
      <c r="N6" s="459"/>
      <c r="O6" s="459"/>
      <c r="P6" s="459"/>
      <c r="Q6" s="459"/>
      <c r="R6" s="459"/>
      <c r="S6" s="459"/>
      <c r="T6" s="459"/>
    </row>
    <row r="7" spans="1:20" ht="15" thickBot="1" x14ac:dyDescent="0.25">
      <c r="A7" s="75" t="s">
        <v>7</v>
      </c>
      <c r="B7" s="130">
        <f>SUM(B5:B6)</f>
        <v>255057</v>
      </c>
      <c r="C7" s="130">
        <f t="shared" ref="C7:J7" si="0">SUM(C5:C6)</f>
        <v>0</v>
      </c>
      <c r="D7" s="130">
        <f>SUM(D5:D6)</f>
        <v>0</v>
      </c>
      <c r="E7" s="130">
        <f t="shared" si="0"/>
        <v>0</v>
      </c>
      <c r="F7" s="130">
        <f t="shared" si="0"/>
        <v>206466</v>
      </c>
      <c r="G7" s="130">
        <f t="shared" si="0"/>
        <v>0</v>
      </c>
      <c r="H7" s="130">
        <f t="shared" si="0"/>
        <v>1603</v>
      </c>
      <c r="I7" s="130">
        <f t="shared" si="0"/>
        <v>0</v>
      </c>
      <c r="J7" s="130">
        <f t="shared" si="0"/>
        <v>210607</v>
      </c>
      <c r="K7" s="131">
        <f>SUM(B7:J7)</f>
        <v>673733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[4]Pinnacle!$EI$27+[4]Pinnacle!$EI$37</f>
        <v>4168</v>
      </c>
      <c r="C10" s="129">
        <f>[4]Chautaqua_Continental!$EI$27</f>
        <v>0</v>
      </c>
      <c r="D10" s="129">
        <f>[4]Chautaqua_AA!$EI$27</f>
        <v>0</v>
      </c>
      <c r="E10" s="129">
        <f>[4]MESA_UA!$EI$27</f>
        <v>0</v>
      </c>
      <c r="F10" s="127">
        <f>'[4]Sky West'!$EI$27+'[4]Sky West'!$EI$37</f>
        <v>3811</v>
      </c>
      <c r="G10" s="127">
        <f>'[4]Sky West_UA'!$EI$27</f>
        <v>0</v>
      </c>
      <c r="H10" s="127">
        <f>[4]Republic!$EI$27</f>
        <v>0</v>
      </c>
      <c r="I10" s="127">
        <f>'[4]American Eagle'!$EI$27</f>
        <v>0</v>
      </c>
      <c r="J10" s="127">
        <f>'Other Regional'!L10</f>
        <v>3408</v>
      </c>
      <c r="K10" s="106">
        <f>SUM(B10:J10)</f>
        <v>11387</v>
      </c>
    </row>
    <row r="11" spans="1:20" x14ac:dyDescent="0.2">
      <c r="A11" s="64" t="s">
        <v>36</v>
      </c>
      <c r="B11" s="128">
        <f>[4]Pinnacle!$EI$28+[4]Pinnacle!$EI$38</f>
        <v>4185</v>
      </c>
      <c r="C11" s="129">
        <f>[4]Chautaqua_Continental!$EI$28</f>
        <v>0</v>
      </c>
      <c r="D11" s="129">
        <f>[4]Chautaqua_AA!$EI$28</f>
        <v>0</v>
      </c>
      <c r="E11" s="129">
        <f>[4]MESA_UA!$EI$28</f>
        <v>0</v>
      </c>
      <c r="F11" s="127">
        <f>'[4]Sky West'!$EI$28+'[4]Sky West'!$EI$38</f>
        <v>4027</v>
      </c>
      <c r="G11" s="127">
        <f>'[4]Sky West_UA'!$EI$28</f>
        <v>0</v>
      </c>
      <c r="H11" s="127">
        <f>[4]Republic!$EI$28</f>
        <v>0</v>
      </c>
      <c r="I11" s="127">
        <f>'[4]American Eagle'!$EI$28</f>
        <v>0</v>
      </c>
      <c r="J11" s="127">
        <f>'Other Regional'!L11</f>
        <v>3268</v>
      </c>
      <c r="K11" s="112">
        <f>SUM(B11:J11)</f>
        <v>11480</v>
      </c>
    </row>
    <row r="12" spans="1:20" ht="15" thickBot="1" x14ac:dyDescent="0.25">
      <c r="A12" s="76" t="s">
        <v>37</v>
      </c>
      <c r="B12" s="133">
        <f t="shared" ref="B12:J12" si="1">SUM(B10:B11)</f>
        <v>8353</v>
      </c>
      <c r="C12" s="133">
        <f t="shared" si="1"/>
        <v>0</v>
      </c>
      <c r="D12" s="133">
        <f>SUM(D10:D11)</f>
        <v>0</v>
      </c>
      <c r="E12" s="133">
        <f t="shared" si="1"/>
        <v>0</v>
      </c>
      <c r="F12" s="133">
        <f t="shared" si="1"/>
        <v>7838</v>
      </c>
      <c r="G12" s="133">
        <f t="shared" si="1"/>
        <v>0</v>
      </c>
      <c r="H12" s="133">
        <f t="shared" si="1"/>
        <v>0</v>
      </c>
      <c r="I12" s="133">
        <f t="shared" si="1"/>
        <v>0</v>
      </c>
      <c r="J12" s="133">
        <f t="shared" si="1"/>
        <v>6676</v>
      </c>
      <c r="K12" s="134">
        <f>SUM(B12:J12)</f>
        <v>22867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0">
        <f>[4]Pinnacle!$EI$4+[4]Pinnacle!$EI$15</f>
        <v>2234</v>
      </c>
      <c r="C15" s="104">
        <f>[4]Chautaqua_Continental!$EI$4</f>
        <v>0</v>
      </c>
      <c r="D15" s="104">
        <f>[4]Chautaqua_AA!$EI$4</f>
        <v>0</v>
      </c>
      <c r="E15" s="104">
        <f>[4]MESA_UA!$EI$4</f>
        <v>0</v>
      </c>
      <c r="F15" s="461">
        <f>'[4]Sky West'!$EI$4+'[4]Sky West'!$EI$15</f>
        <v>2367</v>
      </c>
      <c r="G15" s="461">
        <f>'[4]Sky West_UA'!$EI$4</f>
        <v>0</v>
      </c>
      <c r="H15" s="116">
        <f>[4]Republic!$EI$4</f>
        <v>12</v>
      </c>
      <c r="I15" s="116">
        <f>'[4]American Eagle'!$EI$4</f>
        <v>0</v>
      </c>
      <c r="J15" s="104">
        <f>'Other Regional'!L15</f>
        <v>1822</v>
      </c>
      <c r="K15" s="106">
        <f t="shared" si="2"/>
        <v>6435</v>
      </c>
    </row>
    <row r="16" spans="1:20" x14ac:dyDescent="0.2">
      <c r="A16" s="64" t="s">
        <v>60</v>
      </c>
      <c r="B16" s="462">
        <f>[4]Pinnacle!$EI$5+[4]Pinnacle!$EI$16</f>
        <v>2230</v>
      </c>
      <c r="C16" s="109">
        <f>[4]Chautaqua_Continental!$EI$5</f>
        <v>0</v>
      </c>
      <c r="D16" s="109">
        <f>[4]Chautaqua_AA!$EI$5</f>
        <v>0</v>
      </c>
      <c r="E16" s="109">
        <f>[4]MESA_UA!$EI$5</f>
        <v>0</v>
      </c>
      <c r="F16" s="463">
        <f>'[4]Sky West'!$EI$5+'[4]Sky West'!$EI$16</f>
        <v>2362</v>
      </c>
      <c r="G16" s="463">
        <f>'[4]Sky West_UA'!$EI$5</f>
        <v>0</v>
      </c>
      <c r="H16" s="118">
        <f>[4]Republic!$EI$5</f>
        <v>12</v>
      </c>
      <c r="I16" s="118">
        <f>'[4]American Eagle'!$EI$5</f>
        <v>0</v>
      </c>
      <c r="J16" s="108">
        <f>'Other Regional'!L16</f>
        <v>1814</v>
      </c>
      <c r="K16" s="112">
        <f t="shared" si="2"/>
        <v>6418</v>
      </c>
    </row>
    <row r="17" spans="1:11" x14ac:dyDescent="0.2">
      <c r="A17" s="73" t="s">
        <v>61</v>
      </c>
      <c r="B17" s="113">
        <f t="shared" ref="B17:I17" si="3">SUM(B15:B16)</f>
        <v>4464</v>
      </c>
      <c r="C17" s="113">
        <f t="shared" si="3"/>
        <v>0</v>
      </c>
      <c r="D17" s="113">
        <f>SUM(D15:D16)</f>
        <v>0</v>
      </c>
      <c r="E17" s="113">
        <f t="shared" si="3"/>
        <v>0</v>
      </c>
      <c r="F17" s="113">
        <f t="shared" si="3"/>
        <v>4729</v>
      </c>
      <c r="G17" s="113">
        <f t="shared" si="3"/>
        <v>0</v>
      </c>
      <c r="H17" s="113">
        <f t="shared" si="3"/>
        <v>24</v>
      </c>
      <c r="I17" s="113">
        <f t="shared" si="3"/>
        <v>0</v>
      </c>
      <c r="J17" s="113">
        <f>SUM(J15:J16)</f>
        <v>3636</v>
      </c>
      <c r="K17" s="114">
        <f t="shared" si="2"/>
        <v>12853</v>
      </c>
    </row>
    <row r="18" spans="1:11" x14ac:dyDescent="0.2">
      <c r="A18" s="64" t="s">
        <v>62</v>
      </c>
      <c r="B18" s="115">
        <f>[4]Pinnacle!$EI$8</f>
        <v>2</v>
      </c>
      <c r="C18" s="116">
        <f>[4]Chautaqua_Continental!$EI$8</f>
        <v>0</v>
      </c>
      <c r="D18" s="116">
        <f>[4]Chautaqua_AA!$EI$8</f>
        <v>0</v>
      </c>
      <c r="E18" s="116">
        <f>[4]MESA_UA!$EI$8</f>
        <v>0</v>
      </c>
      <c r="F18" s="115">
        <f>'[4]Sky West'!$EI$8</f>
        <v>0</v>
      </c>
      <c r="G18" s="115">
        <f>'[4]Sky West_UA'!$EI$8</f>
        <v>0</v>
      </c>
      <c r="H18" s="115">
        <f>[4]Republic!$EI$8</f>
        <v>0</v>
      </c>
      <c r="I18" s="115">
        <f>'[4]American Eagle'!$EI$8</f>
        <v>0</v>
      </c>
      <c r="J18" s="115">
        <f>'Other Regional'!L18</f>
        <v>0</v>
      </c>
      <c r="K18" s="106">
        <f t="shared" si="2"/>
        <v>2</v>
      </c>
    </row>
    <row r="19" spans="1:11" x14ac:dyDescent="0.2">
      <c r="A19" s="64" t="s">
        <v>63</v>
      </c>
      <c r="B19" s="117">
        <f>[4]Pinnacle!$EI$9</f>
        <v>6</v>
      </c>
      <c r="C19" s="118">
        <f>[4]Chautaqua_Continental!$EI$9</f>
        <v>0</v>
      </c>
      <c r="D19" s="118">
        <f>[4]Chautaqua_AA!$EI$9</f>
        <v>0</v>
      </c>
      <c r="E19" s="118">
        <f>[4]MESA_UA!$EI$9</f>
        <v>0</v>
      </c>
      <c r="F19" s="117">
        <f>'[4]Sky West'!$EI$9</f>
        <v>7</v>
      </c>
      <c r="G19" s="117">
        <f>'[4]Sky West_UA'!$EI$9</f>
        <v>0</v>
      </c>
      <c r="H19" s="117">
        <f>[4]Republic!$EI$9</f>
        <v>0</v>
      </c>
      <c r="I19" s="117">
        <f>'[4]American Eagle'!$EI$9</f>
        <v>0</v>
      </c>
      <c r="J19" s="117">
        <f>'Other Regional'!L19</f>
        <v>6</v>
      </c>
      <c r="K19" s="112">
        <f t="shared" si="2"/>
        <v>19</v>
      </c>
    </row>
    <row r="20" spans="1:11" x14ac:dyDescent="0.2">
      <c r="A20" s="73" t="s">
        <v>64</v>
      </c>
      <c r="B20" s="113">
        <f t="shared" ref="B20:J20" si="4">SUM(B18:B19)</f>
        <v>8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7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6</v>
      </c>
      <c r="K20" s="114">
        <f t="shared" si="2"/>
        <v>21</v>
      </c>
    </row>
    <row r="21" spans="1:11" ht="15.75" thickBot="1" x14ac:dyDescent="0.3">
      <c r="A21" s="74" t="s">
        <v>31</v>
      </c>
      <c r="B21" s="119">
        <f t="shared" ref="B21:I21" si="5">SUM(B20,B17)</f>
        <v>4472</v>
      </c>
      <c r="C21" s="119">
        <f t="shared" si="5"/>
        <v>0</v>
      </c>
      <c r="D21" s="119">
        <f>SUM(D20,D17)</f>
        <v>0</v>
      </c>
      <c r="E21" s="119">
        <f t="shared" si="5"/>
        <v>0</v>
      </c>
      <c r="F21" s="119">
        <f t="shared" si="5"/>
        <v>4736</v>
      </c>
      <c r="G21" s="119">
        <f t="shared" si="5"/>
        <v>0</v>
      </c>
      <c r="H21" s="119">
        <f t="shared" si="5"/>
        <v>24</v>
      </c>
      <c r="I21" s="119">
        <f t="shared" si="5"/>
        <v>0</v>
      </c>
      <c r="J21" s="119">
        <f>SUM(J20,J17)</f>
        <v>3642</v>
      </c>
      <c r="K21" s="120">
        <f t="shared" si="2"/>
        <v>12874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[4]Pinnacle!$EI$47</f>
        <v>0</v>
      </c>
      <c r="C25" s="129">
        <f>[4]Chautaqua_Continental!$EI$47</f>
        <v>0</v>
      </c>
      <c r="D25" s="129">
        <f>[4]Chautaqua_AA!$EI$47</f>
        <v>0</v>
      </c>
      <c r="E25" s="129">
        <f>[4]MESA_UA!$EI$47</f>
        <v>0</v>
      </c>
      <c r="F25" s="127">
        <f>'[4]Sky West'!$EI$47</f>
        <v>0</v>
      </c>
      <c r="G25" s="127">
        <f>'[4]Sky West_UA'!$EI$47</f>
        <v>0</v>
      </c>
      <c r="H25" s="127">
        <f>[4]Republic!$EI$47</f>
        <v>0</v>
      </c>
      <c r="I25" s="127">
        <f>'[4]American Eagle'!$EI$47</f>
        <v>0</v>
      </c>
      <c r="J25" s="127">
        <f>'Other Regional'!L25</f>
        <v>0</v>
      </c>
      <c r="K25" s="106">
        <f>SUM(B25:J25)</f>
        <v>0</v>
      </c>
    </row>
    <row r="26" spans="1:11" x14ac:dyDescent="0.2">
      <c r="A26" s="77" t="s">
        <v>41</v>
      </c>
      <c r="B26" s="127">
        <f>[4]Pinnacle!$EI$48</f>
        <v>0</v>
      </c>
      <c r="C26" s="129">
        <f>[4]Chautaqua_Continental!$EI$48</f>
        <v>0</v>
      </c>
      <c r="D26" s="129">
        <f>[4]Chautaqua_AA!$EI$48</f>
        <v>0</v>
      </c>
      <c r="E26" s="129">
        <f>[4]MESA_UA!$EI$48</f>
        <v>0</v>
      </c>
      <c r="F26" s="127">
        <f>'[4]Sky West'!$EI$48</f>
        <v>0</v>
      </c>
      <c r="G26" s="127">
        <f>'[4]Sky West_UA'!$EI$48</f>
        <v>0</v>
      </c>
      <c r="H26" s="127">
        <f>[4]Republic!$EI$48</f>
        <v>0</v>
      </c>
      <c r="I26" s="127">
        <f>'[4]American Eagle'!$EI$48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0</v>
      </c>
      <c r="J27" s="130">
        <f t="shared" si="6"/>
        <v>0</v>
      </c>
      <c r="K27" s="131">
        <f>SUM(B27:J27)</f>
        <v>0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[4]Pinnacle!$EI$52</f>
        <v>0</v>
      </c>
      <c r="C30" s="129">
        <f>[4]Chautaqua_Continental!$EI$52</f>
        <v>0</v>
      </c>
      <c r="D30" s="129">
        <f>[4]Chautaqua_AA!$EI$52</f>
        <v>0</v>
      </c>
      <c r="E30" s="129">
        <f>[4]MESA_UA!$EI$52</f>
        <v>0</v>
      </c>
      <c r="F30" s="127">
        <f>'[4]Sky West'!$EI$52</f>
        <v>0</v>
      </c>
      <c r="G30" s="127">
        <f>'[4]Sky West_UA'!$EI$52</f>
        <v>0</v>
      </c>
      <c r="H30" s="127">
        <f>[4]Republic!$EI$52</f>
        <v>0</v>
      </c>
      <c r="I30" s="127">
        <f>'[4]American Eagle'!$EI$52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[4]Pinnacle!$EI$53</f>
        <v>0</v>
      </c>
      <c r="C31" s="129">
        <f>[4]Chautaqua_Continental!$EI$53</f>
        <v>0</v>
      </c>
      <c r="D31" s="129">
        <f>[4]Chautaqua_AA!$EI$53</f>
        <v>0</v>
      </c>
      <c r="E31" s="129">
        <f>[4]MESA_UA!$EI$53</f>
        <v>0</v>
      </c>
      <c r="F31" s="127">
        <f>'[4]Sky West'!$EI$53</f>
        <v>0</v>
      </c>
      <c r="G31" s="127">
        <f>'[4]Sky West_UA'!$EI$53</f>
        <v>0</v>
      </c>
      <c r="H31" s="127">
        <f>[4]Republic!$EI$53</f>
        <v>0</v>
      </c>
      <c r="I31" s="127">
        <f>'[4]American Eagle'!$EI$53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[4]Pinnacle!$EI$57</f>
        <v>0</v>
      </c>
      <c r="C35" s="129">
        <f>[4]Chautaqua_Continental!$EI$57</f>
        <v>0</v>
      </c>
      <c r="D35" s="129">
        <f>[4]Chautaqua_AA!$EI$57</f>
        <v>0</v>
      </c>
      <c r="E35" s="129">
        <f>[4]MESA_UA!$EI$57</f>
        <v>0</v>
      </c>
      <c r="F35" s="127">
        <f>'[4]Sky West'!$EI$57</f>
        <v>0</v>
      </c>
      <c r="G35" s="127">
        <f>'[4]Sky West_UA'!$EI$57</f>
        <v>0</v>
      </c>
      <c r="H35" s="127">
        <f>[4]Republic!$EI$57</f>
        <v>0</v>
      </c>
      <c r="I35" s="127">
        <f>'[4]American Eagle'!$EI$57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[4]Pinnacle!$EI$58</f>
        <v>0</v>
      </c>
      <c r="C36" s="129">
        <f>[4]Chautaqua_Continental!$EI$58</f>
        <v>0</v>
      </c>
      <c r="D36" s="129">
        <f>[4]Chautaqua_AA!$EI$58</f>
        <v>0</v>
      </c>
      <c r="E36" s="129">
        <f>[4]MESA_UA!$EI$58</f>
        <v>0</v>
      </c>
      <c r="F36" s="127">
        <f>'[4]Sky West'!$EI$58</f>
        <v>0</v>
      </c>
      <c r="G36" s="127">
        <f>'[4]Sky West_UA'!$EI$58</f>
        <v>0</v>
      </c>
      <c r="H36" s="127">
        <f>[4]Republic!$EI$58</f>
        <v>0</v>
      </c>
      <c r="I36" s="127">
        <f>'[4]American Eagle'!$EI$58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0</v>
      </c>
      <c r="J40" s="127">
        <f>J35+J30+J25</f>
        <v>0</v>
      </c>
      <c r="K40" s="106">
        <f>SUM(B40:J40)</f>
        <v>0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0</v>
      </c>
      <c r="J42" s="133">
        <f>SUM(J37,J32,J27)</f>
        <v>0</v>
      </c>
      <c r="K42" s="134">
        <f>SUM(B42:J42)</f>
        <v>0</v>
      </c>
    </row>
    <row r="44" spans="1:11" x14ac:dyDescent="0.2">
      <c r="A44" s="391" t="s">
        <v>135</v>
      </c>
      <c r="B44" s="314">
        <f>[4]Pinnacle!$EI$70+[4]Pinnacle!$EI$73</f>
        <v>41508</v>
      </c>
      <c r="F44" s="315">
        <f>'[4]Sky West'!$EI$70+'[4]Sky West'!$EI$73</f>
        <v>24117</v>
      </c>
      <c r="G44" s="315">
        <f>'[4]Sky West_UA'!$EI$70+'[4]Sky West_UA'!$EI$73</f>
        <v>0</v>
      </c>
      <c r="J44" s="315">
        <f>+'Other Regional'!L46</f>
        <v>27749</v>
      </c>
      <c r="K44" s="304">
        <f>SUM(B44:J44)</f>
        <v>93374</v>
      </c>
    </row>
    <row r="45" spans="1:11" x14ac:dyDescent="0.2">
      <c r="A45" s="407" t="s">
        <v>136</v>
      </c>
      <c r="B45" s="314">
        <f>[4]Pinnacle!$EI$71+[4]Pinnacle!$EI$74</f>
        <v>85042</v>
      </c>
      <c r="F45" s="315">
        <f>'[4]Sky West'!$EI$71+'[4]Sky West'!$EI$74</f>
        <v>78073</v>
      </c>
      <c r="G45" s="315">
        <f>'[4]Sky West_UA'!$EI$71+'[4]Sky West_UA'!$EI$74</f>
        <v>0</v>
      </c>
      <c r="J45" s="315">
        <f>+'Other Regional'!L47</f>
        <v>43870</v>
      </c>
      <c r="K45" s="304">
        <f>SUM(B45:J45)</f>
        <v>206985</v>
      </c>
    </row>
    <row r="46" spans="1:11" x14ac:dyDescent="0.2">
      <c r="A46" s="306" t="s">
        <v>137</v>
      </c>
      <c r="B46" s="307">
        <f>SUM(B44:B45)</f>
        <v>126550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December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F15" sqref="F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3"/>
    </row>
    <row r="2" spans="1:12" s="7" customFormat="1" ht="55.5" customHeight="1" thickBot="1" x14ac:dyDescent="0.25">
      <c r="A2" s="396">
        <v>42339</v>
      </c>
      <c r="B2" s="465" t="s">
        <v>143</v>
      </c>
      <c r="C2" s="465" t="s">
        <v>168</v>
      </c>
      <c r="D2" s="465" t="s">
        <v>167</v>
      </c>
      <c r="E2" s="465" t="s">
        <v>146</v>
      </c>
      <c r="F2" s="465" t="s">
        <v>55</v>
      </c>
      <c r="G2" s="465" t="s">
        <v>198</v>
      </c>
      <c r="H2" s="465" t="s">
        <v>195</v>
      </c>
      <c r="I2" s="465" t="s">
        <v>212</v>
      </c>
      <c r="J2" s="465" t="s">
        <v>129</v>
      </c>
      <c r="K2" s="465" t="s">
        <v>199</v>
      </c>
      <c r="L2" s="470" t="s">
        <v>24</v>
      </c>
    </row>
    <row r="3" spans="1:12" ht="15.75" thickTop="1" x14ac:dyDescent="0.25">
      <c r="A3" s="273" t="s">
        <v>3</v>
      </c>
      <c r="B3" s="419"/>
      <c r="C3" s="419"/>
      <c r="D3" s="419"/>
      <c r="E3" s="419"/>
      <c r="F3" s="420"/>
      <c r="G3" s="420"/>
      <c r="H3" s="420"/>
      <c r="I3" s="420"/>
      <c r="J3" s="420"/>
      <c r="K3" s="419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'[4]Shuttle America'!$EI$22+'[4]Shuttle America'!$EI$32</f>
        <v>0</v>
      </c>
      <c r="C5" s="128">
        <f>'[4]Shuttle America_Delta'!$EI$22+'[4]Shuttle America_Delta'!$EI$32</f>
        <v>3329</v>
      </c>
      <c r="D5" s="128">
        <f>[4]AirCanada!$EI$32</f>
        <v>0</v>
      </c>
      <c r="E5" s="21">
        <f>[4]Compass!$EI$22+[4]Compass!$EI$32</f>
        <v>37014</v>
      </c>
      <c r="F5" s="128">
        <f>'[4]Atlantic Southeast'!$EI$22+'[4]Atlantic Southeast'!$EI$32</f>
        <v>30094</v>
      </c>
      <c r="G5" s="128">
        <f>'[4]Continental Express'!$EI$22</f>
        <v>32128</v>
      </c>
      <c r="H5" s="127">
        <f>'[4]Go Jet_UA'!$EI$22</f>
        <v>0</v>
      </c>
      <c r="I5" s="21">
        <f>'[4]Go Jet'!$EI$22+'[4]Go Jet'!$EI$32</f>
        <v>0</v>
      </c>
      <c r="J5" s="129">
        <f>'[4]Air Wisconsin'!$EI$22</f>
        <v>2062</v>
      </c>
      <c r="K5" s="127">
        <f>[4]MESA!$EI$22</f>
        <v>0</v>
      </c>
      <c r="L5" s="106">
        <f>SUM(B5:K5)</f>
        <v>104627</v>
      </c>
    </row>
    <row r="6" spans="1:12" s="10" customFormat="1" x14ac:dyDescent="0.2">
      <c r="A6" s="64" t="s">
        <v>34</v>
      </c>
      <c r="B6" s="128">
        <f>'[4]Shuttle America'!$EI$23+'[4]Shuttle America'!$EI$33</f>
        <v>0</v>
      </c>
      <c r="C6" s="128">
        <f>'[4]Shuttle America_Delta'!$EI$23+'[4]Shuttle America_Delta'!$EI$33</f>
        <v>3218</v>
      </c>
      <c r="D6" s="128">
        <f>[4]AirCanada!$EI$33</f>
        <v>0</v>
      </c>
      <c r="E6" s="14">
        <f>[4]Compass!$EI$23+[4]Compass!$EI$33</f>
        <v>38391</v>
      </c>
      <c r="F6" s="128">
        <f>'[4]Atlantic Southeast'!$EI$23+'[4]Atlantic Southeast'!$EI$33</f>
        <v>30010</v>
      </c>
      <c r="G6" s="128">
        <f>'[4]Continental Express'!$EI$23</f>
        <v>32218</v>
      </c>
      <c r="H6" s="127">
        <f>'[4]Go Jet_UA'!$EI$23</f>
        <v>0</v>
      </c>
      <c r="I6" s="14">
        <f>'[4]Go Jet'!$EI$23+'[4]Go Jet'!$EI$33</f>
        <v>0</v>
      </c>
      <c r="J6" s="129">
        <f>'[4]Air Wisconsin'!$EI$23</f>
        <v>2143</v>
      </c>
      <c r="K6" s="127">
        <f>[4]MESA!$EI$23</f>
        <v>0</v>
      </c>
      <c r="L6" s="112">
        <f>SUM(B6:K6)</f>
        <v>105980</v>
      </c>
    </row>
    <row r="7" spans="1:12" ht="15" thickBot="1" x14ac:dyDescent="0.25">
      <c r="A7" s="75" t="s">
        <v>7</v>
      </c>
      <c r="B7" s="130">
        <f>SUM(B5:B6)</f>
        <v>0</v>
      </c>
      <c r="C7" s="130">
        <f>SUM(C5:C6)</f>
        <v>6547</v>
      </c>
      <c r="D7" s="130">
        <f t="shared" ref="D7:K7" si="0">SUM(D5:D6)</f>
        <v>0</v>
      </c>
      <c r="E7" s="130">
        <f>SUM(E5:E6)</f>
        <v>75405</v>
      </c>
      <c r="F7" s="130">
        <f t="shared" si="0"/>
        <v>60104</v>
      </c>
      <c r="G7" s="130">
        <f t="shared" si="0"/>
        <v>64346</v>
      </c>
      <c r="H7" s="130">
        <f t="shared" si="0"/>
        <v>0</v>
      </c>
      <c r="I7" s="130">
        <f>SUM(I5:I6)</f>
        <v>0</v>
      </c>
      <c r="J7" s="130">
        <f t="shared" si="0"/>
        <v>4205</v>
      </c>
      <c r="K7" s="130">
        <f t="shared" si="0"/>
        <v>0</v>
      </c>
      <c r="L7" s="131">
        <f>SUM(L5:L6)</f>
        <v>210607</v>
      </c>
    </row>
    <row r="8" spans="1:12" ht="13.5" thickTop="1" x14ac:dyDescent="0.2">
      <c r="A8" s="64"/>
      <c r="B8" s="128"/>
      <c r="C8" s="128"/>
      <c r="D8" s="128"/>
      <c r="E8" s="337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'[4]Shuttle America'!$EI$27+'[4]Shuttle America'!$EI$37</f>
        <v>0</v>
      </c>
      <c r="C10" s="128">
        <f>'[4]Shuttle America_Delta'!$EI$27+'[4]Shuttle America_Delta'!$EI$37</f>
        <v>121</v>
      </c>
      <c r="D10" s="128">
        <f>[4]AirCanada!$EI$37</f>
        <v>0</v>
      </c>
      <c r="E10" s="21">
        <f>[4]Compass!$EI$27+[4]Compass!$EI$37</f>
        <v>1094</v>
      </c>
      <c r="F10" s="21">
        <f>'[4]Atlantic Southeast'!$EI$27+'[4]Atlantic Southeast'!$EI$37</f>
        <v>940</v>
      </c>
      <c r="G10" s="128">
        <f>'[4]Continental Express'!$EI$27</f>
        <v>1156</v>
      </c>
      <c r="H10" s="127">
        <f>'[4]Go Jet_UA'!$EI$27</f>
        <v>0</v>
      </c>
      <c r="I10" s="21">
        <f>'[4]Go Jet'!$EI$27+'[4]Go Jet'!$EI$37</f>
        <v>0</v>
      </c>
      <c r="J10" s="129">
        <f>'[4]Air Wisconsin'!$EI$27</f>
        <v>97</v>
      </c>
      <c r="K10" s="127">
        <f>[4]MESA!$EI$27</f>
        <v>0</v>
      </c>
      <c r="L10" s="106">
        <f>SUM(B10:K10)</f>
        <v>3408</v>
      </c>
    </row>
    <row r="11" spans="1:12" x14ac:dyDescent="0.2">
      <c r="A11" s="64" t="s">
        <v>36</v>
      </c>
      <c r="B11" s="128">
        <f>'[4]Shuttle America'!$EI$28+'[4]Shuttle America'!$EI$38</f>
        <v>0</v>
      </c>
      <c r="C11" s="128">
        <f>'[4]Shuttle America_Delta'!$EI$28+'[4]Shuttle America_Delta'!$EI$38</f>
        <v>83</v>
      </c>
      <c r="D11" s="128">
        <f>[4]AirCanada!$EI$38</f>
        <v>0</v>
      </c>
      <c r="E11" s="14">
        <f>[4]Compass!$EI$28+[4]Compass!$EI$38</f>
        <v>1116</v>
      </c>
      <c r="F11" s="14">
        <f>'[4]Atlantic Southeast'!$EI$28+'[4]Atlantic Southeast'!$EI$38</f>
        <v>930</v>
      </c>
      <c r="G11" s="128">
        <f>'[4]Continental Express'!$EI$28</f>
        <v>1054</v>
      </c>
      <c r="H11" s="127">
        <f>'[4]Go Jet_UA'!$EI$28</f>
        <v>0</v>
      </c>
      <c r="I11" s="14">
        <f>'[4]Go Jet'!$EI$28+'[4]Go Jet'!$EI$38</f>
        <v>0</v>
      </c>
      <c r="J11" s="129">
        <f>'[4]Air Wisconsin'!$EI$28</f>
        <v>85</v>
      </c>
      <c r="K11" s="127">
        <f>[4]MESA!$EI$28</f>
        <v>0</v>
      </c>
      <c r="L11" s="112">
        <f>SUM(B11:K11)</f>
        <v>3268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204</v>
      </c>
      <c r="D12" s="133">
        <f t="shared" ref="D12:K12" si="1">SUM(D10:D11)</f>
        <v>0</v>
      </c>
      <c r="E12" s="133">
        <f t="shared" si="1"/>
        <v>2210</v>
      </c>
      <c r="F12" s="133">
        <f t="shared" si="1"/>
        <v>1870</v>
      </c>
      <c r="G12" s="133">
        <f t="shared" si="1"/>
        <v>2210</v>
      </c>
      <c r="H12" s="133">
        <f t="shared" si="1"/>
        <v>0</v>
      </c>
      <c r="I12" s="133">
        <f>SUM(I10:I11)</f>
        <v>0</v>
      </c>
      <c r="J12" s="133">
        <f t="shared" si="1"/>
        <v>182</v>
      </c>
      <c r="K12" s="133">
        <f t="shared" si="1"/>
        <v>0</v>
      </c>
      <c r="L12" s="134">
        <f>SUM(B12:K12)</f>
        <v>6676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1">
        <f>'[4]Shuttle America'!$EI$4+'[4]Shuttle America'!$EI$15</f>
        <v>0</v>
      </c>
      <c r="C15" s="461">
        <f>'[4]Shuttle America_Delta'!$EI$4+'[4]Shuttle America_Delta'!$EI$15</f>
        <v>77</v>
      </c>
      <c r="D15" s="104">
        <f>[4]AirCanada!$EI$15</f>
        <v>0</v>
      </c>
      <c r="E15" s="460">
        <f>[4]Compass!$EI$4+[4]Compass!$EI$15</f>
        <v>617</v>
      </c>
      <c r="F15" s="104">
        <f>'[4]Atlantic Southeast'!$EI$4+'[4]Atlantic Southeast'!$EI$15</f>
        <v>545</v>
      </c>
      <c r="G15" s="104">
        <f>'[4]Continental Express'!$EI$4</f>
        <v>533</v>
      </c>
      <c r="H15" s="461">
        <f>'[4]Go Jet_UA'!$EI$4</f>
        <v>0</v>
      </c>
      <c r="I15" s="460">
        <f>'[4]Go Jet'!$EI$4+'[4]Go Jet'!$EI$15</f>
        <v>0</v>
      </c>
      <c r="J15" s="104">
        <f>'[4]Air Wisconsin'!$EI$4</f>
        <v>50</v>
      </c>
      <c r="K15" s="103">
        <f>[4]MESA!$EI$4</f>
        <v>0</v>
      </c>
      <c r="L15" s="106">
        <f t="shared" ref="L15:L21" si="2">SUM(B15:K15)</f>
        <v>1822</v>
      </c>
    </row>
    <row r="16" spans="1:12" x14ac:dyDescent="0.2">
      <c r="A16" s="64" t="s">
        <v>60</v>
      </c>
      <c r="B16" s="463">
        <f>'[4]Shuttle America'!$EI$5+'[4]Shuttle America'!$EI$16</f>
        <v>0</v>
      </c>
      <c r="C16" s="463">
        <f>'[4]Shuttle America_Delta'!$EI$5+'[4]Shuttle America_Delta'!$EI$16</f>
        <v>77</v>
      </c>
      <c r="D16" s="109">
        <f>[4]AirCanada!$EI$16</f>
        <v>0</v>
      </c>
      <c r="E16" s="462">
        <f>[4]Compass!$EI$5+[4]Compass!$EI$16</f>
        <v>612</v>
      </c>
      <c r="F16" s="109">
        <f>'[4]Atlantic Southeast'!$EI$5+'[4]Atlantic Southeast'!$EI$16</f>
        <v>542</v>
      </c>
      <c r="G16" s="109">
        <f>'[4]Continental Express'!$EI$5</f>
        <v>533</v>
      </c>
      <c r="H16" s="463">
        <f>'[4]Go Jet_UA'!$EI$5</f>
        <v>0</v>
      </c>
      <c r="I16" s="462">
        <f>'[4]Go Jet'!$EI$5+'[4]Go Jet'!$EI$16</f>
        <v>0</v>
      </c>
      <c r="J16" s="109">
        <f>'[4]Air Wisconsin'!$EI$5</f>
        <v>50</v>
      </c>
      <c r="K16" s="107">
        <f>[4]MESA!$EI$5</f>
        <v>0</v>
      </c>
      <c r="L16" s="112">
        <f t="shared" si="2"/>
        <v>1814</v>
      </c>
    </row>
    <row r="17" spans="1:12" x14ac:dyDescent="0.2">
      <c r="A17" s="73" t="s">
        <v>61</v>
      </c>
      <c r="B17" s="113">
        <f>SUM(B15:B16)</f>
        <v>0</v>
      </c>
      <c r="C17" s="113">
        <f>SUM(C15:C16)</f>
        <v>154</v>
      </c>
      <c r="D17" s="113">
        <f t="shared" ref="D17:K17" si="3">SUM(D15:D16)</f>
        <v>0</v>
      </c>
      <c r="E17" s="280">
        <f>SUM(E15:E16)</f>
        <v>1229</v>
      </c>
      <c r="F17" s="113">
        <f t="shared" si="3"/>
        <v>1087</v>
      </c>
      <c r="G17" s="113">
        <f t="shared" si="3"/>
        <v>1066</v>
      </c>
      <c r="H17" s="113">
        <f t="shared" si="3"/>
        <v>0</v>
      </c>
      <c r="I17" s="113">
        <f>SUM(I15:I16)</f>
        <v>0</v>
      </c>
      <c r="J17" s="113">
        <f t="shared" si="3"/>
        <v>100</v>
      </c>
      <c r="K17" s="113">
        <f t="shared" si="3"/>
        <v>0</v>
      </c>
      <c r="L17" s="114">
        <f t="shared" si="2"/>
        <v>3636</v>
      </c>
    </row>
    <row r="18" spans="1:12" x14ac:dyDescent="0.2">
      <c r="A18" s="64" t="s">
        <v>62</v>
      </c>
      <c r="B18" s="115">
        <f>'[4]Shuttle America'!$EI$8</f>
        <v>0</v>
      </c>
      <c r="C18" s="115">
        <f>'[4]Shuttle America_Delta'!$EI$8</f>
        <v>0</v>
      </c>
      <c r="D18" s="115">
        <f>[4]AirCanada!$EI$8</f>
        <v>0</v>
      </c>
      <c r="E18" s="21">
        <f>[4]Compass!$EI$8</f>
        <v>0</v>
      </c>
      <c r="F18" s="105">
        <f>'[4]Atlantic Southeast'!$EI$8</f>
        <v>0</v>
      </c>
      <c r="G18" s="105">
        <f>'[4]Continental Express'!$EI$8</f>
        <v>0</v>
      </c>
      <c r="H18" s="115">
        <f>'[4]Go Jet_UA'!$EI$8</f>
        <v>0</v>
      </c>
      <c r="I18" s="21">
        <f>'[4]Go Jet'!$EI$8</f>
        <v>0</v>
      </c>
      <c r="J18" s="116">
        <f>'[4]Air Wisconsin'!$EI$8</f>
        <v>0</v>
      </c>
      <c r="K18" s="115">
        <f>[4]MESA!$EI$8</f>
        <v>0</v>
      </c>
      <c r="L18" s="106">
        <f t="shared" si="2"/>
        <v>0</v>
      </c>
    </row>
    <row r="19" spans="1:12" x14ac:dyDescent="0.2">
      <c r="A19" s="64" t="s">
        <v>63</v>
      </c>
      <c r="B19" s="117">
        <f>'[4]Shuttle America'!$EI$9</f>
        <v>0</v>
      </c>
      <c r="C19" s="117">
        <f>'[4]Shuttle America_Delta'!$EI$9</f>
        <v>0</v>
      </c>
      <c r="D19" s="117">
        <f>[4]AirCanada!$EI$9</f>
        <v>0</v>
      </c>
      <c r="E19" s="14">
        <f>[4]Compass!$EI$9</f>
        <v>4</v>
      </c>
      <c r="F19" s="110">
        <f>'[4]Atlantic Southeast'!$EI$9</f>
        <v>2</v>
      </c>
      <c r="G19" s="110">
        <f>'[4]Continental Express'!$EI$9</f>
        <v>0</v>
      </c>
      <c r="H19" s="117">
        <f>'[4]Go Jet_UA'!$EI$9</f>
        <v>0</v>
      </c>
      <c r="I19" s="14">
        <f>'[4]Go Jet'!$EI$9</f>
        <v>0</v>
      </c>
      <c r="J19" s="118">
        <f>'[4]Air Wisconsin'!$EI$9</f>
        <v>0</v>
      </c>
      <c r="K19" s="117">
        <f>[4]MESA!$EI$9</f>
        <v>0</v>
      </c>
      <c r="L19" s="112">
        <f t="shared" si="2"/>
        <v>6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0</v>
      </c>
      <c r="D20" s="113">
        <f t="shared" ref="D20:K20" si="4">SUM(D18:D19)</f>
        <v>0</v>
      </c>
      <c r="E20" s="280">
        <f>SUM(E18:E19)</f>
        <v>4</v>
      </c>
      <c r="F20" s="113">
        <f t="shared" si="4"/>
        <v>2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2"/>
        <v>6</v>
      </c>
    </row>
    <row r="21" spans="1:12" ht="15.75" thickBot="1" x14ac:dyDescent="0.3">
      <c r="A21" s="74" t="s">
        <v>31</v>
      </c>
      <c r="B21" s="119">
        <f>SUM(B20,B17)</f>
        <v>0</v>
      </c>
      <c r="C21" s="119">
        <f>SUM(C20,C17)</f>
        <v>154</v>
      </c>
      <c r="D21" s="119">
        <f t="shared" ref="D21:K21" si="5">SUM(D20,D17)</f>
        <v>0</v>
      </c>
      <c r="E21" s="119">
        <f t="shared" si="5"/>
        <v>1233</v>
      </c>
      <c r="F21" s="119">
        <f t="shared" si="5"/>
        <v>1089</v>
      </c>
      <c r="G21" s="119">
        <f t="shared" si="5"/>
        <v>1066</v>
      </c>
      <c r="H21" s="119">
        <f t="shared" si="5"/>
        <v>0</v>
      </c>
      <c r="I21" s="119">
        <f>SUM(I20,I17)</f>
        <v>0</v>
      </c>
      <c r="J21" s="119">
        <f t="shared" si="5"/>
        <v>100</v>
      </c>
      <c r="K21" s="119">
        <f t="shared" si="5"/>
        <v>0</v>
      </c>
      <c r="L21" s="120">
        <f t="shared" si="2"/>
        <v>3642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'[4]Shuttle America'!$EI$47</f>
        <v>0</v>
      </c>
      <c r="C25" s="127">
        <f>'[4]Shuttle America_Delta'!$EI$47</f>
        <v>0</v>
      </c>
      <c r="D25" s="127">
        <f>[4]AirCanada!$EI$47</f>
        <v>0</v>
      </c>
      <c r="E25" s="127">
        <f>[4]Compass!$EI$47</f>
        <v>0</v>
      </c>
      <c r="F25" s="128">
        <f>'[4]Atlantic Southeast'!$EI$47</f>
        <v>0</v>
      </c>
      <c r="G25" s="128">
        <f>'[4]Continental Express'!$EI$47</f>
        <v>0</v>
      </c>
      <c r="H25" s="127">
        <f>'[4]Go Jet_UA'!$EI$47</f>
        <v>0</v>
      </c>
      <c r="I25" s="127">
        <f>'[4]Go Jet'!$EI$47</f>
        <v>0</v>
      </c>
      <c r="J25" s="129">
        <f>'[4]Air Wisconsin'!$EI$47</f>
        <v>0</v>
      </c>
      <c r="K25" s="127">
        <f>[4]MESA!$EI$47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'[4]Shuttle America'!$EI$48</f>
        <v>0</v>
      </c>
      <c r="C26" s="127">
        <f>'[4]Shuttle America_Delta'!$EI$48</f>
        <v>0</v>
      </c>
      <c r="D26" s="127">
        <f>[4]AirCanada!$EI$48</f>
        <v>0</v>
      </c>
      <c r="E26" s="127">
        <f>[4]Compass!$EI$48</f>
        <v>0</v>
      </c>
      <c r="F26" s="128">
        <f>'[4]Atlantic Southeast'!$EI$48</f>
        <v>0</v>
      </c>
      <c r="G26" s="128">
        <f>'[4]Continental Express'!$EI$48</f>
        <v>0</v>
      </c>
      <c r="H26" s="127">
        <f>'[4]Go Jet_UA'!$EI$48</f>
        <v>0</v>
      </c>
      <c r="I26" s="127">
        <f>'[4]Go Jet'!$EI$48</f>
        <v>0</v>
      </c>
      <c r="J26" s="129">
        <f>'[4]Air Wisconsin'!$EI$48</f>
        <v>0</v>
      </c>
      <c r="K26" s="127">
        <f>[4]MESA!$EI$48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'[4]Shuttle America'!$EI$52</f>
        <v>0</v>
      </c>
      <c r="C30" s="127">
        <f>'[4]Shuttle America_Delta'!$EI$52</f>
        <v>0</v>
      </c>
      <c r="D30" s="127">
        <f>[4]AirCanada!$EI$52</f>
        <v>0</v>
      </c>
      <c r="E30" s="127">
        <f>[4]Compass!$EI$52</f>
        <v>0</v>
      </c>
      <c r="F30" s="128">
        <f>'[4]Atlantic Southeast'!$EI$52</f>
        <v>0</v>
      </c>
      <c r="G30" s="128">
        <f>'[4]Continental Express'!$EI$52</f>
        <v>0</v>
      </c>
      <c r="H30" s="127">
        <f>'[4]Go Jet_UA'!$EI$52</f>
        <v>0</v>
      </c>
      <c r="I30" s="127">
        <f>'[4]Go Jet'!$EI$52</f>
        <v>0</v>
      </c>
      <c r="J30" s="129">
        <f>'[4]Air Wisconsin'!BH$52</f>
        <v>0</v>
      </c>
      <c r="K30" s="127">
        <f>[4]MESA!$EI$52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'[4]Shuttle America'!$EI$53</f>
        <v>0</v>
      </c>
      <c r="C31" s="127">
        <f>'[4]Shuttle America_Delta'!$EI$53</f>
        <v>0</v>
      </c>
      <c r="D31" s="127">
        <f>[4]AirCanada!$EI$53</f>
        <v>0</v>
      </c>
      <c r="E31" s="127">
        <f>[4]Compass!$EI$53</f>
        <v>0</v>
      </c>
      <c r="F31" s="128">
        <f>'[4]Atlantic Southeast'!$EI$53</f>
        <v>0</v>
      </c>
      <c r="G31" s="128">
        <f>'[4]Continental Express'!$EI$53</f>
        <v>0</v>
      </c>
      <c r="H31" s="127">
        <f>'[4]Go Jet_UA'!$EI$53</f>
        <v>0</v>
      </c>
      <c r="I31" s="127">
        <f>'[4]Go Jet'!$EI$53</f>
        <v>0</v>
      </c>
      <c r="J31" s="129">
        <f>'[4]Air Wisconsin'!$EI$53</f>
        <v>0</v>
      </c>
      <c r="K31" s="127">
        <f>[4]MESA!$EI$53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'[4]Shuttle America'!$EI$57</f>
        <v>0</v>
      </c>
      <c r="C35" s="127">
        <f>'[4]Shuttle America_Delta'!$EI$57</f>
        <v>0</v>
      </c>
      <c r="D35" s="127">
        <f>[4]AirCanada!$EI$57</f>
        <v>0</v>
      </c>
      <c r="E35" s="127">
        <f>[4]Compass!$EI$57</f>
        <v>0</v>
      </c>
      <c r="F35" s="128">
        <f>'[4]Atlantic Southeast'!$EI$57</f>
        <v>0</v>
      </c>
      <c r="G35" s="128">
        <f>'[4]Continental Express'!$EI$57</f>
        <v>0</v>
      </c>
      <c r="H35" s="127">
        <f>'[4]Go Jet_UA'!$AJ$57</f>
        <v>0</v>
      </c>
      <c r="I35" s="127">
        <f>'[4]Go Jet'!$AJ$57</f>
        <v>0</v>
      </c>
      <c r="J35" s="129">
        <f>'[4]Air Wisconsin'!BG$57</f>
        <v>0</v>
      </c>
      <c r="K35" s="127">
        <f>[4]MESA!$AJ$57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'[4]Shuttle America'!BG$58</f>
        <v>0</v>
      </c>
      <c r="C36" s="127">
        <f>'[4]Shuttle America_Delta'!BH$58</f>
        <v>0</v>
      </c>
      <c r="D36" s="127">
        <f>[4]AirCanada!BG$58</f>
        <v>0</v>
      </c>
      <c r="E36" s="127">
        <f>[4]Compass!BG$58</f>
        <v>0</v>
      </c>
      <c r="F36" s="128">
        <f>'[4]Atlantic Southeast'!BG$58</f>
        <v>0</v>
      </c>
      <c r="G36" s="128">
        <f>'[4]Continental Express'!BG$58</f>
        <v>0</v>
      </c>
      <c r="H36" s="127">
        <f>'[4]Go Jet_UA'!$AJ$58</f>
        <v>0</v>
      </c>
      <c r="I36" s="127">
        <f>'[4]Go Jet'!$AJ$58</f>
        <v>0</v>
      </c>
      <c r="J36" s="129">
        <f>'[4]Air Wisconsin'!BG$58</f>
        <v>0</v>
      </c>
      <c r="K36" s="127">
        <f>[4]MESA!$AJ$58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138</v>
      </c>
      <c r="E44" s="315">
        <f>[4]Compass!BG$70+[4]Compass!BG$73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139</v>
      </c>
      <c r="E45" s="315">
        <f>[4]Compass!BG$71+[4]Compass!BG$74</f>
        <v>47176</v>
      </c>
      <c r="F45" s="319"/>
      <c r="L45" s="304">
        <f>SUM(E45:E45)</f>
        <v>47176</v>
      </c>
    </row>
    <row r="46" spans="1:12" x14ac:dyDescent="0.2">
      <c r="A46" s="391" t="s">
        <v>135</v>
      </c>
      <c r="C46" s="315">
        <f>'[4]Shuttle America_Delta'!$EI$70+'[4]Shuttle America_Delta'!$EI$73</f>
        <v>1335</v>
      </c>
      <c r="E46" s="315">
        <f>[4]Compass!$EI$70+[4]Compass!$EI$73</f>
        <v>15970</v>
      </c>
      <c r="F46" s="315">
        <f>'[4]Atlantic Southeast'!$EI$70+'[4]Atlantic Southeast'!$EI$73</f>
        <v>10444</v>
      </c>
      <c r="H46" s="315">
        <f>'[4]Go Jet'!$EI$70+'[4]Go Jet'!$EI$73</f>
        <v>0</v>
      </c>
      <c r="I46" s="5"/>
      <c r="L46" s="406">
        <f>SUM(B46:K46)</f>
        <v>27749</v>
      </c>
    </row>
    <row r="47" spans="1:12" x14ac:dyDescent="0.2">
      <c r="A47" s="407" t="s">
        <v>136</v>
      </c>
      <c r="C47" s="315">
        <f>'[4]Shuttle America_Delta'!$EI$71+'[4]Shuttle America_Delta'!$EI$74</f>
        <v>1883</v>
      </c>
      <c r="E47" s="315">
        <f>[4]Compass!$EI$71+[4]Compass!$EI$74</f>
        <v>22421</v>
      </c>
      <c r="F47" s="315">
        <f>'[4]Atlantic Southeast'!$EI$71+'[4]Atlantic Southeast'!$EI$74</f>
        <v>19566</v>
      </c>
      <c r="H47" s="315">
        <f>'[4]Go Jet'!$EI$71+'[4]Go Jet'!$EI$74</f>
        <v>0</v>
      </c>
      <c r="I47" s="5"/>
      <c r="L47" s="406">
        <f>SUM(B47:K47)</f>
        <v>43870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December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9"/>
  <sheetViews>
    <sheetView topLeftCell="A19" zoomScale="115" zoomScaleNormal="115" workbookViewId="0">
      <selection activeCell="H34" sqref="H3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6">
        <v>42339</v>
      </c>
      <c r="B2" s="471" t="s">
        <v>130</v>
      </c>
      <c r="C2" s="471" t="s">
        <v>176</v>
      </c>
      <c r="D2" s="472" t="s">
        <v>84</v>
      </c>
      <c r="E2" s="472" t="s">
        <v>177</v>
      </c>
      <c r="F2" s="471" t="s">
        <v>145</v>
      </c>
      <c r="G2" s="473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1"/>
      <c r="C4" s="179"/>
      <c r="D4" s="179"/>
      <c r="E4" s="179"/>
      <c r="F4" s="179"/>
      <c r="G4" s="243"/>
    </row>
    <row r="5" spans="1:17" x14ac:dyDescent="0.2">
      <c r="A5" s="64" t="s">
        <v>33</v>
      </c>
      <c r="B5" s="441">
        <f>'[4]Charter Misc'!$EI$22</f>
        <v>72</v>
      </c>
      <c r="C5" s="179">
        <f>[4]Ryan!$EI$22</f>
        <v>0</v>
      </c>
      <c r="D5" s="179">
        <f>'[4]Charter Misc'!$EI$32</f>
        <v>0</v>
      </c>
      <c r="E5" s="179">
        <f>[4]Omni!$EI$32</f>
        <v>0</v>
      </c>
      <c r="F5" s="179">
        <f>[4]Xtra!$EI$32+[4]Xtra!$EI$22</f>
        <v>0</v>
      </c>
      <c r="G5" s="336">
        <f>SUM(B5:F5)</f>
        <v>72</v>
      </c>
    </row>
    <row r="6" spans="1:17" x14ac:dyDescent="0.2">
      <c r="A6" s="64" t="s">
        <v>34</v>
      </c>
      <c r="B6" s="442">
        <f>'[4]Charter Misc'!$EI$23</f>
        <v>72</v>
      </c>
      <c r="C6" s="182">
        <f>[4]Ryan!$EI$23</f>
        <v>0</v>
      </c>
      <c r="D6" s="182">
        <f>'[4]Charter Misc'!$EI$33</f>
        <v>0</v>
      </c>
      <c r="E6" s="182">
        <f>[4]Omni!$EI$33</f>
        <v>0</v>
      </c>
      <c r="F6" s="182">
        <f>[4]Xtra!$EI$33+[4]Xtra!$EI$23</f>
        <v>0</v>
      </c>
      <c r="G6" s="335">
        <f>SUM(B6:F6)</f>
        <v>72</v>
      </c>
    </row>
    <row r="7" spans="1:17" ht="15.75" thickBot="1" x14ac:dyDescent="0.3">
      <c r="A7" s="178" t="s">
        <v>7</v>
      </c>
      <c r="B7" s="443">
        <f>SUM(B5:B6)</f>
        <v>144</v>
      </c>
      <c r="C7" s="292">
        <f>SUM(C5:C6)</f>
        <v>0</v>
      </c>
      <c r="D7" s="292">
        <f>SUM(D5:D6)</f>
        <v>0</v>
      </c>
      <c r="E7" s="292">
        <f>SUM(E5:E6)</f>
        <v>0</v>
      </c>
      <c r="F7" s="292">
        <f>SUM(F5:F6)</f>
        <v>0</v>
      </c>
      <c r="G7" s="293">
        <f>SUM(B7:F7)</f>
        <v>144</v>
      </c>
    </row>
    <row r="8" spans="1:17" ht="13.5" thickBot="1" x14ac:dyDescent="0.25"/>
    <row r="9" spans="1:17" x14ac:dyDescent="0.2">
      <c r="A9" s="176" t="s">
        <v>9</v>
      </c>
      <c r="B9" s="444"/>
      <c r="C9" s="46"/>
      <c r="D9" s="46"/>
      <c r="E9" s="46"/>
      <c r="F9" s="46"/>
      <c r="G9" s="59"/>
    </row>
    <row r="10" spans="1:17" x14ac:dyDescent="0.2">
      <c r="A10" s="177" t="s">
        <v>86</v>
      </c>
      <c r="B10" s="441">
        <f>'[4]Charter Misc'!$EI$4</f>
        <v>2</v>
      </c>
      <c r="C10" s="179">
        <f>[4]Ryan!$EI$4</f>
        <v>0</v>
      </c>
      <c r="D10" s="179">
        <f>'[4]Charter Misc'!$EI$15</f>
        <v>0</v>
      </c>
      <c r="E10" s="179">
        <f>[4]Omni!$EI$15</f>
        <v>0</v>
      </c>
      <c r="F10" s="179">
        <f>[4]Xtra!$EI$15+[4]Xtra!$EI$4</f>
        <v>0</v>
      </c>
      <c r="G10" s="335">
        <f>SUM(B10:F10)</f>
        <v>2</v>
      </c>
    </row>
    <row r="11" spans="1:17" x14ac:dyDescent="0.2">
      <c r="A11" s="177" t="s">
        <v>87</v>
      </c>
      <c r="B11" s="441">
        <f>'[4]Charter Misc'!$EI$5</f>
        <v>2</v>
      </c>
      <c r="C11" s="179">
        <f>[4]Ryan!$EI$5</f>
        <v>0</v>
      </c>
      <c r="D11" s="179">
        <f>'[4]Charter Misc'!$EI$16</f>
        <v>0</v>
      </c>
      <c r="E11" s="179">
        <f>[4]Omni!$EI$16</f>
        <v>0</v>
      </c>
      <c r="F11" s="179">
        <f>[4]Xtra!$EI$16+[4]Xtra!$EI$5</f>
        <v>0</v>
      </c>
      <c r="G11" s="335">
        <f>SUM(B11:F11)</f>
        <v>2</v>
      </c>
    </row>
    <row r="12" spans="1:17" ht="15.75" thickBot="1" x14ac:dyDescent="0.3">
      <c r="A12" s="271" t="s">
        <v>31</v>
      </c>
      <c r="B12" s="445">
        <f>SUM(B10:B11)</f>
        <v>4</v>
      </c>
      <c r="C12" s="294">
        <f>SUM(C10:C11)</f>
        <v>0</v>
      </c>
      <c r="D12" s="294">
        <f>SUM(D10:D11)</f>
        <v>0</v>
      </c>
      <c r="E12" s="294">
        <f>SUM(E10:E11)</f>
        <v>0</v>
      </c>
      <c r="F12" s="294">
        <f>SUM(F10:F11)</f>
        <v>0</v>
      </c>
      <c r="G12" s="295">
        <f>SUM(B12:F12)</f>
        <v>4</v>
      </c>
      <c r="Q12" s="127"/>
    </row>
    <row r="17" spans="1:16" x14ac:dyDescent="0.2">
      <c r="B17" s="490" t="s">
        <v>174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2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1"/>
      <c r="B19" s="493" t="s">
        <v>132</v>
      </c>
      <c r="C19" s="494"/>
      <c r="D19" s="494"/>
      <c r="E19" s="495"/>
      <c r="G19" s="493" t="s">
        <v>133</v>
      </c>
      <c r="H19" s="496"/>
      <c r="I19" s="496"/>
      <c r="J19" s="497"/>
      <c r="L19" s="498" t="s">
        <v>134</v>
      </c>
      <c r="M19" s="499"/>
      <c r="N19" s="499"/>
      <c r="O19" s="500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207</v>
      </c>
      <c r="E20" s="8" t="s">
        <v>185</v>
      </c>
      <c r="F20" s="232" t="s">
        <v>108</v>
      </c>
      <c r="G20" s="8" t="s">
        <v>113</v>
      </c>
      <c r="H20" s="8" t="s">
        <v>114</v>
      </c>
      <c r="I20" s="8" t="s">
        <v>207</v>
      </c>
      <c r="J20" s="8" t="s">
        <v>185</v>
      </c>
      <c r="K20" s="232" t="s">
        <v>108</v>
      </c>
      <c r="L20" s="231" t="s">
        <v>113</v>
      </c>
      <c r="M20" s="225" t="s">
        <v>114</v>
      </c>
      <c r="N20" s="8" t="s">
        <v>207</v>
      </c>
      <c r="O20" s="8" t="s">
        <v>185</v>
      </c>
      <c r="P20" s="232" t="s">
        <v>108</v>
      </c>
    </row>
    <row r="21" spans="1:16" ht="14.1" customHeight="1" x14ac:dyDescent="0.2">
      <c r="A21" s="235" t="s">
        <v>115</v>
      </c>
      <c r="B21" s="330">
        <f>[5]Charter!$B$21</f>
        <v>118818</v>
      </c>
      <c r="C21" s="331">
        <f>[5]Charter!$C$21</f>
        <v>117747</v>
      </c>
      <c r="D21" s="331">
        <f t="shared" ref="D21:D32" si="0">SUM(B21:C21)</f>
        <v>236565</v>
      </c>
      <c r="E21" s="332">
        <f>[6]Charter!$D$21</f>
        <v>216467</v>
      </c>
      <c r="F21" s="334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[6]Charter!$I$21</f>
        <v>2341884</v>
      </c>
      <c r="K21" s="236">
        <f t="shared" ref="K21:K32" si="4">(I21-J21)/J21</f>
        <v>6.6403801383843096E-3</v>
      </c>
      <c r="L21" s="330">
        <f>[5]Charter!$L$21</f>
        <v>1288513</v>
      </c>
      <c r="M21" s="331">
        <f>[5]Charter!$M$21</f>
        <v>1305487</v>
      </c>
      <c r="N21" s="331">
        <f t="shared" ref="N21:N32" si="5">SUM(L21:M21)</f>
        <v>2594000</v>
      </c>
      <c r="O21" s="332">
        <f>[6]Charter!$N$21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[7]Charter!$B$22</f>
        <v>125389</v>
      </c>
      <c r="C22" s="328">
        <f>[7]Charter!$C$22</f>
        <v>126341</v>
      </c>
      <c r="D22" s="327">
        <f t="shared" ref="D22:D26" si="6">SUM(B22:C22)</f>
        <v>251730</v>
      </c>
      <c r="E22" s="333">
        <f>[8]Charter!$D$22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3">
        <f>[8]Charter!$I$22</f>
        <v>2230304</v>
      </c>
      <c r="K22" s="239">
        <f t="shared" si="4"/>
        <v>2.1647721566208016E-2</v>
      </c>
      <c r="L22" s="326">
        <f>[7]Charter!$L$22</f>
        <v>1252095</v>
      </c>
      <c r="M22" s="328">
        <f>[7]Charter!$M$22</f>
        <v>1278220</v>
      </c>
      <c r="N22" s="327">
        <f t="shared" ref="N22:N26" si="7">SUM(L22:M22)</f>
        <v>2530315</v>
      </c>
      <c r="O22" s="333">
        <f>[8]Charter!$N$22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[9]Charter!$B$23</f>
        <v>156527</v>
      </c>
      <c r="C23" s="328">
        <f>[9]Charter!$C$23</f>
        <v>155705</v>
      </c>
      <c r="D23" s="327">
        <f t="shared" si="6"/>
        <v>312232</v>
      </c>
      <c r="E23" s="333">
        <f>[10]Charter!$D$23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3">
        <f>[10]Charter!$I$23</f>
        <v>2929019</v>
      </c>
      <c r="K23" s="239">
        <f t="shared" si="4"/>
        <v>-5.7169311636421612E-3</v>
      </c>
      <c r="L23" s="326">
        <f>[9]Charter!$L$23</f>
        <v>1594951</v>
      </c>
      <c r="M23" s="328">
        <f>[9]Charter!$M$23</f>
        <v>1629555</v>
      </c>
      <c r="N23" s="327">
        <f t="shared" si="7"/>
        <v>3224506</v>
      </c>
      <c r="O23" s="333">
        <f>[10]Charter!$N$23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[11]Charter!$B$24</f>
        <v>110964</v>
      </c>
      <c r="C24" s="328">
        <f>[11]Charter!$C$24</f>
        <v>94306</v>
      </c>
      <c r="D24" s="327">
        <f t="shared" si="6"/>
        <v>205270</v>
      </c>
      <c r="E24" s="333">
        <f>[12]Charter!$D$24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3">
        <f>[12]Charter!$I$24</f>
        <v>2635560</v>
      </c>
      <c r="K24" s="239">
        <f t="shared" si="4"/>
        <v>2.4231282915205876E-2</v>
      </c>
      <c r="L24" s="326">
        <f>[11]Charter!$L$24</f>
        <v>1510326</v>
      </c>
      <c r="M24" s="328">
        <f>[11]Charter!$M$24</f>
        <v>1394367</v>
      </c>
      <c r="N24" s="327">
        <f t="shared" si="7"/>
        <v>2904693</v>
      </c>
      <c r="O24" s="333">
        <f>[12]Charter!$N$24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[13]Charter!$B$25</f>
        <v>96016</v>
      </c>
      <c r="C25" s="328">
        <f>[13]Charter!$C$25</f>
        <v>102383</v>
      </c>
      <c r="D25" s="327">
        <f t="shared" si="6"/>
        <v>198399</v>
      </c>
      <c r="E25" s="333">
        <f>[14]Charter!$D$25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3">
        <f>[14]Charter!$I$25</f>
        <v>2772364</v>
      </c>
      <c r="K25" s="233">
        <f t="shared" si="4"/>
        <v>2.2771180119205127E-2</v>
      </c>
      <c r="L25" s="326">
        <f>[13]Charter!$L$25</f>
        <v>1528639</v>
      </c>
      <c r="M25" s="328">
        <f>[13]Charter!$M$25</f>
        <v>1505254</v>
      </c>
      <c r="N25" s="327">
        <f t="shared" si="7"/>
        <v>3033893</v>
      </c>
      <c r="O25" s="333">
        <f>[14]Charter!$N$25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[15]Charter!$B$26</f>
        <v>109579</v>
      </c>
      <c r="C26" s="328">
        <f>[15]Charter!$C$26</f>
        <v>112322</v>
      </c>
      <c r="D26" s="327">
        <f t="shared" si="6"/>
        <v>221901</v>
      </c>
      <c r="E26" s="333">
        <f>[16]Charter!$D$26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3">
        <f>[16]Charter!$I$26</f>
        <v>3028988</v>
      </c>
      <c r="K26" s="239">
        <f t="shared" si="4"/>
        <v>4.073043537973739E-2</v>
      </c>
      <c r="L26" s="326">
        <f>[15]Charter!$L$26</f>
        <v>1693407</v>
      </c>
      <c r="M26" s="328">
        <f>[15]Charter!$M$26</f>
        <v>1680854</v>
      </c>
      <c r="N26" s="327">
        <f t="shared" si="7"/>
        <v>3374261</v>
      </c>
      <c r="O26" s="333">
        <f>[16]Charter!$N$26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[17]Charter!$B$27</f>
        <v>122712</v>
      </c>
      <c r="C27" s="328">
        <f>[17]Charter!$C$27</f>
        <v>113262</v>
      </c>
      <c r="D27" s="327">
        <f t="shared" ref="D27" si="18">SUM(B27:C27)</f>
        <v>235974</v>
      </c>
      <c r="E27" s="333">
        <f>[18]Charter!$D$27</f>
        <v>224198</v>
      </c>
      <c r="F27" s="227">
        <f t="shared" si="1"/>
        <v>5.2525000223017156E-2</v>
      </c>
      <c r="G27" s="326">
        <f t="shared" ref="G27" si="19">L27-B27</f>
        <v>1664556</v>
      </c>
      <c r="H27" s="328">
        <f t="shared" ref="H27" si="20">M27-C27</f>
        <v>1668508</v>
      </c>
      <c r="I27" s="327">
        <f t="shared" ref="I27" si="21">SUM(G27:H27)</f>
        <v>3333064</v>
      </c>
      <c r="J27" s="333">
        <f>[18]Charter!$I$27</f>
        <v>3212606</v>
      </c>
      <c r="K27" s="233">
        <f t="shared" si="4"/>
        <v>3.7495416493650326E-2</v>
      </c>
      <c r="L27" s="326">
        <f>[17]Charter!$L$27</f>
        <v>1787268</v>
      </c>
      <c r="M27" s="328">
        <f>[17]Charter!$M$27</f>
        <v>1781770</v>
      </c>
      <c r="N27" s="327">
        <f t="shared" ref="N27" si="22">SUM(L27:M27)</f>
        <v>3569038</v>
      </c>
      <c r="O27" s="333">
        <f>[18]Charter!$N$27</f>
        <v>3436804</v>
      </c>
      <c r="P27" s="227">
        <f t="shared" si="8"/>
        <v>3.8475863040196651E-2</v>
      </c>
    </row>
    <row r="28" spans="1:16" ht="14.1" customHeight="1" x14ac:dyDescent="0.2">
      <c r="A28" s="237" t="s">
        <v>121</v>
      </c>
      <c r="B28" s="326">
        <f>[19]Charter!$B$28</f>
        <v>120400</v>
      </c>
      <c r="C28" s="328">
        <f>[19]Charter!$C$28</f>
        <v>116611</v>
      </c>
      <c r="D28" s="327">
        <f t="shared" ref="D28" si="23">SUM(B28:C28)</f>
        <v>237011</v>
      </c>
      <c r="E28" s="333">
        <f>[20]Charter!$D$28</f>
        <v>228292</v>
      </c>
      <c r="F28" s="238">
        <f t="shared" si="1"/>
        <v>3.8192315105216125E-2</v>
      </c>
      <c r="G28" s="326">
        <f t="shared" ref="G28" si="24">L28-B28</f>
        <v>1648656</v>
      </c>
      <c r="H28" s="328">
        <f t="shared" ref="H28" si="25">M28-C28</f>
        <v>1642044</v>
      </c>
      <c r="I28" s="327">
        <f t="shared" ref="I28" si="26">SUM(G28:H28)</f>
        <v>3290700</v>
      </c>
      <c r="J28" s="333">
        <f>[20]Charter!$I$28</f>
        <v>3172712</v>
      </c>
      <c r="K28" s="239">
        <f t="shared" si="4"/>
        <v>3.7188373858074733E-2</v>
      </c>
      <c r="L28" s="326">
        <f>[19]Charter!$L$28</f>
        <v>1769056</v>
      </c>
      <c r="M28" s="328">
        <f>[19]Charter!$M$28</f>
        <v>1758655</v>
      </c>
      <c r="N28" s="327">
        <f t="shared" ref="N28" si="27">SUM(L28:M28)</f>
        <v>3527711</v>
      </c>
      <c r="O28" s="333">
        <f>[20]Charter!$N$28</f>
        <v>3401004</v>
      </c>
      <c r="P28" s="238">
        <f t="shared" si="8"/>
        <v>3.7255763298131961E-2</v>
      </c>
    </row>
    <row r="29" spans="1:16" ht="14.1" customHeight="1" x14ac:dyDescent="0.2">
      <c r="A29" s="224" t="s">
        <v>122</v>
      </c>
      <c r="B29" s="326">
        <f>[21]Charter!$B$29</f>
        <v>100150</v>
      </c>
      <c r="C29" s="328">
        <f>[21]Charter!$C$29</f>
        <v>100332</v>
      </c>
      <c r="D29" s="327">
        <f t="shared" ref="D29" si="28">SUM(B29:C29)</f>
        <v>200482</v>
      </c>
      <c r="E29" s="333">
        <f>[22]Charter!$D$29</f>
        <v>180200</v>
      </c>
      <c r="F29" s="227">
        <f t="shared" si="1"/>
        <v>0.1125527192008879</v>
      </c>
      <c r="G29" s="326">
        <f t="shared" ref="G29" si="29">L29-B29</f>
        <v>1399520</v>
      </c>
      <c r="H29" s="328">
        <f t="shared" ref="H29" si="30">M29-C29</f>
        <v>1406838</v>
      </c>
      <c r="I29" s="327">
        <f t="shared" ref="I29" si="31">SUM(G29:H29)</f>
        <v>2806358</v>
      </c>
      <c r="J29" s="333">
        <f>[22]Charter!$I$29</f>
        <v>2642882</v>
      </c>
      <c r="K29" s="233">
        <f t="shared" si="4"/>
        <v>6.1855202010532441E-2</v>
      </c>
      <c r="L29" s="326">
        <f>[21]Charter!$L$29</f>
        <v>1499670</v>
      </c>
      <c r="M29" s="328">
        <f>[21]Charter!$M$29</f>
        <v>1507170</v>
      </c>
      <c r="N29" s="327">
        <f t="shared" ref="N29" si="32">SUM(L29:M29)</f>
        <v>3006840</v>
      </c>
      <c r="O29" s="333">
        <f>[22]Charter!$N$29</f>
        <v>2823082</v>
      </c>
      <c r="P29" s="227">
        <f t="shared" si="8"/>
        <v>6.5091272587902163E-2</v>
      </c>
    </row>
    <row r="30" spans="1:16" ht="14.1" customHeight="1" x14ac:dyDescent="0.2">
      <c r="A30" s="237" t="s">
        <v>123</v>
      </c>
      <c r="B30" s="326">
        <f>[23]Charter!$B$30</f>
        <v>99024</v>
      </c>
      <c r="C30" s="328">
        <f>[23]Charter!$C$30</f>
        <v>94415</v>
      </c>
      <c r="D30" s="327">
        <f t="shared" ref="D30" si="33">SUM(B30:C30)</f>
        <v>193439</v>
      </c>
      <c r="E30" s="333">
        <f>[24]Charter!$D$30</f>
        <v>169029</v>
      </c>
      <c r="F30" s="238">
        <f t="shared" si="1"/>
        <v>0.14441308887823984</v>
      </c>
      <c r="G30" s="326">
        <f t="shared" ref="G30" si="34">L30-B30</f>
        <v>1475793</v>
      </c>
      <c r="H30" s="328">
        <f t="shared" ref="H30" si="35">M30-C30</f>
        <v>1490247</v>
      </c>
      <c r="I30" s="327">
        <f>SUM(G30:H30)</f>
        <v>2966040</v>
      </c>
      <c r="J30" s="333">
        <f>[24]Charter!$I$30</f>
        <v>2793681</v>
      </c>
      <c r="K30" s="239">
        <f t="shared" si="4"/>
        <v>6.1696020411779295E-2</v>
      </c>
      <c r="L30" s="326">
        <f>[23]Charter!$L$30</f>
        <v>1574817</v>
      </c>
      <c r="M30" s="328">
        <f>[23]Charter!$M$30</f>
        <v>1584662</v>
      </c>
      <c r="N30" s="327">
        <f t="shared" ref="N30" si="36">SUM(L30:M30)</f>
        <v>3159479</v>
      </c>
      <c r="O30" s="333">
        <f>[24]Charter!$N$30</f>
        <v>2962710</v>
      </c>
      <c r="P30" s="238">
        <f t="shared" si="8"/>
        <v>6.6415207698357251E-2</v>
      </c>
    </row>
    <row r="31" spans="1:16" ht="14.1" customHeight="1" x14ac:dyDescent="0.2">
      <c r="A31" s="224" t="s">
        <v>124</v>
      </c>
      <c r="B31" s="326">
        <f>[2]Charter!$B$31</f>
        <v>98120</v>
      </c>
      <c r="C31" s="328">
        <f>[2]Charter!$C$31</f>
        <v>94632</v>
      </c>
      <c r="D31" s="327">
        <f t="shared" ref="D31" si="37">SUM(B31:C31)</f>
        <v>192752</v>
      </c>
      <c r="E31" s="333">
        <f>[25]Charter!$D$31</f>
        <v>142356</v>
      </c>
      <c r="F31" s="227">
        <f t="shared" si="1"/>
        <v>0.35401388069347273</v>
      </c>
      <c r="G31" s="326">
        <f t="shared" ref="G31" si="38">L31-B31</f>
        <v>1319517</v>
      </c>
      <c r="H31" s="328">
        <f t="shared" ref="H31" si="39">M31-C31</f>
        <v>1325081</v>
      </c>
      <c r="I31" s="327">
        <f>SUM(G31:H31)</f>
        <v>2644598</v>
      </c>
      <c r="J31" s="333">
        <f>[25]Charter!$I$31</f>
        <v>2410754</v>
      </c>
      <c r="K31" s="233">
        <f t="shared" si="4"/>
        <v>9.7000357564479833E-2</v>
      </c>
      <c r="L31" s="326">
        <f>[2]Charter!$L$31</f>
        <v>1417637</v>
      </c>
      <c r="M31" s="328">
        <f>[2]Charter!$M$31</f>
        <v>1419713</v>
      </c>
      <c r="N31" s="327">
        <f t="shared" ref="N31" si="40">SUM(L31:M31)</f>
        <v>2837350</v>
      </c>
      <c r="O31" s="333">
        <f>[25]Charter!$N$31</f>
        <v>2553110</v>
      </c>
      <c r="P31" s="227">
        <f t="shared" si="8"/>
        <v>0.11133088664413206</v>
      </c>
    </row>
    <row r="32" spans="1:16" ht="14.1" customHeight="1" x14ac:dyDescent="0.2">
      <c r="A32" s="240" t="s">
        <v>125</v>
      </c>
      <c r="B32" s="326">
        <f>'Intl Detail'!$N$4+'Intl Detail'!$N$9</f>
        <v>86725</v>
      </c>
      <c r="C32" s="328">
        <f>'Intl Detail'!$N$5+'Intl Detail'!$N$10</f>
        <v>99364</v>
      </c>
      <c r="D32" s="158">
        <f t="shared" si="0"/>
        <v>186089</v>
      </c>
      <c r="E32" s="333">
        <f>[1]Charter!$D$32</f>
        <v>175032</v>
      </c>
      <c r="F32" s="241">
        <f t="shared" si="1"/>
        <v>6.3171305818364637E-2</v>
      </c>
      <c r="G32" s="326">
        <f t="shared" ref="G32" si="41">L32-B32</f>
        <v>1306298</v>
      </c>
      <c r="H32" s="328">
        <f t="shared" ref="H32" si="42">M32-C32</f>
        <v>1329662</v>
      </c>
      <c r="I32" s="158">
        <f t="shared" ref="I32" si="43">SUM(G32:H32)</f>
        <v>2635960</v>
      </c>
      <c r="J32" s="333">
        <f>[1]Charter!$I$32</f>
        <v>2571365</v>
      </c>
      <c r="K32" s="241">
        <f t="shared" si="4"/>
        <v>2.5120898822220884E-2</v>
      </c>
      <c r="L32" s="326">
        <f>'Monthly Summary'!$B$11</f>
        <v>1393023</v>
      </c>
      <c r="M32" s="328">
        <f>'Monthly Summary'!$C$11</f>
        <v>1429026</v>
      </c>
      <c r="N32" s="158">
        <f t="shared" si="5"/>
        <v>2822049</v>
      </c>
      <c r="O32" s="333">
        <f>[1]Charter!$N$32</f>
        <v>2746397</v>
      </c>
      <c r="P32" s="241">
        <f t="shared" si="8"/>
        <v>2.7545908330077553E-2</v>
      </c>
    </row>
    <row r="33" spans="1:16" ht="13.5" thickBot="1" x14ac:dyDescent="0.25">
      <c r="A33" s="234" t="s">
        <v>83</v>
      </c>
      <c r="B33" s="244">
        <f>SUM(B21:B32)</f>
        <v>1344424</v>
      </c>
      <c r="C33" s="245">
        <f>SUM(C21:C32)</f>
        <v>1327420</v>
      </c>
      <c r="D33" s="245">
        <f>SUM(D21:D32)</f>
        <v>2671844</v>
      </c>
      <c r="E33" s="248">
        <f>SUM(E21:E32)</f>
        <v>2421071</v>
      </c>
      <c r="F33" s="229">
        <f>(D33-E33)/E33</f>
        <v>0.1035793663217642</v>
      </c>
      <c r="G33" s="247">
        <f>SUM(G21:G32)</f>
        <v>16964978</v>
      </c>
      <c r="H33" s="245">
        <f>SUM(H21:H32)</f>
        <v>16947313</v>
      </c>
      <c r="I33" s="245">
        <f>SUM(I21:I32)</f>
        <v>33912291</v>
      </c>
      <c r="J33" s="248">
        <f>SUM(J21:J32)</f>
        <v>32742119</v>
      </c>
      <c r="K33" s="230">
        <f>(I33-J33)/J33</f>
        <v>3.5739043035058302E-2</v>
      </c>
      <c r="L33" s="247">
        <f>SUM(L21:L32)</f>
        <v>18309402</v>
      </c>
      <c r="M33" s="245">
        <f>SUM(M21:M32)</f>
        <v>18274733</v>
      </c>
      <c r="N33" s="245">
        <f>SUM(N21:N32)</f>
        <v>36584135</v>
      </c>
      <c r="O33" s="246">
        <f>SUM(O21:O32)</f>
        <v>35163190</v>
      </c>
      <c r="P33" s="228">
        <f>(N33-O33)/O33</f>
        <v>4.0410013994748487E-2</v>
      </c>
    </row>
    <row r="35" spans="1:16" x14ac:dyDescent="0.2">
      <c r="N35" s="127"/>
      <c r="O35" s="127"/>
    </row>
    <row r="36" spans="1:16" x14ac:dyDescent="0.2">
      <c r="O36" s="127"/>
    </row>
    <row r="37" spans="1:16" x14ac:dyDescent="0.2">
      <c r="D37" s="127"/>
      <c r="N37" s="127"/>
      <c r="O37" s="127"/>
    </row>
    <row r="39" spans="1:16" x14ac:dyDescent="0.2">
      <c r="E39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4" sqref="C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4" t="s">
        <v>103</v>
      </c>
      <c r="C1" s="505"/>
      <c r="D1" s="505"/>
      <c r="E1" s="505"/>
      <c r="F1" s="455"/>
      <c r="G1" s="504" t="s">
        <v>102</v>
      </c>
      <c r="H1" s="506"/>
      <c r="I1" s="506"/>
      <c r="J1" s="506"/>
      <c r="K1" s="506"/>
      <c r="L1" s="507"/>
    </row>
    <row r="2" spans="1:20" s="186" customFormat="1" ht="30.75" customHeight="1" thickBot="1" x14ac:dyDescent="0.25">
      <c r="A2" s="396">
        <v>42339</v>
      </c>
      <c r="B2" s="474" t="s">
        <v>88</v>
      </c>
      <c r="C2" s="474" t="s">
        <v>89</v>
      </c>
      <c r="D2" s="474" t="s">
        <v>90</v>
      </c>
      <c r="E2" s="474" t="s">
        <v>91</v>
      </c>
      <c r="F2" s="475"/>
      <c r="G2" s="471" t="s">
        <v>92</v>
      </c>
      <c r="H2" s="471" t="s">
        <v>200</v>
      </c>
      <c r="I2" s="472" t="s">
        <v>93</v>
      </c>
      <c r="J2" s="474" t="s">
        <v>94</v>
      </c>
      <c r="K2" s="471" t="s">
        <v>95</v>
      </c>
      <c r="L2" s="471" t="s">
        <v>141</v>
      </c>
      <c r="M2" s="471" t="s">
        <v>24</v>
      </c>
    </row>
    <row r="3" spans="1:20" ht="15" x14ac:dyDescent="0.25">
      <c r="A3" s="193" t="s">
        <v>9</v>
      </c>
      <c r="B3" s="422"/>
      <c r="C3" s="194"/>
      <c r="D3" s="194"/>
      <c r="E3" s="194"/>
      <c r="F3" s="456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[4]Airborne!$EI$4</f>
        <v>0</v>
      </c>
      <c r="C4" s="483">
        <f>[4]DHL!$EI$4</f>
        <v>23</v>
      </c>
      <c r="D4" s="483">
        <f>[4]FedEx!$EI$4+[4]FedEx!$EI$15</f>
        <v>183</v>
      </c>
      <c r="E4" s="483">
        <f>[4]UPS!$EI$4+[4]UPS!$EI$15</f>
        <v>153</v>
      </c>
      <c r="F4" s="187"/>
      <c r="G4" s="115">
        <f>[4]ATI_BAX!$EI$4</f>
        <v>0</v>
      </c>
      <c r="H4" s="115">
        <f>'[4]Suburban Air Freight'!$EI$15</f>
        <v>21</v>
      </c>
      <c r="I4" s="115">
        <f>[4]Bemidji!$EI$4</f>
        <v>283</v>
      </c>
      <c r="J4" s="115">
        <f>'[4]CSA Air'!$EI$4</f>
        <v>23</v>
      </c>
      <c r="K4" s="115">
        <f>'[4]Mountain Cargo'!$EI$4</f>
        <v>0</v>
      </c>
      <c r="L4" s="115">
        <f>'[4]Misc Cargo'!$EI$4</f>
        <v>23</v>
      </c>
      <c r="M4" s="196">
        <f>SUM(B4:L4)</f>
        <v>709</v>
      </c>
    </row>
    <row r="5" spans="1:20" x14ac:dyDescent="0.2">
      <c r="A5" s="54" t="s">
        <v>60</v>
      </c>
      <c r="B5" s="423">
        <f>[4]Airborne!$EI$5</f>
        <v>0</v>
      </c>
      <c r="C5" s="192">
        <f>[4]DHL!$EI$5</f>
        <v>23</v>
      </c>
      <c r="D5" s="192">
        <f>[4]FedEx!$EI$5</f>
        <v>183</v>
      </c>
      <c r="E5" s="192">
        <f>[4]UPS!$EI$5</f>
        <v>138</v>
      </c>
      <c r="F5" s="187"/>
      <c r="G5" s="117">
        <f>[4]ATI_BAX!$EI$5</f>
        <v>0</v>
      </c>
      <c r="H5" s="117">
        <f>'[4]Suburban Air Freight'!$EI$16</f>
        <v>21</v>
      </c>
      <c r="I5" s="117">
        <f>[4]Bemidji!$EI$5</f>
        <v>283</v>
      </c>
      <c r="J5" s="117">
        <f>'[4]CSA Air'!$EI$5</f>
        <v>23</v>
      </c>
      <c r="K5" s="117">
        <f>'[4]Mountain Cargo'!$EI$5</f>
        <v>0</v>
      </c>
      <c r="L5" s="117">
        <f>'[4]Misc Cargo'!$EI$5</f>
        <v>23</v>
      </c>
      <c r="M5" s="200">
        <f>SUM(B5:L5)</f>
        <v>694</v>
      </c>
    </row>
    <row r="6" spans="1:20" s="184" customFormat="1" x14ac:dyDescent="0.2">
      <c r="A6" s="197" t="s">
        <v>61</v>
      </c>
      <c r="B6" s="424">
        <f>SUM(B4:B5)</f>
        <v>0</v>
      </c>
      <c r="C6" s="198">
        <f>SUM(C4:C5)</f>
        <v>46</v>
      </c>
      <c r="D6" s="198">
        <f>SUM(D4:D5)</f>
        <v>366</v>
      </c>
      <c r="E6" s="198">
        <f>SUM(E4:E5)</f>
        <v>291</v>
      </c>
      <c r="F6" s="188"/>
      <c r="G6" s="183">
        <f t="shared" ref="G6:L6" si="0">SUM(G4:G5)</f>
        <v>0</v>
      </c>
      <c r="H6" s="183">
        <f t="shared" si="0"/>
        <v>42</v>
      </c>
      <c r="I6" s="183">
        <f t="shared" si="0"/>
        <v>566</v>
      </c>
      <c r="J6" s="183">
        <f t="shared" si="0"/>
        <v>46</v>
      </c>
      <c r="K6" s="183">
        <f t="shared" si="0"/>
        <v>0</v>
      </c>
      <c r="L6" s="183">
        <f t="shared" si="0"/>
        <v>46</v>
      </c>
      <c r="M6" s="199">
        <f>SUM(B6:L6)</f>
        <v>1403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[4]Airborne!$EI$8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'[4]Misc Cargo'!$EI$8</f>
        <v>0</v>
      </c>
      <c r="M8" s="196">
        <f>SUM(B8:L8)</f>
        <v>0</v>
      </c>
    </row>
    <row r="9" spans="1:20" ht="15" x14ac:dyDescent="0.25">
      <c r="A9" s="54" t="s">
        <v>63</v>
      </c>
      <c r="B9" s="423">
        <f>[4]Airborne!$EI$9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'[4]Misc Cargo'!$EI$9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4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5">
        <f>B6+B10</f>
        <v>0</v>
      </c>
      <c r="C12" s="202">
        <f>C6+C10</f>
        <v>46</v>
      </c>
      <c r="D12" s="202">
        <f>D6+D10</f>
        <v>366</v>
      </c>
      <c r="E12" s="202">
        <f>E6+E10</f>
        <v>291</v>
      </c>
      <c r="F12" s="457"/>
      <c r="G12" s="203">
        <f t="shared" ref="G12:L12" si="2">G6+G10</f>
        <v>0</v>
      </c>
      <c r="H12" s="203">
        <f t="shared" si="2"/>
        <v>42</v>
      </c>
      <c r="I12" s="203">
        <f t="shared" si="2"/>
        <v>566</v>
      </c>
      <c r="J12" s="203">
        <f t="shared" si="2"/>
        <v>46</v>
      </c>
      <c r="K12" s="203">
        <f t="shared" si="2"/>
        <v>0</v>
      </c>
      <c r="L12" s="203">
        <f t="shared" si="2"/>
        <v>46</v>
      </c>
      <c r="M12" s="204">
        <f>SUM(B12:L12)</f>
        <v>1403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6"/>
      <c r="C14" s="206"/>
      <c r="D14" s="206"/>
      <c r="E14" s="206"/>
      <c r="F14" s="458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[4]Airborne!$EI$47</f>
        <v>0</v>
      </c>
      <c r="C16" s="158">
        <f>[4]DHL!$EI$47</f>
        <v>689387</v>
      </c>
      <c r="D16" s="158">
        <f>[4]FedEx!$EI$47</f>
        <v>5590248</v>
      </c>
      <c r="E16" s="158">
        <f>[4]UPS!$EI$47</f>
        <v>7551424</v>
      </c>
      <c r="F16" s="187"/>
      <c r="G16" s="115">
        <f>[4]ATI_BAX!$EI$47</f>
        <v>0</v>
      </c>
      <c r="H16" s="115">
        <f>'[4]Suburban Air Freight'!$EI$47</f>
        <v>17789</v>
      </c>
      <c r="I16" s="501" t="s">
        <v>96</v>
      </c>
      <c r="J16" s="115">
        <f>'[4]CSA Air'!$EI$47</f>
        <v>34667</v>
      </c>
      <c r="K16" s="115">
        <f>'[4]Mountain Cargo'!$EI$47</f>
        <v>0</v>
      </c>
      <c r="L16" s="115">
        <f>'[4]Misc Cargo'!$EI$47</f>
        <v>38486</v>
      </c>
      <c r="M16" s="196">
        <f>SUM(B16:H16)+SUM(J16:L16)</f>
        <v>13922001</v>
      </c>
    </row>
    <row r="17" spans="1:14" x14ac:dyDescent="0.2">
      <c r="A17" s="54" t="s">
        <v>41</v>
      </c>
      <c r="B17" s="242">
        <f>[4]Airborne!$EI$48</f>
        <v>0</v>
      </c>
      <c r="C17" s="158">
        <f>[4]DHL!$EI$48</f>
        <v>0</v>
      </c>
      <c r="D17" s="158">
        <f>[4]FedEx!$EI$48</f>
        <v>0</v>
      </c>
      <c r="E17" s="158">
        <f>[4]UPS!$EI$48</f>
        <v>1947</v>
      </c>
      <c r="F17" s="187"/>
      <c r="G17" s="115">
        <f>[4]ATI_BAX!$EI$48</f>
        <v>0</v>
      </c>
      <c r="H17" s="115">
        <f>'[4]Suburban Air Freight'!$EI$48</f>
        <v>0</v>
      </c>
      <c r="I17" s="502"/>
      <c r="J17" s="115">
        <f>'[4]CSA Air'!$EI$48</f>
        <v>0</v>
      </c>
      <c r="K17" s="115">
        <f>'[4]Mountain Cargo'!$EI$48</f>
        <v>0</v>
      </c>
      <c r="L17" s="115">
        <f>'[4]Misc Cargo'!$EI$48</f>
        <v>0</v>
      </c>
      <c r="M17" s="196">
        <f>SUM(B17:H17)+SUM(J17:L17)</f>
        <v>1947</v>
      </c>
    </row>
    <row r="18" spans="1:14" ht="18" customHeight="1" x14ac:dyDescent="0.2">
      <c r="A18" s="209" t="s">
        <v>42</v>
      </c>
      <c r="B18" s="427">
        <f>SUM(B16:B17)</f>
        <v>0</v>
      </c>
      <c r="C18" s="296">
        <f>SUM(C16:C17)</f>
        <v>689387</v>
      </c>
      <c r="D18" s="296">
        <f>SUM(D16:D17)</f>
        <v>5590248</v>
      </c>
      <c r="E18" s="296">
        <f>SUM(E16:E17)</f>
        <v>7553371</v>
      </c>
      <c r="F18" s="458"/>
      <c r="G18" s="297">
        <f>SUM(G16:G17)</f>
        <v>0</v>
      </c>
      <c r="H18" s="297">
        <f>SUM(H16:H17)</f>
        <v>17789</v>
      </c>
      <c r="I18" s="502"/>
      <c r="J18" s="297">
        <f>SUM(J16:J17)</f>
        <v>34667</v>
      </c>
      <c r="K18" s="297">
        <f>SUM(K16:K17)</f>
        <v>0</v>
      </c>
      <c r="L18" s="297">
        <f>SUM(L16:L17)</f>
        <v>38486</v>
      </c>
      <c r="M18" s="210">
        <f>SUM(B18:H18)+SUM(J18:L18)</f>
        <v>13923948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2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2"/>
      <c r="J20" s="115"/>
      <c r="K20" s="115"/>
      <c r="L20" s="115"/>
      <c r="M20" s="196"/>
    </row>
    <row r="21" spans="1:14" x14ac:dyDescent="0.2">
      <c r="A21" s="54" t="s">
        <v>65</v>
      </c>
      <c r="B21" s="242">
        <f>[4]Airborne!$EI$52</f>
        <v>0</v>
      </c>
      <c r="C21" s="158">
        <f>[4]DHL!$EI$52</f>
        <v>505713</v>
      </c>
      <c r="D21" s="158">
        <f>[4]FedEx!$EI$52</f>
        <v>9568692</v>
      </c>
      <c r="E21" s="158">
        <f>[4]UPS!$EI$52</f>
        <v>6375641</v>
      </c>
      <c r="F21" s="187"/>
      <c r="G21" s="115">
        <f>[4]ATI_BAX!$EI$52</f>
        <v>0</v>
      </c>
      <c r="H21" s="115">
        <f>'[4]Suburban Air Freight'!$EI$52</f>
        <v>74151</v>
      </c>
      <c r="I21" s="502"/>
      <c r="J21" s="115">
        <f>'[4]CSA Air'!$EI$52</f>
        <v>43885</v>
      </c>
      <c r="K21" s="115">
        <f>'[4]Mountain Cargo'!$EI$52</f>
        <v>0</v>
      </c>
      <c r="L21" s="115">
        <f>'[4]Misc Cargo'!$EI$52</f>
        <v>34998</v>
      </c>
      <c r="M21" s="196">
        <f>SUM(B21:H21)+SUM(J21:L21)</f>
        <v>16603080</v>
      </c>
    </row>
    <row r="22" spans="1:14" x14ac:dyDescent="0.2">
      <c r="A22" s="54" t="s">
        <v>66</v>
      </c>
      <c r="B22" s="242">
        <f>[4]Airborne!$EI$53</f>
        <v>0</v>
      </c>
      <c r="C22" s="158">
        <f>[4]DHL!$EI$53</f>
        <v>0</v>
      </c>
      <c r="D22" s="158">
        <f>[4]FedEx!$EI$53</f>
        <v>0</v>
      </c>
      <c r="E22" s="158">
        <f>[4]UPS!$EI$53</f>
        <v>40142</v>
      </c>
      <c r="F22" s="187"/>
      <c r="G22" s="115">
        <f>[4]ATI_BAX!$EI$53</f>
        <v>0</v>
      </c>
      <c r="H22" s="115">
        <f>'[4]Suburban Air Freight'!$EI$53</f>
        <v>0</v>
      </c>
      <c r="I22" s="502"/>
      <c r="J22" s="115">
        <f>'[4]CSA Air'!$EI$53</f>
        <v>0</v>
      </c>
      <c r="K22" s="115">
        <f>'[4]Mountain Cargo'!$EI$53</f>
        <v>0</v>
      </c>
      <c r="L22" s="115">
        <f>'[4]Misc Cargo'!$EI$53</f>
        <v>0</v>
      </c>
      <c r="M22" s="196">
        <f>SUM(B22:H22)+SUM(J22:L22)</f>
        <v>40142</v>
      </c>
    </row>
    <row r="23" spans="1:14" ht="18" customHeight="1" x14ac:dyDescent="0.2">
      <c r="A23" s="209" t="s">
        <v>44</v>
      </c>
      <c r="B23" s="427">
        <f>SUM(B21:B22)</f>
        <v>0</v>
      </c>
      <c r="C23" s="296">
        <f>SUM(C21:C22)</f>
        <v>505713</v>
      </c>
      <c r="D23" s="296">
        <f>SUM(D21:D22)</f>
        <v>9568692</v>
      </c>
      <c r="E23" s="296">
        <f>SUM(E21:E22)</f>
        <v>6415783</v>
      </c>
      <c r="F23" s="458"/>
      <c r="G23" s="297">
        <f>SUM(G21:G22)</f>
        <v>0</v>
      </c>
      <c r="H23" s="297">
        <f>SUM(H21:H22)</f>
        <v>74151</v>
      </c>
      <c r="I23" s="502"/>
      <c r="J23" s="297">
        <f>SUM(J21:J22)</f>
        <v>43885</v>
      </c>
      <c r="K23" s="297">
        <f>SUM(K21:K22)</f>
        <v>0</v>
      </c>
      <c r="L23" s="297">
        <f>SUM(L21:L22)</f>
        <v>34998</v>
      </c>
      <c r="M23" s="210">
        <f>SUM(B23:H23)+SUM(J23:L23)</f>
        <v>16643222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2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2"/>
      <c r="J25" s="115"/>
      <c r="K25" s="115"/>
      <c r="L25" s="115"/>
      <c r="M25" s="196"/>
    </row>
    <row r="26" spans="1:14" x14ac:dyDescent="0.2">
      <c r="A26" s="54" t="s">
        <v>65</v>
      </c>
      <c r="B26" s="242">
        <f>[4]Airborne!$EI$57</f>
        <v>0</v>
      </c>
      <c r="C26" s="158">
        <f>[4]DHL!$EI$57</f>
        <v>0</v>
      </c>
      <c r="D26" s="158">
        <f>[4]FedEx!$EI$57</f>
        <v>0</v>
      </c>
      <c r="E26" s="158">
        <f>[4]UPS!$EI$57</f>
        <v>0</v>
      </c>
      <c r="F26" s="187"/>
      <c r="G26" s="115">
        <f>[4]ATI_BAX!$EI$57</f>
        <v>0</v>
      </c>
      <c r="H26" s="115">
        <f>'[4]Suburban Air Freight'!$EI$57</f>
        <v>0</v>
      </c>
      <c r="I26" s="502"/>
      <c r="J26" s="115">
        <f>'[4]CSA Air'!$EI$57</f>
        <v>0</v>
      </c>
      <c r="K26" s="115">
        <f>'[4]Mountain Cargo'!$EI$57</f>
        <v>0</v>
      </c>
      <c r="L26" s="115">
        <f>'[4]Misc Cargo'!$EI$57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[4]Airborne!$EI$58</f>
        <v>0</v>
      </c>
      <c r="C27" s="158">
        <f>[4]DHL!$EI$58</f>
        <v>0</v>
      </c>
      <c r="D27" s="158">
        <f>[4]FedEx!$EI$58</f>
        <v>0</v>
      </c>
      <c r="E27" s="158">
        <f>[4]UPS!$EI$58</f>
        <v>0</v>
      </c>
      <c r="F27" s="187"/>
      <c r="G27" s="115">
        <f>[4]ATI_BAX!$EI$58</f>
        <v>0</v>
      </c>
      <c r="H27" s="115">
        <f>'[4]Suburban Air Freight'!$EI$58</f>
        <v>0</v>
      </c>
      <c r="I27" s="502"/>
      <c r="J27" s="115">
        <f>'[4]CSA Air'!$EI$58</f>
        <v>0</v>
      </c>
      <c r="K27" s="115">
        <f>'[4]Mountain Cargo'!$EI$58</f>
        <v>0</v>
      </c>
      <c r="L27" s="115">
        <f>'[4]Misc Cargo'!$EI$58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7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58"/>
      <c r="G28" s="297">
        <f>SUM(G26:G27)</f>
        <v>0</v>
      </c>
      <c r="H28" s="297">
        <f>SUM(H26:H27)</f>
        <v>0</v>
      </c>
      <c r="I28" s="502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2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2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1195100</v>
      </c>
      <c r="D31" s="158">
        <f t="shared" si="3"/>
        <v>15158940</v>
      </c>
      <c r="E31" s="158">
        <f t="shared" si="3"/>
        <v>13927065</v>
      </c>
      <c r="F31" s="187"/>
      <c r="G31" s="115">
        <f t="shared" ref="G31:H33" si="4">G26+G21+G16</f>
        <v>0</v>
      </c>
      <c r="H31" s="115">
        <f t="shared" si="4"/>
        <v>91940</v>
      </c>
      <c r="I31" s="502"/>
      <c r="J31" s="115">
        <f t="shared" ref="J31:L33" si="5">J26+J21+J16</f>
        <v>78552</v>
      </c>
      <c r="K31" s="115">
        <f t="shared" si="5"/>
        <v>0</v>
      </c>
      <c r="L31" s="115">
        <f>L26+L21+L16</f>
        <v>73484</v>
      </c>
      <c r="M31" s="196">
        <f>SUM(B31:H31)+SUM(J31:L31)</f>
        <v>30525081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42089</v>
      </c>
      <c r="F32" s="187"/>
      <c r="G32" s="115">
        <f t="shared" si="4"/>
        <v>0</v>
      </c>
      <c r="H32" s="115">
        <f t="shared" si="4"/>
        <v>0</v>
      </c>
      <c r="I32" s="503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42089</v>
      </c>
    </row>
    <row r="33" spans="1:13" ht="18" customHeight="1" thickBot="1" x14ac:dyDescent="0.25">
      <c r="A33" s="201" t="s">
        <v>49</v>
      </c>
      <c r="B33" s="425">
        <f t="shared" si="3"/>
        <v>0</v>
      </c>
      <c r="C33" s="202">
        <f t="shared" si="3"/>
        <v>1195100</v>
      </c>
      <c r="D33" s="202">
        <f t="shared" si="3"/>
        <v>15158940</v>
      </c>
      <c r="E33" s="202">
        <f t="shared" si="3"/>
        <v>13969154</v>
      </c>
      <c r="F33" s="458"/>
      <c r="G33" s="203">
        <f t="shared" si="4"/>
        <v>0</v>
      </c>
      <c r="H33" s="203">
        <f t="shared" si="4"/>
        <v>91940</v>
      </c>
      <c r="I33" s="298">
        <f>I28+I23+I18</f>
        <v>0</v>
      </c>
      <c r="J33" s="203">
        <f t="shared" si="5"/>
        <v>78552</v>
      </c>
      <c r="K33" s="203">
        <f t="shared" si="5"/>
        <v>0</v>
      </c>
      <c r="L33" s="203">
        <f t="shared" si="5"/>
        <v>73484</v>
      </c>
      <c r="M33" s="204">
        <f>SUM(B33:H33)+SUM(J33:L33)</f>
        <v>30567170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December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N22" sqref="N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6">
        <v>42339</v>
      </c>
      <c r="B2" s="476" t="s">
        <v>69</v>
      </c>
      <c r="C2" s="476" t="s">
        <v>70</v>
      </c>
      <c r="D2" s="476" t="s">
        <v>71</v>
      </c>
      <c r="E2" s="477" t="s">
        <v>81</v>
      </c>
      <c r="F2" s="478" t="s">
        <v>206</v>
      </c>
      <c r="G2" s="478" t="s">
        <v>186</v>
      </c>
      <c r="H2" s="479" t="s">
        <v>72</v>
      </c>
      <c r="I2" s="480" t="s">
        <v>205</v>
      </c>
      <c r="J2" s="480" t="s">
        <v>184</v>
      </c>
      <c r="K2" s="481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4121540</v>
      </c>
      <c r="C5" s="115">
        <f>'Regional Major'!K25</f>
        <v>0</v>
      </c>
      <c r="D5" s="115">
        <f>Cargo!M16</f>
        <v>13922001</v>
      </c>
      <c r="E5" s="115">
        <f>SUM(B5:D5)</f>
        <v>18043541</v>
      </c>
      <c r="F5" s="115">
        <f>E5*0.00045359237</f>
        <v>8184.4125253821694</v>
      </c>
      <c r="G5" s="143">
        <f>'[1]Cargo Summary'!F5</f>
        <v>8315.8849130495601</v>
      </c>
      <c r="H5" s="95">
        <f>(F5-G5)/G5</f>
        <v>-1.5809789221719491E-2</v>
      </c>
      <c r="I5" s="143">
        <f>+F5+'[2]Cargo Summary'!$I$5</f>
        <v>80763.199213971136</v>
      </c>
      <c r="J5" s="143">
        <f>'[1]Cargo Summary'!I5</f>
        <v>87902.424695927388</v>
      </c>
      <c r="K5" s="83">
        <f>(I5-J5)/J5</f>
        <v>-8.121761722332807E-2</v>
      </c>
      <c r="M5" s="36"/>
    </row>
    <row r="6" spans="1:18" x14ac:dyDescent="0.2">
      <c r="A6" s="64" t="s">
        <v>18</v>
      </c>
      <c r="B6" s="166">
        <f>'Major Airline Stats'!J29</f>
        <v>1829668</v>
      </c>
      <c r="C6" s="115">
        <f>'Regional Major'!K26</f>
        <v>0</v>
      </c>
      <c r="D6" s="115">
        <f>Cargo!M17</f>
        <v>1947</v>
      </c>
      <c r="E6" s="115">
        <f>SUM(B6:D6)</f>
        <v>1831615</v>
      </c>
      <c r="F6" s="115">
        <f>E6*0.00045359237</f>
        <v>830.80658877755002</v>
      </c>
      <c r="G6" s="143">
        <f>'[1]Cargo Summary'!F6</f>
        <v>622.95741066482003</v>
      </c>
      <c r="H6" s="38">
        <f>(F6-G6)/G6</f>
        <v>0.33364909792294367</v>
      </c>
      <c r="I6" s="143">
        <f>+F6+'[2]Cargo Summary'!$I$6</f>
        <v>7814.6104595227898</v>
      </c>
      <c r="J6" s="143">
        <f>'[1]Cargo Summary'!I6</f>
        <v>6534.7687432866287</v>
      </c>
      <c r="K6" s="83">
        <f>(I6-J6)/J6</f>
        <v>0.19585111065345387</v>
      </c>
      <c r="M6" s="36"/>
    </row>
    <row r="7" spans="1:18" ht="18" customHeight="1" thickBot="1" x14ac:dyDescent="0.25">
      <c r="A7" s="75" t="s">
        <v>78</v>
      </c>
      <c r="B7" s="168">
        <f>SUM(B5:B6)</f>
        <v>5951208</v>
      </c>
      <c r="C7" s="130">
        <f t="shared" ref="C7:J7" si="0">SUM(C5:C6)</f>
        <v>0</v>
      </c>
      <c r="D7" s="130">
        <f t="shared" si="0"/>
        <v>13923948</v>
      </c>
      <c r="E7" s="130">
        <f t="shared" si="0"/>
        <v>19875156</v>
      </c>
      <c r="F7" s="130">
        <f t="shared" si="0"/>
        <v>9015.2191141597195</v>
      </c>
      <c r="G7" s="130">
        <f t="shared" si="0"/>
        <v>8938.8423237143797</v>
      </c>
      <c r="H7" s="45">
        <f>(F7-G7)/G7</f>
        <v>8.5443715952697053E-3</v>
      </c>
      <c r="I7" s="130">
        <f t="shared" si="0"/>
        <v>88577.809673493932</v>
      </c>
      <c r="J7" s="130">
        <f t="shared" si="0"/>
        <v>94437.19343921401</v>
      </c>
      <c r="K7" s="311">
        <f>(I7-J7)/J7</f>
        <v>-6.2045297539380637E-2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2359290</v>
      </c>
      <c r="C10" s="115">
        <f>'Regional Major'!K30</f>
        <v>0</v>
      </c>
      <c r="D10" s="115">
        <f>Cargo!M21</f>
        <v>16603080</v>
      </c>
      <c r="E10" s="115">
        <f>SUM(B10:D10)</f>
        <v>18962370</v>
      </c>
      <c r="F10" s="115">
        <f>E10*0.00045359237</f>
        <v>8601.1863491169006</v>
      </c>
      <c r="G10" s="143">
        <f>'[1]Cargo Summary'!F10</f>
        <v>8461.870895779839</v>
      </c>
      <c r="H10" s="38">
        <f>(F10-G10)/G10</f>
        <v>1.6463906747447774E-2</v>
      </c>
      <c r="I10" s="143">
        <f>+F10+'[2]Cargo Summary'!$I$10</f>
        <v>86898.506847101191</v>
      </c>
      <c r="J10" s="143">
        <f>'[1]Cargo Summary'!I10</f>
        <v>97522.2157612187</v>
      </c>
      <c r="K10" s="83">
        <f>(I10-J10)/J10</f>
        <v>-0.10893629550142153</v>
      </c>
      <c r="M10" s="36"/>
    </row>
    <row r="11" spans="1:18" x14ac:dyDescent="0.2">
      <c r="A11" s="64" t="s">
        <v>18</v>
      </c>
      <c r="B11" s="166">
        <f>'Major Airline Stats'!J34</f>
        <v>2849062</v>
      </c>
      <c r="C11" s="115">
        <f>'Regional Major'!K31</f>
        <v>0</v>
      </c>
      <c r="D11" s="115">
        <f>Cargo!M22</f>
        <v>40142</v>
      </c>
      <c r="E11" s="115">
        <f>SUM(B11:D11)</f>
        <v>2889204</v>
      </c>
      <c r="F11" s="115">
        <f>E11*0.00045359237</f>
        <v>1310.5208897734799</v>
      </c>
      <c r="G11" s="143">
        <f>'[1]Cargo Summary'!F11</f>
        <v>405.07068699636</v>
      </c>
      <c r="H11" s="36">
        <f>(F11-G11)/G11</f>
        <v>2.2352893750251948</v>
      </c>
      <c r="I11" s="143">
        <f>+F11+'[2]Cargo Summary'!$I$11</f>
        <v>7619.3339547217201</v>
      </c>
      <c r="J11" s="143">
        <f>'[1]Cargo Summary'!I11</f>
        <v>6614.542940583271</v>
      </c>
      <c r="K11" s="83">
        <f>(I11-J11)/J11</f>
        <v>0.15190634079546039</v>
      </c>
      <c r="M11" s="36"/>
    </row>
    <row r="12" spans="1:18" ht="18" customHeight="1" thickBot="1" x14ac:dyDescent="0.25">
      <c r="A12" s="75" t="s">
        <v>79</v>
      </c>
      <c r="B12" s="168">
        <f>SUM(B10:B11)</f>
        <v>5208352</v>
      </c>
      <c r="C12" s="130">
        <f t="shared" ref="C12:J12" si="1">SUM(C10:C11)</f>
        <v>0</v>
      </c>
      <c r="D12" s="130">
        <f t="shared" si="1"/>
        <v>16643222</v>
      </c>
      <c r="E12" s="130">
        <f t="shared" si="1"/>
        <v>21851574</v>
      </c>
      <c r="F12" s="130">
        <f t="shared" si="1"/>
        <v>9911.7072388903798</v>
      </c>
      <c r="G12" s="130">
        <f t="shared" si="1"/>
        <v>8866.9415827761986</v>
      </c>
      <c r="H12" s="45">
        <f>(F12-G12)/G12</f>
        <v>0.11782705979969588</v>
      </c>
      <c r="I12" s="130">
        <f t="shared" si="1"/>
        <v>94517.840801822909</v>
      </c>
      <c r="J12" s="130">
        <f t="shared" si="1"/>
        <v>104136.75870180197</v>
      </c>
      <c r="K12" s="311">
        <f>(I12-J12)/J12</f>
        <v>-9.2368132251197249E-2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6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6480830</v>
      </c>
      <c r="C20" s="115">
        <f t="shared" si="3"/>
        <v>0</v>
      </c>
      <c r="D20" s="115">
        <f t="shared" si="3"/>
        <v>30525081</v>
      </c>
      <c r="E20" s="115">
        <f>SUM(B20:D20)</f>
        <v>37005911</v>
      </c>
      <c r="F20" s="115">
        <f>E20*0.00045359237</f>
        <v>16785.598874499068</v>
      </c>
      <c r="G20" s="143">
        <f>'[1]Cargo Summary'!F20</f>
        <v>16777.755808829399</v>
      </c>
      <c r="H20" s="38">
        <f>(F20-G20)/G20</f>
        <v>4.6746810235142987E-4</v>
      </c>
      <c r="I20" s="143">
        <f>+I5+I10+I15</f>
        <v>167661.70606107233</v>
      </c>
      <c r="J20" s="143">
        <f>+J5+J10+J15</f>
        <v>185424.6404571461</v>
      </c>
      <c r="K20" s="83">
        <f>(I20-J20)/J20</f>
        <v>-9.5795975940851319E-2</v>
      </c>
      <c r="M20" s="36"/>
    </row>
    <row r="21" spans="1:13" x14ac:dyDescent="0.2">
      <c r="A21" s="64" t="s">
        <v>18</v>
      </c>
      <c r="B21" s="166">
        <f t="shared" si="3"/>
        <v>4678730</v>
      </c>
      <c r="C21" s="117">
        <f t="shared" si="3"/>
        <v>0</v>
      </c>
      <c r="D21" s="117">
        <f t="shared" si="3"/>
        <v>42089</v>
      </c>
      <c r="E21" s="115">
        <f>SUM(B21:D21)</f>
        <v>4720819</v>
      </c>
      <c r="F21" s="115">
        <f>E21*0.00045359237</f>
        <v>2141.3274785510298</v>
      </c>
      <c r="G21" s="143">
        <f>'[1]Cargo Summary'!F21</f>
        <v>1028.02809766118</v>
      </c>
      <c r="H21" s="38">
        <f>(F21-G21)/G21</f>
        <v>1.0829464519721461</v>
      </c>
      <c r="I21" s="143">
        <f>+I6+I11+I16</f>
        <v>15433.94441424451</v>
      </c>
      <c r="J21" s="143">
        <f>+J6+J11+J16</f>
        <v>13149.311683869899</v>
      </c>
      <c r="K21" s="83">
        <f>(I21-J21)/J21</f>
        <v>0.17374542373781757</v>
      </c>
      <c r="M21" s="36"/>
    </row>
    <row r="22" spans="1:13" ht="18" customHeight="1" thickBot="1" x14ac:dyDescent="0.25">
      <c r="A22" s="86" t="s">
        <v>68</v>
      </c>
      <c r="B22" s="169">
        <f>SUM(B20:B21)</f>
        <v>11159560</v>
      </c>
      <c r="C22" s="170">
        <f t="shared" ref="C22:J22" si="4">SUM(C20:C21)</f>
        <v>0</v>
      </c>
      <c r="D22" s="170">
        <f t="shared" si="4"/>
        <v>30567170</v>
      </c>
      <c r="E22" s="170">
        <f t="shared" si="4"/>
        <v>41726730</v>
      </c>
      <c r="F22" s="170">
        <f t="shared" si="4"/>
        <v>18926.926353050098</v>
      </c>
      <c r="G22" s="170">
        <f t="shared" si="4"/>
        <v>17805.783906490578</v>
      </c>
      <c r="H22" s="317">
        <f>(F22-G22)/G22</f>
        <v>6.2965070925680475E-2</v>
      </c>
      <c r="I22" s="170">
        <f t="shared" si="4"/>
        <v>183095.65047531683</v>
      </c>
      <c r="J22" s="170">
        <f t="shared" si="4"/>
        <v>198573.95214101599</v>
      </c>
      <c r="K22" s="318">
        <f>(I22-J22)/J22</f>
        <v>-7.7947291166906685E-2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7"/>
  <sheetViews>
    <sheetView zoomScaleNormal="100" zoomScaleSheetLayoutView="100" workbookViewId="0">
      <selection activeCell="P30" sqref="P3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  <col min="17" max="17" width="10.28515625" bestFit="1" customWidth="1"/>
  </cols>
  <sheetData>
    <row r="1" spans="1:14" ht="26.25" thickBot="1" x14ac:dyDescent="0.25">
      <c r="A1" s="396">
        <v>42339</v>
      </c>
      <c r="B1" s="466" t="s">
        <v>20</v>
      </c>
      <c r="C1" s="469" t="s">
        <v>55</v>
      </c>
      <c r="D1" s="482" t="s">
        <v>192</v>
      </c>
      <c r="E1" s="469" t="s">
        <v>213</v>
      </c>
      <c r="F1" s="469" t="s">
        <v>214</v>
      </c>
      <c r="G1" s="469" t="s">
        <v>53</v>
      </c>
      <c r="H1" s="469" t="s">
        <v>126</v>
      </c>
      <c r="I1" s="469" t="s">
        <v>111</v>
      </c>
      <c r="J1" s="469" t="s">
        <v>210</v>
      </c>
      <c r="K1" s="469" t="s">
        <v>187</v>
      </c>
      <c r="L1" s="469" t="s">
        <v>56</v>
      </c>
      <c r="M1" s="469" t="s">
        <v>157</v>
      </c>
      <c r="N1" s="469" t="s">
        <v>24</v>
      </c>
    </row>
    <row r="2" spans="1:14" ht="15" x14ac:dyDescent="0.25">
      <c r="A2" s="508" t="s">
        <v>158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10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[4]Delta!$EI$32</f>
        <v>42765</v>
      </c>
      <c r="C4" s="21">
        <f>'[4]Atlantic Southeast'!$EI$32</f>
        <v>4708</v>
      </c>
      <c r="D4" s="21">
        <f>[4]Pinnacle!$EI$32</f>
        <v>17326</v>
      </c>
      <c r="E4" s="21">
        <f>[4]Compass!$EI$32</f>
        <v>5485</v>
      </c>
      <c r="F4" s="21">
        <f>'[4]Sky West'!$EI$32</f>
        <v>3416</v>
      </c>
      <c r="G4" s="21">
        <f>'[4]Sun Country'!$EI$32</f>
        <v>9162</v>
      </c>
      <c r="H4" s="21">
        <f>[4]Icelandair!$EI$32</f>
        <v>1888</v>
      </c>
      <c r="I4" s="21">
        <f>[4]AirCanada!$EI$32</f>
        <v>0</v>
      </c>
      <c r="J4" s="21">
        <f>[4]Condor!$EI$32</f>
        <v>0</v>
      </c>
      <c r="K4" s="21">
        <f>'[4]Air France'!$EI$32</f>
        <v>0</v>
      </c>
      <c r="L4" s="21">
        <f>[4]Comair!$EI$32</f>
        <v>0</v>
      </c>
      <c r="M4" s="21">
        <f>'[4]Charter Misc'!$EI$32+[4]Ryan!$EI$32+[4]Omni!$EI$32</f>
        <v>0</v>
      </c>
      <c r="N4" s="275">
        <f>SUM(B4:M4)</f>
        <v>84750</v>
      </c>
    </row>
    <row r="5" spans="1:14" x14ac:dyDescent="0.2">
      <c r="A5" s="64" t="s">
        <v>34</v>
      </c>
      <c r="B5" s="14">
        <f>[4]Delta!$EI$33</f>
        <v>51121</v>
      </c>
      <c r="C5" s="14">
        <f>'[4]Atlantic Southeast'!$EI$33</f>
        <v>4847</v>
      </c>
      <c r="D5" s="14">
        <f>[4]Pinnacle!$EI$33</f>
        <v>16143</v>
      </c>
      <c r="E5" s="14">
        <f>[4]Compass!$EI$33</f>
        <v>5419</v>
      </c>
      <c r="F5" s="14">
        <f>'[4]Sky West'!$EI$33</f>
        <v>3495</v>
      </c>
      <c r="G5" s="14">
        <f>'[4]Sun Country'!$EI$33</f>
        <v>14153</v>
      </c>
      <c r="H5" s="14">
        <f>[4]Icelandair!$EI$33</f>
        <v>2153</v>
      </c>
      <c r="I5" s="14">
        <f>[4]AirCanada!$EI$33</f>
        <v>0</v>
      </c>
      <c r="J5" s="14">
        <f>[4]Condor!$EI$33</f>
        <v>0</v>
      </c>
      <c r="K5" s="14">
        <f>'[4]Air France'!$EI$33</f>
        <v>0</v>
      </c>
      <c r="L5" s="14">
        <f>[4]Comair!$EI$33</f>
        <v>0</v>
      </c>
      <c r="M5" s="14">
        <f>'[4]Charter Misc'!$EI$33++[4]Ryan!$EI$33+[4]Omni!$EI$33</f>
        <v>0</v>
      </c>
      <c r="N5" s="276">
        <f>SUM(B5:M5)</f>
        <v>97331</v>
      </c>
    </row>
    <row r="6" spans="1:14" ht="15" x14ac:dyDescent="0.25">
      <c r="A6" s="62" t="s">
        <v>7</v>
      </c>
      <c r="B6" s="35">
        <f t="shared" ref="B6:M6" si="0">SUM(B4:B5)</f>
        <v>93886</v>
      </c>
      <c r="C6" s="35">
        <f t="shared" si="0"/>
        <v>9555</v>
      </c>
      <c r="D6" s="35">
        <f t="shared" si="0"/>
        <v>33469</v>
      </c>
      <c r="E6" s="35">
        <f t="shared" si="0"/>
        <v>10904</v>
      </c>
      <c r="F6" s="35">
        <f t="shared" si="0"/>
        <v>6911</v>
      </c>
      <c r="G6" s="35">
        <f t="shared" si="0"/>
        <v>23315</v>
      </c>
      <c r="H6" s="35">
        <f t="shared" si="0"/>
        <v>4041</v>
      </c>
      <c r="I6" s="35">
        <f t="shared" si="0"/>
        <v>0</v>
      </c>
      <c r="J6" s="35">
        <f>SUM(J4:J5)</f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277">
        <f>SUM(B6:M6)</f>
        <v>182081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[4]Delta!$EI$37</f>
        <v>1373</v>
      </c>
      <c r="C9" s="21">
        <f>'[4]Atlantic Southeast'!$EI$37</f>
        <v>70</v>
      </c>
      <c r="D9" s="21">
        <f>[4]Pinnacle!$EI$37</f>
        <v>224</v>
      </c>
      <c r="E9" s="21">
        <f>[4]Compass!$EI$37</f>
        <v>52</v>
      </c>
      <c r="F9" s="21">
        <f>'[4]Sky West'!$EI$37</f>
        <v>48</v>
      </c>
      <c r="G9" s="21">
        <f>'[4]Sun Country'!$EI$37</f>
        <v>43</v>
      </c>
      <c r="H9" s="21">
        <f>[4]Icelandair!$EI$37</f>
        <v>165</v>
      </c>
      <c r="I9" s="21">
        <f>[4]AirCanada!$EI$37</f>
        <v>0</v>
      </c>
      <c r="J9" s="21">
        <f>[4]Condor!$EI$37</f>
        <v>0</v>
      </c>
      <c r="K9" s="21">
        <f>'[4]Air France'!$EI$37</f>
        <v>0</v>
      </c>
      <c r="L9" s="21">
        <f>[4]Comair!$EI$37</f>
        <v>0</v>
      </c>
      <c r="M9" s="21">
        <f>'[4]Charter Misc'!$EI$37+[4]Ryan!$EI$37+[4]Omni!$EI$37</f>
        <v>0</v>
      </c>
      <c r="N9" s="275">
        <f>SUM(B9:M9)</f>
        <v>1975</v>
      </c>
    </row>
    <row r="10" spans="1:14" x14ac:dyDescent="0.2">
      <c r="A10" s="64" t="s">
        <v>36</v>
      </c>
      <c r="B10" s="14">
        <f>[4]Delta!$EI$38</f>
        <v>1377</v>
      </c>
      <c r="C10" s="14">
        <f>'[4]Atlantic Southeast'!$EI$38</f>
        <v>72</v>
      </c>
      <c r="D10" s="14">
        <f>[4]Pinnacle!$EI$38</f>
        <v>224</v>
      </c>
      <c r="E10" s="14">
        <f>[4]Compass!$EI$38</f>
        <v>67</v>
      </c>
      <c r="F10" s="14">
        <f>'[4]Sky West'!$EI$38</f>
        <v>54</v>
      </c>
      <c r="G10" s="14">
        <f>'[4]Sun Country'!$EI$38</f>
        <v>63</v>
      </c>
      <c r="H10" s="14">
        <f>[4]Icelandair!$EI$38</f>
        <v>176</v>
      </c>
      <c r="I10" s="14">
        <f>[4]AirCanada!$EI$38</f>
        <v>0</v>
      </c>
      <c r="J10" s="14">
        <f>[4]Condor!$EI$38</f>
        <v>0</v>
      </c>
      <c r="K10" s="14">
        <f>'[4]Air France'!$EI$38</f>
        <v>0</v>
      </c>
      <c r="L10" s="14">
        <f>[4]Comair!$EI$38</f>
        <v>0</v>
      </c>
      <c r="M10" s="14">
        <f>'[4]Charter Misc'!$EI$38+[4]Ryan!$EI$38+[4]Omni!$EI$38</f>
        <v>0</v>
      </c>
      <c r="N10" s="276">
        <f>SUM(B10:M10)</f>
        <v>2033</v>
      </c>
    </row>
    <row r="11" spans="1:14" ht="15.75" thickBot="1" x14ac:dyDescent="0.3">
      <c r="A11" s="65" t="s">
        <v>37</v>
      </c>
      <c r="B11" s="278">
        <f t="shared" ref="B11:G11" si="1">SUM(B9:B10)</f>
        <v>2750</v>
      </c>
      <c r="C11" s="278">
        <f t="shared" si="1"/>
        <v>142</v>
      </c>
      <c r="D11" s="278">
        <f t="shared" si="1"/>
        <v>448</v>
      </c>
      <c r="E11" s="278">
        <f t="shared" si="1"/>
        <v>119</v>
      </c>
      <c r="F11" s="278">
        <f t="shared" si="1"/>
        <v>102</v>
      </c>
      <c r="G11" s="278">
        <f t="shared" si="1"/>
        <v>106</v>
      </c>
      <c r="H11" s="278">
        <f t="shared" ref="H11:M11" si="2">SUM(H9:H10)</f>
        <v>341</v>
      </c>
      <c r="I11" s="278">
        <f t="shared" si="2"/>
        <v>0</v>
      </c>
      <c r="J11" s="278">
        <f t="shared" si="2"/>
        <v>0</v>
      </c>
      <c r="K11" s="278">
        <f t="shared" si="2"/>
        <v>0</v>
      </c>
      <c r="L11" s="278">
        <f t="shared" si="2"/>
        <v>0</v>
      </c>
      <c r="M11" s="278">
        <f t="shared" si="2"/>
        <v>0</v>
      </c>
      <c r="N11" s="279">
        <f>SUM(B11:M11)</f>
        <v>4008</v>
      </c>
    </row>
    <row r="12" spans="1:14" ht="15" x14ac:dyDescent="0.25">
      <c r="A12" s="401"/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8"/>
    </row>
    <row r="13" spans="1:14" ht="26.25" thickBot="1" x14ac:dyDescent="0.25">
      <c r="B13" s="12" t="s">
        <v>20</v>
      </c>
      <c r="C13" s="266" t="s">
        <v>55</v>
      </c>
      <c r="D13" s="453" t="s">
        <v>192</v>
      </c>
      <c r="E13" s="12" t="s">
        <v>131</v>
      </c>
      <c r="F13" s="12" t="s">
        <v>110</v>
      </c>
      <c r="G13" s="12" t="s">
        <v>156</v>
      </c>
      <c r="H13" s="12" t="s">
        <v>126</v>
      </c>
      <c r="I13" s="12" t="s">
        <v>111</v>
      </c>
      <c r="J13" s="266" t="s">
        <v>210</v>
      </c>
      <c r="K13" s="12" t="s">
        <v>187</v>
      </c>
      <c r="L13" s="12" t="s">
        <v>56</v>
      </c>
      <c r="M13" s="12" t="s">
        <v>157</v>
      </c>
      <c r="N13" s="266" t="s">
        <v>159</v>
      </c>
    </row>
    <row r="14" spans="1:14" ht="15" x14ac:dyDescent="0.25">
      <c r="A14" s="511" t="s">
        <v>160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3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SUM([4]Delta!$DX$32:$EI$32)</f>
        <v>719758</v>
      </c>
      <c r="C16" s="21">
        <f>SUM('[4]Atlantic Southeast'!$DX$32:$EI$32)</f>
        <v>12096</v>
      </c>
      <c r="D16" s="21">
        <f>SUM([4]Pinnacle!$DX$32:$EI$32)</f>
        <v>234773</v>
      </c>
      <c r="E16" s="21">
        <f>SUM([4]Compass!$DX$32:$EI$32)</f>
        <v>40198</v>
      </c>
      <c r="F16" s="21">
        <f>SUM('[4]Sky West'!$DX$32:$EI$32)</f>
        <v>74548</v>
      </c>
      <c r="G16" s="21">
        <f>SUM('[4]Sun Country'!$DX$32:$EI$32)</f>
        <v>132139</v>
      </c>
      <c r="H16" s="21">
        <f>SUM([4]Icelandair!$DX$32:$EI$32)</f>
        <v>27869</v>
      </c>
      <c r="I16" s="21">
        <f>SUM([4]AirCanada!$DX$32:$EI$32)</f>
        <v>41833</v>
      </c>
      <c r="J16" s="21">
        <f>SUM([4]Condor!$DX$32:$EI$32)</f>
        <v>5504</v>
      </c>
      <c r="K16" s="21">
        <f>SUM('[4]Air France'!$DX$32:$EI$32)</f>
        <v>29928</v>
      </c>
      <c r="L16" s="21">
        <f>SUM([4]Comair!$DX$32:$EI$32)</f>
        <v>0</v>
      </c>
      <c r="M16" s="21">
        <f>SUM('[4]Charter Misc'!$DX$32:$EI$32)+SUM([4]Ryan!$DX$32:$EI$32)+SUM([4]Omni!$DX$32:$EI$32)</f>
        <v>150</v>
      </c>
      <c r="N16" s="275">
        <f>SUM(B16:M16)</f>
        <v>1318796</v>
      </c>
    </row>
    <row r="17" spans="1:18" x14ac:dyDescent="0.2">
      <c r="A17" s="64" t="s">
        <v>34</v>
      </c>
      <c r="B17" s="14">
        <f>SUM([4]Delta!$DX$33:$EI$33)</f>
        <v>702408</v>
      </c>
      <c r="C17" s="14">
        <f>SUM('[4]Atlantic Southeast'!$DX$33:$EI$33)</f>
        <v>16078</v>
      </c>
      <c r="D17" s="14">
        <f>SUM([4]Pinnacle!$DX$33:$EI$33)</f>
        <v>231503</v>
      </c>
      <c r="E17" s="14">
        <f>SUM([4]Compass!$DX$33:$EI$33)</f>
        <v>39211</v>
      </c>
      <c r="F17" s="14">
        <f>SUM('[4]Sky West'!$DX$33:$EI$33)</f>
        <v>74387</v>
      </c>
      <c r="G17" s="14">
        <f>SUM('[4]Sun Country'!$DX$33:$EI$33)</f>
        <v>132699</v>
      </c>
      <c r="H17" s="14">
        <f>SUM([4]Icelandair!$DX$33:$EI$33)</f>
        <v>28926</v>
      </c>
      <c r="I17" s="14">
        <f>SUM([4]AirCanada!$DX$33:$EI$33)</f>
        <v>40893</v>
      </c>
      <c r="J17" s="14">
        <f>SUM([4]Condor!$DX$33:$EI$33)</f>
        <v>5077</v>
      </c>
      <c r="K17" s="14">
        <f>SUM('[4]Air France'!$DX$33:$EI$33)</f>
        <v>30172</v>
      </c>
      <c r="L17" s="14">
        <f>SUM([4]Comair!$DX$33:$EI$33)</f>
        <v>0</v>
      </c>
      <c r="M17" s="14">
        <f>SUM('[4]Charter Misc'!$DX$33:$EI$33)++SUM([4]Ryan!$DX$33:$EI$33)+SUM([4]Omni!$DX$33:$EI$33)</f>
        <v>150</v>
      </c>
      <c r="N17" s="276">
        <f>SUM(B17:M17)</f>
        <v>1301504</v>
      </c>
      <c r="Q17" s="303"/>
      <c r="R17" s="303"/>
    </row>
    <row r="18" spans="1:18" ht="15" x14ac:dyDescent="0.25">
      <c r="A18" s="62" t="s">
        <v>7</v>
      </c>
      <c r="B18" s="35">
        <f t="shared" ref="B18:M18" si="3">SUM(B16:B17)</f>
        <v>1422166</v>
      </c>
      <c r="C18" s="35">
        <f t="shared" si="3"/>
        <v>28174</v>
      </c>
      <c r="D18" s="35">
        <f t="shared" si="3"/>
        <v>466276</v>
      </c>
      <c r="E18" s="35">
        <f t="shared" si="3"/>
        <v>79409</v>
      </c>
      <c r="F18" s="35">
        <f t="shared" si="3"/>
        <v>148935</v>
      </c>
      <c r="G18" s="35">
        <f t="shared" si="3"/>
        <v>264838</v>
      </c>
      <c r="H18" s="35">
        <f t="shared" si="3"/>
        <v>56795</v>
      </c>
      <c r="I18" s="35">
        <f t="shared" si="3"/>
        <v>82726</v>
      </c>
      <c r="J18" s="35">
        <f>SUM(J16:J17)</f>
        <v>10581</v>
      </c>
      <c r="K18" s="35">
        <f t="shared" si="3"/>
        <v>60100</v>
      </c>
      <c r="L18" s="35">
        <f t="shared" si="3"/>
        <v>0</v>
      </c>
      <c r="M18" s="35">
        <f t="shared" si="3"/>
        <v>300</v>
      </c>
      <c r="N18" s="277">
        <f>SUM(B18:M18)</f>
        <v>2620300</v>
      </c>
      <c r="Q18" s="303"/>
      <c r="R18" s="303"/>
    </row>
    <row r="19" spans="1:18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8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8" x14ac:dyDescent="0.2">
      <c r="A21" s="64" t="s">
        <v>33</v>
      </c>
      <c r="B21" s="21">
        <f>SUM([4]Delta!$DX$37:$EI$37)</f>
        <v>18733</v>
      </c>
      <c r="C21" s="21">
        <f>SUM('[4]Atlantic Southeast'!$DX$37:$EI$37)</f>
        <v>173</v>
      </c>
      <c r="D21" s="21">
        <f>SUM([4]Pinnacle!$DX$37:$EI$37)</f>
        <v>3327</v>
      </c>
      <c r="E21" s="21">
        <f>SUM([4]Compass!$DX$37:$EI$37)</f>
        <v>489</v>
      </c>
      <c r="F21" s="21">
        <f>SUM('[4]Sky West'!$DX$37:$EI$37)</f>
        <v>877</v>
      </c>
      <c r="G21" s="21">
        <f>SUM('[4]Sun Country'!$DX$37:$EI$37)</f>
        <v>737</v>
      </c>
      <c r="H21" s="21">
        <f>SUM([4]Icelandair!$DX$37:$EI$37)</f>
        <v>689</v>
      </c>
      <c r="I21" s="21">
        <f>SUM([4]AirCanada!$DX$37:$EI$37)</f>
        <v>473</v>
      </c>
      <c r="J21" s="21">
        <f>SUM([4]Condor!$DX$37:$EI$37)</f>
        <v>22</v>
      </c>
      <c r="K21" s="21">
        <f>SUM('[4]Air France'!$DX$37:$EI$37)</f>
        <v>105</v>
      </c>
      <c r="L21" s="21">
        <f>SUM([4]Comair!$DX$37:$EI$37)</f>
        <v>0</v>
      </c>
      <c r="M21" s="21">
        <f>SUM('[4]Charter Misc'!$DX$37:$EI$37)++SUM([4]Ryan!$DX$37:$EI$37)+SUM([4]Omni!$DX$37:$EI$37)</f>
        <v>3</v>
      </c>
      <c r="N21" s="275">
        <f>SUM(B21:M21)</f>
        <v>25628</v>
      </c>
    </row>
    <row r="22" spans="1:18" x14ac:dyDescent="0.2">
      <c r="A22" s="64" t="s">
        <v>36</v>
      </c>
      <c r="B22" s="14">
        <f>SUM([4]Delta!$DX$38:$EI$38)</f>
        <v>18963</v>
      </c>
      <c r="C22" s="14">
        <f>SUM('[4]Atlantic Southeast'!$DX$38:$EI$38)</f>
        <v>195</v>
      </c>
      <c r="D22" s="14">
        <f>SUM([4]Pinnacle!$DX$38:$EI$38)</f>
        <v>3303</v>
      </c>
      <c r="E22" s="14">
        <f>SUM([4]Compass!$DX$38:$EI$38)</f>
        <v>508</v>
      </c>
      <c r="F22" s="14">
        <f>SUM('[4]Sky West'!$DX$38:$EI$38)</f>
        <v>896</v>
      </c>
      <c r="G22" s="14">
        <f>SUM('[4]Sun Country'!$DX$38:$EI$38)</f>
        <v>788</v>
      </c>
      <c r="H22" s="14">
        <f>SUM([4]Icelandair!$DX$38:$EI$38)</f>
        <v>687</v>
      </c>
      <c r="I22" s="14">
        <f>SUM([4]AirCanada!$DX$38:$EI$38)</f>
        <v>494</v>
      </c>
      <c r="J22" s="14">
        <f>SUM([4]Condor!$DX$38:$EI$38)</f>
        <v>21</v>
      </c>
      <c r="K22" s="14">
        <f>SUM('[4]Air France'!$DX$38:$EI$38)</f>
        <v>61</v>
      </c>
      <c r="L22" s="14">
        <f>SUM([4]Comair!$DX$38:$EI$38)</f>
        <v>0</v>
      </c>
      <c r="M22" s="14">
        <f>SUM('[4]Charter Misc'!$DX$38:$EI$38)++SUM([4]Ryan!$DX$38:$EI$38)+SUM([4]Omni!$DX$38:$EI$38)</f>
        <v>0</v>
      </c>
      <c r="N22" s="276">
        <f>SUM(B22:M22)</f>
        <v>25916</v>
      </c>
    </row>
    <row r="23" spans="1:18" ht="15.75" thickBot="1" x14ac:dyDescent="0.3">
      <c r="A23" s="65" t="s">
        <v>37</v>
      </c>
      <c r="B23" s="278">
        <f t="shared" ref="B23:M23" si="4">SUM(B21:B22)</f>
        <v>37696</v>
      </c>
      <c r="C23" s="278">
        <f t="shared" si="4"/>
        <v>368</v>
      </c>
      <c r="D23" s="278">
        <f t="shared" si="4"/>
        <v>6630</v>
      </c>
      <c r="E23" s="278">
        <f t="shared" si="4"/>
        <v>997</v>
      </c>
      <c r="F23" s="278">
        <f t="shared" si="4"/>
        <v>1773</v>
      </c>
      <c r="G23" s="278">
        <f t="shared" si="4"/>
        <v>1525</v>
      </c>
      <c r="H23" s="278">
        <f t="shared" si="4"/>
        <v>1376</v>
      </c>
      <c r="I23" s="278">
        <f t="shared" si="4"/>
        <v>967</v>
      </c>
      <c r="J23" s="278">
        <f>SUM(J21:J22)</f>
        <v>43</v>
      </c>
      <c r="K23" s="278">
        <f t="shared" si="4"/>
        <v>166</v>
      </c>
      <c r="L23" s="278">
        <f t="shared" si="4"/>
        <v>0</v>
      </c>
      <c r="M23" s="278">
        <f t="shared" si="4"/>
        <v>3</v>
      </c>
      <c r="N23" s="279">
        <f>SUM(B23:M23)</f>
        <v>51544</v>
      </c>
    </row>
    <row r="25" spans="1:18" ht="26.25" thickBot="1" x14ac:dyDescent="0.25">
      <c r="B25" s="12" t="s">
        <v>20</v>
      </c>
      <c r="C25" s="266" t="s">
        <v>55</v>
      </c>
      <c r="D25" s="453" t="s">
        <v>192</v>
      </c>
      <c r="E25" s="12" t="s">
        <v>131</v>
      </c>
      <c r="F25" s="12" t="s">
        <v>110</v>
      </c>
      <c r="G25" s="12" t="s">
        <v>156</v>
      </c>
      <c r="H25" s="12" t="s">
        <v>126</v>
      </c>
      <c r="I25" s="12" t="s">
        <v>111</v>
      </c>
      <c r="J25" s="266" t="s">
        <v>210</v>
      </c>
      <c r="K25" s="12" t="s">
        <v>187</v>
      </c>
      <c r="L25" s="12" t="s">
        <v>56</v>
      </c>
      <c r="M25" s="12" t="s">
        <v>157</v>
      </c>
      <c r="N25" s="266" t="s">
        <v>24</v>
      </c>
    </row>
    <row r="26" spans="1:18" ht="15" x14ac:dyDescent="0.25">
      <c r="A26" s="514" t="s">
        <v>161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6"/>
    </row>
    <row r="27" spans="1:18" x14ac:dyDescent="0.2">
      <c r="A27" s="64" t="s">
        <v>25</v>
      </c>
      <c r="B27" s="21">
        <f>[4]Delta!$EI$15</f>
        <v>269</v>
      </c>
      <c r="C27" s="21">
        <f>'[4]Atlantic Southeast'!$EI$15</f>
        <v>85</v>
      </c>
      <c r="D27" s="21">
        <f>[4]Pinnacle!$EI$15</f>
        <v>286</v>
      </c>
      <c r="E27" s="21">
        <f>[4]Compass!$EI$15</f>
        <v>88</v>
      </c>
      <c r="F27" s="21">
        <f>'[4]Sky West'!$EI$15</f>
        <v>63</v>
      </c>
      <c r="G27" s="21">
        <f>'[4]Sun Country'!$EI$15</f>
        <v>91</v>
      </c>
      <c r="H27" s="21">
        <f>[4]Icelandair!$EI$15</f>
        <v>16</v>
      </c>
      <c r="I27" s="21">
        <f>[4]AirCanada!$EI$15</f>
        <v>0</v>
      </c>
      <c r="J27" s="21">
        <f>[4]Condor!$EI$15</f>
        <v>0</v>
      </c>
      <c r="K27" s="21">
        <f>'[4]Air France'!$EI$15</f>
        <v>0</v>
      </c>
      <c r="L27" s="21">
        <f>[4]Comair!$EI$15</f>
        <v>0</v>
      </c>
      <c r="M27" s="21">
        <f>'[4]Charter Misc'!$EI$15+[4]Ryan!$EI$15+[4]Omni!$EI$15</f>
        <v>0</v>
      </c>
      <c r="N27" s="275">
        <f>SUM(B27:M27)</f>
        <v>898</v>
      </c>
    </row>
    <row r="28" spans="1:18" x14ac:dyDescent="0.2">
      <c r="A28" s="64" t="s">
        <v>26</v>
      </c>
      <c r="B28" s="21">
        <f>[4]Delta!$EI$16</f>
        <v>267</v>
      </c>
      <c r="C28" s="21">
        <f>'[4]Atlantic Southeast'!$EI$16</f>
        <v>83</v>
      </c>
      <c r="D28" s="21">
        <f>[4]Pinnacle!$EI$16</f>
        <v>286</v>
      </c>
      <c r="E28" s="21">
        <f>[4]Compass!$EI$16</f>
        <v>87</v>
      </c>
      <c r="F28" s="21">
        <f>'[4]Sky West'!$EI$16</f>
        <v>61</v>
      </c>
      <c r="G28" s="21">
        <f>'[4]Sun Country'!$EI$16</f>
        <v>101</v>
      </c>
      <c r="H28" s="21">
        <f>[4]Icelandair!$EI$16</f>
        <v>16</v>
      </c>
      <c r="I28" s="21">
        <f>[4]AirCanada!$EI$16</f>
        <v>0</v>
      </c>
      <c r="J28" s="21">
        <f>[4]Condor!$EI$16</f>
        <v>0</v>
      </c>
      <c r="K28" s="21">
        <f>'[4]Air France'!$EI$16</f>
        <v>0</v>
      </c>
      <c r="L28" s="21">
        <f>[4]Comair!$EI$16</f>
        <v>0</v>
      </c>
      <c r="M28" s="21">
        <f>'[4]Charter Misc'!$EI$16+[4]Ryan!$EI$16+[4]Omni!$EI$16</f>
        <v>0</v>
      </c>
      <c r="N28" s="275">
        <f>SUM(B28:M28)</f>
        <v>901</v>
      </c>
    </row>
    <row r="29" spans="1:18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8" ht="15.75" thickBot="1" x14ac:dyDescent="0.3">
      <c r="A30" s="65" t="s">
        <v>31</v>
      </c>
      <c r="B30" s="399">
        <f t="shared" ref="B30:I30" si="5">SUM(B27:B28)</f>
        <v>536</v>
      </c>
      <c r="C30" s="399">
        <f t="shared" si="5"/>
        <v>168</v>
      </c>
      <c r="D30" s="399">
        <f t="shared" si="5"/>
        <v>572</v>
      </c>
      <c r="E30" s="399">
        <f t="shared" si="5"/>
        <v>175</v>
      </c>
      <c r="F30" s="399">
        <f>SUM(F27:F28)</f>
        <v>124</v>
      </c>
      <c r="G30" s="399">
        <f t="shared" si="5"/>
        <v>192</v>
      </c>
      <c r="H30" s="399">
        <f t="shared" si="5"/>
        <v>32</v>
      </c>
      <c r="I30" s="399">
        <f t="shared" si="5"/>
        <v>0</v>
      </c>
      <c r="J30" s="399">
        <f>SUM(J27:J28)</f>
        <v>0</v>
      </c>
      <c r="K30" s="399">
        <f>SUM(K27:K28)</f>
        <v>0</v>
      </c>
      <c r="L30" s="399">
        <f>SUM(L27:L28)</f>
        <v>0</v>
      </c>
      <c r="M30" s="399">
        <f>SUM(M27:M28)</f>
        <v>0</v>
      </c>
      <c r="N30" s="400">
        <f>SUM(B30:M30)</f>
        <v>1799</v>
      </c>
    </row>
    <row r="31" spans="1:18" ht="15" x14ac:dyDescent="0.25">
      <c r="A31" s="401"/>
    </row>
    <row r="32" spans="1:18" ht="26.25" thickBot="1" x14ac:dyDescent="0.25">
      <c r="B32" s="12" t="s">
        <v>20</v>
      </c>
      <c r="C32" s="266" t="s">
        <v>55</v>
      </c>
      <c r="D32" s="453" t="s">
        <v>192</v>
      </c>
      <c r="E32" s="12" t="s">
        <v>131</v>
      </c>
      <c r="F32" s="12" t="s">
        <v>110</v>
      </c>
      <c r="G32" s="12" t="s">
        <v>156</v>
      </c>
      <c r="H32" s="12" t="s">
        <v>126</v>
      </c>
      <c r="I32" s="12" t="s">
        <v>111</v>
      </c>
      <c r="J32" s="266" t="s">
        <v>210</v>
      </c>
      <c r="K32" s="12" t="s">
        <v>187</v>
      </c>
      <c r="L32" s="12" t="s">
        <v>56</v>
      </c>
      <c r="M32" s="12" t="s">
        <v>157</v>
      </c>
      <c r="N32" s="266" t="s">
        <v>159</v>
      </c>
    </row>
    <row r="33" spans="1:14" ht="15" x14ac:dyDescent="0.25">
      <c r="A33" s="517" t="s">
        <v>162</v>
      </c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9"/>
    </row>
    <row r="34" spans="1:14" x14ac:dyDescent="0.2">
      <c r="A34" s="64" t="s">
        <v>25</v>
      </c>
      <c r="B34" s="21">
        <f>SUM([4]Delta!$DX$15:$EI$15)</f>
        <v>3902</v>
      </c>
      <c r="C34" s="21">
        <f>SUM('[4]Atlantic Southeast'!$DX$15:$EI$15)</f>
        <v>204</v>
      </c>
      <c r="D34" s="21">
        <f>SUM([4]Pinnacle!$DX$15:$EI$15)</f>
        <v>3654</v>
      </c>
      <c r="E34" s="21">
        <f>SUM([4]Compass!$DX$15:$EI$15)</f>
        <v>620</v>
      </c>
      <c r="F34" s="21">
        <f>SUM('[4]Sky West'!$DX$15:$EI$15)</f>
        <v>1496</v>
      </c>
      <c r="G34" s="21">
        <f>SUM('[4]Sun Country'!$DX$15:$EI$15)</f>
        <v>1011</v>
      </c>
      <c r="H34" s="21">
        <f>SUM([4]Icelandair!$DX$15:$EI$15)</f>
        <v>185</v>
      </c>
      <c r="I34" s="21">
        <f>SUM([4]AirCanada!$DX$15:$EI$15)</f>
        <v>973</v>
      </c>
      <c r="J34" s="21">
        <f>SUM([4]Condor!$DX$15:$EI$15)</f>
        <v>22</v>
      </c>
      <c r="K34" s="21">
        <f>SUM('[4]Air France'!$DX$15:$EI$15)</f>
        <v>122</v>
      </c>
      <c r="L34" s="21">
        <f>SUM([4]Comair!$DX$15:$EI$15)</f>
        <v>0</v>
      </c>
      <c r="M34" s="21">
        <f>SUM('[4]Charter Misc'!$DX$15:$EI$15)+SUM([4]Ryan!$DX$15:$EI$15)+SUM([4]Omni!$DX$15:$EI$15)</f>
        <v>2</v>
      </c>
      <c r="N34" s="275">
        <f>SUM(B34:M34)</f>
        <v>12191</v>
      </c>
    </row>
    <row r="35" spans="1:14" x14ac:dyDescent="0.2">
      <c r="A35" s="64" t="s">
        <v>26</v>
      </c>
      <c r="B35" s="21">
        <f>SUM([4]Delta!$DX$16:$EI$16)</f>
        <v>3897</v>
      </c>
      <c r="C35" s="21">
        <f>SUM('[4]Atlantic Southeast'!$DX$16:$EI$16)</f>
        <v>264</v>
      </c>
      <c r="D35" s="21">
        <f>SUM([4]Pinnacle!$DX$16:$EI$16)</f>
        <v>3589</v>
      </c>
      <c r="E35" s="21">
        <f>SUM([4]Compass!$DX$16:$EI$16)</f>
        <v>613</v>
      </c>
      <c r="F35" s="21">
        <f>SUM('[4]Sky West'!$DX$16:$EI$16)</f>
        <v>1489</v>
      </c>
      <c r="G35" s="21">
        <f>SUM('[4]Sun Country'!$DX$16:$EI$16)</f>
        <v>1019</v>
      </c>
      <c r="H35" s="21">
        <f>SUM([4]Icelandair!$DX$16:$EI$16)</f>
        <v>185</v>
      </c>
      <c r="I35" s="21">
        <f>SUM([4]AirCanada!$DX$16:$EI$16)</f>
        <v>972</v>
      </c>
      <c r="J35" s="21">
        <f>SUM([4]Condor!$DX$16:$EI$16)</f>
        <v>22</v>
      </c>
      <c r="K35" s="21">
        <f>SUM('[4]Air France'!$DX$16:$EI$16)</f>
        <v>122</v>
      </c>
      <c r="L35" s="21">
        <f>SUM([4]Comair!$DX$16:$EI$16)</f>
        <v>0</v>
      </c>
      <c r="M35" s="21">
        <f>SUM('[4]Charter Misc'!$DX$16:$EI$16)+SUM([4]Ryan!$DX$16:$EI$16)+SUM([4]Omni!$DX$16:$EI$16)</f>
        <v>1</v>
      </c>
      <c r="N35" s="275">
        <f>SUM(B35:M35)</f>
        <v>12173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399">
        <f t="shared" ref="B37:I37" si="6">+SUM(B34:B35)</f>
        <v>7799</v>
      </c>
      <c r="C37" s="399">
        <f t="shared" si="6"/>
        <v>468</v>
      </c>
      <c r="D37" s="399">
        <f t="shared" si="6"/>
        <v>7243</v>
      </c>
      <c r="E37" s="399">
        <f t="shared" si="6"/>
        <v>1233</v>
      </c>
      <c r="F37" s="399">
        <f>+SUM(F34:F35)</f>
        <v>2985</v>
      </c>
      <c r="G37" s="399">
        <f t="shared" si="6"/>
        <v>2030</v>
      </c>
      <c r="H37" s="399">
        <f t="shared" si="6"/>
        <v>370</v>
      </c>
      <c r="I37" s="399">
        <f t="shared" si="6"/>
        <v>1945</v>
      </c>
      <c r="J37" s="399">
        <f>+SUM(J34:J35)</f>
        <v>44</v>
      </c>
      <c r="K37" s="399">
        <f>+SUM(K34:K35)</f>
        <v>244</v>
      </c>
      <c r="L37" s="399">
        <f>+SUM(L34:L35)</f>
        <v>0</v>
      </c>
      <c r="M37" s="399">
        <f>+SUM(M34:M35)</f>
        <v>3</v>
      </c>
      <c r="N37" s="400">
        <f>SUM(B37:M37)</f>
        <v>24364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&amp;"Arial,Bold"December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2015-12-28T15:03:27Z</cp:lastPrinted>
  <dcterms:created xsi:type="dcterms:W3CDTF">2007-09-24T12:26:24Z</dcterms:created>
  <dcterms:modified xsi:type="dcterms:W3CDTF">2020-01-29T19:28:08Z</dcterms:modified>
</cp:coreProperties>
</file>