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8F2B259D-0EEB-4539-89B1-B55F3801A62A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5" l="1"/>
  <c r="C15" i="15"/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C11" i="7"/>
  <c r="C10" i="7"/>
  <c r="C6" i="7"/>
  <c r="C5" i="7"/>
  <c r="D11" i="7"/>
  <c r="B11" i="7"/>
  <c r="D10" i="7"/>
  <c r="B10" i="7"/>
  <c r="D6" i="7"/>
  <c r="B6" i="7"/>
  <c r="D5" i="7"/>
  <c r="B5" i="7"/>
  <c r="Q49" i="9"/>
  <c r="P49" i="9"/>
  <c r="N49" i="9"/>
  <c r="L49" i="9"/>
  <c r="H49" i="9"/>
  <c r="G49" i="9"/>
  <c r="E49" i="9"/>
  <c r="C49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0" i="9"/>
  <c r="P50" i="9"/>
  <c r="N50" i="9"/>
  <c r="L50" i="9"/>
  <c r="H50" i="9"/>
  <c r="G50" i="9"/>
  <c r="E50" i="9"/>
  <c r="C50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18" i="9"/>
  <c r="P18" i="9"/>
  <c r="N18" i="9"/>
  <c r="L18" i="9"/>
  <c r="H18" i="9"/>
  <c r="G18" i="9"/>
  <c r="E18" i="9"/>
  <c r="C18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1" i="9"/>
  <c r="P41" i="9"/>
  <c r="N41" i="9"/>
  <c r="L41" i="9"/>
  <c r="H41" i="9"/>
  <c r="G41" i="9"/>
  <c r="E41" i="9"/>
  <c r="C41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0" i="9"/>
  <c r="P40" i="9"/>
  <c r="N40" i="9"/>
  <c r="L40" i="9"/>
  <c r="H40" i="9"/>
  <c r="G40" i="9"/>
  <c r="E40" i="9"/>
  <c r="C40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1" i="9"/>
  <c r="P21" i="9"/>
  <c r="N21" i="9"/>
  <c r="L21" i="9"/>
  <c r="H21" i="9"/>
  <c r="G21" i="9"/>
  <c r="E21" i="9"/>
  <c r="C21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6" i="9"/>
  <c r="P16" i="9"/>
  <c r="N16" i="9"/>
  <c r="L16" i="9"/>
  <c r="H16" i="9"/>
  <c r="G16" i="9"/>
  <c r="E16" i="9"/>
  <c r="C16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0" i="9"/>
  <c r="P20" i="9"/>
  <c r="N20" i="9"/>
  <c r="L20" i="9"/>
  <c r="H20" i="9"/>
  <c r="G20" i="9"/>
  <c r="E20" i="9"/>
  <c r="C20" i="9"/>
  <c r="C47" i="15"/>
  <c r="C46" i="15"/>
  <c r="C36" i="15"/>
  <c r="C35" i="15"/>
  <c r="C31" i="15"/>
  <c r="C30" i="15"/>
  <c r="C26" i="15"/>
  <c r="C25" i="15"/>
  <c r="C19" i="15"/>
  <c r="C18" i="15"/>
  <c r="C11" i="15"/>
  <c r="C10" i="15"/>
  <c r="C6" i="15"/>
  <c r="C5" i="15"/>
  <c r="Q44" i="9"/>
  <c r="P44" i="9"/>
  <c r="N44" i="9"/>
  <c r="L44" i="9"/>
  <c r="H44" i="9"/>
  <c r="G44" i="9"/>
  <c r="E44" i="9"/>
  <c r="C44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48" i="9"/>
  <c r="P48" i="9"/>
  <c r="N48" i="9"/>
  <c r="L48" i="9"/>
  <c r="H48" i="9"/>
  <c r="G48" i="9"/>
  <c r="E48" i="9"/>
  <c r="C48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3" i="9"/>
  <c r="N43" i="9"/>
  <c r="H43" i="9"/>
  <c r="E43" i="9"/>
  <c r="P43" i="9"/>
  <c r="L43" i="9"/>
  <c r="G43" i="9"/>
  <c r="C43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19" i="9"/>
  <c r="P19" i="9"/>
  <c r="N19" i="9"/>
  <c r="L19" i="9"/>
  <c r="H19" i="9"/>
  <c r="G19" i="9"/>
  <c r="E19" i="9"/>
  <c r="C19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2" i="9"/>
  <c r="P42" i="9"/>
  <c r="N42" i="9"/>
  <c r="L42" i="9"/>
  <c r="H42" i="9"/>
  <c r="G42" i="9"/>
  <c r="E42" i="9"/>
  <c r="C42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7" i="4" s="1"/>
  <c r="D11" i="4"/>
  <c r="D10" i="4"/>
  <c r="D6" i="4"/>
  <c r="D5" i="4"/>
  <c r="Q39" i="9"/>
  <c r="P39" i="9"/>
  <c r="N39" i="9"/>
  <c r="L39" i="9"/>
  <c r="H39" i="9"/>
  <c r="G39" i="9"/>
  <c r="E39" i="9"/>
  <c r="C39" i="9"/>
  <c r="C36" i="4"/>
  <c r="C35" i="4"/>
  <c r="C31" i="4"/>
  <c r="C30" i="4"/>
  <c r="C26" i="4"/>
  <c r="C25" i="4"/>
  <c r="C19" i="4"/>
  <c r="C18" i="4"/>
  <c r="C16" i="4"/>
  <c r="C15" i="4"/>
  <c r="C17" i="4" s="1"/>
  <c r="C11" i="4"/>
  <c r="C10" i="4"/>
  <c r="C6" i="4"/>
  <c r="C5" i="4"/>
  <c r="Q17" i="9"/>
  <c r="P17" i="9"/>
  <c r="N17" i="9"/>
  <c r="L17" i="9"/>
  <c r="H17" i="9"/>
  <c r="G17" i="9"/>
  <c r="E17" i="9"/>
  <c r="C17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5" i="9"/>
  <c r="P35" i="9"/>
  <c r="N35" i="9"/>
  <c r="L35" i="9"/>
  <c r="H35" i="9"/>
  <c r="G35" i="9"/>
  <c r="E35" i="9"/>
  <c r="C35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0" i="9"/>
  <c r="P30" i="9"/>
  <c r="N30" i="9"/>
  <c r="L30" i="9"/>
  <c r="H30" i="9"/>
  <c r="G30" i="9"/>
  <c r="E30" i="9"/>
  <c r="C30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7" i="9"/>
  <c r="P27" i="9"/>
  <c r="N27" i="9"/>
  <c r="L27" i="9"/>
  <c r="H27" i="9"/>
  <c r="G27" i="9"/>
  <c r="E27" i="9"/>
  <c r="C27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5" i="9"/>
  <c r="P25" i="9"/>
  <c r="N25" i="9"/>
  <c r="L25" i="9"/>
  <c r="H25" i="9"/>
  <c r="G25" i="9"/>
  <c r="E25" i="9"/>
  <c r="C25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3" i="9"/>
  <c r="P23" i="9"/>
  <c r="N23" i="9"/>
  <c r="L23" i="9"/>
  <c r="H23" i="9"/>
  <c r="G23" i="9"/>
  <c r="E23" i="9"/>
  <c r="C23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1" i="9"/>
  <c r="P31" i="9"/>
  <c r="N31" i="9"/>
  <c r="L31" i="9"/>
  <c r="H31" i="9"/>
  <c r="G31" i="9"/>
  <c r="E31" i="9"/>
  <c r="C31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3" i="9"/>
  <c r="P33" i="9"/>
  <c r="N33" i="9"/>
  <c r="L33" i="9"/>
  <c r="H33" i="9"/>
  <c r="G33" i="9"/>
  <c r="E33" i="9"/>
  <c r="C33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7" i="9"/>
  <c r="P47" i="9"/>
  <c r="N47" i="9"/>
  <c r="L47" i="9"/>
  <c r="H47" i="9"/>
  <c r="G47" i="9"/>
  <c r="E47" i="9"/>
  <c r="C47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38" i="9"/>
  <c r="N38" i="9"/>
  <c r="H38" i="9"/>
  <c r="E38" i="9"/>
  <c r="P38" i="9"/>
  <c r="L38" i="9"/>
  <c r="G38" i="9"/>
  <c r="C38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5" i="9"/>
  <c r="P15" i="9"/>
  <c r="N15" i="9"/>
  <c r="L15" i="9"/>
  <c r="H15" i="9"/>
  <c r="G15" i="9"/>
  <c r="E15" i="9"/>
  <c r="C15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C53" i="9" l="1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D37" i="1"/>
  <c r="B37" i="1"/>
  <c r="D36" i="1"/>
  <c r="B36" i="1"/>
  <c r="E28" i="1"/>
  <c r="E27" i="1"/>
  <c r="E21" i="1"/>
  <c r="E20" i="1"/>
  <c r="E19" i="1"/>
  <c r="E18" i="1"/>
  <c r="E17" i="1"/>
  <c r="E16" i="1"/>
  <c r="E10" i="1"/>
  <c r="O21" i="7"/>
  <c r="J21" i="7"/>
  <c r="E21" i="7"/>
  <c r="H28" i="1"/>
  <c r="H27" i="1"/>
  <c r="H21" i="1"/>
  <c r="H20" i="1"/>
  <c r="H19" i="1"/>
  <c r="H18" i="1"/>
  <c r="H17" i="1"/>
  <c r="H16" i="1"/>
  <c r="H10" i="1"/>
  <c r="H7" i="1"/>
  <c r="E7" i="1"/>
  <c r="H6" i="1"/>
  <c r="E6" i="1"/>
  <c r="H5" i="1"/>
  <c r="E5" i="1"/>
  <c r="J7" i="15" l="1"/>
  <c r="J23" i="16"/>
  <c r="I40" i="15"/>
  <c r="G11" i="2"/>
  <c r="G21" i="2"/>
  <c r="G35" i="2"/>
  <c r="H6" i="2"/>
  <c r="H17" i="2"/>
  <c r="H30" i="2"/>
  <c r="H40" i="2"/>
  <c r="D40" i="4"/>
  <c r="J37" i="15"/>
  <c r="J30" i="16"/>
  <c r="J6" i="16"/>
  <c r="I17" i="15"/>
  <c r="I27" i="15"/>
  <c r="I37" i="15"/>
  <c r="H43" i="2"/>
  <c r="I12" i="15"/>
  <c r="I32" i="15"/>
  <c r="J37" i="16"/>
  <c r="G6" i="2"/>
  <c r="G17" i="2"/>
  <c r="G30" i="2"/>
  <c r="G40" i="2"/>
  <c r="H11" i="2"/>
  <c r="D7" i="4"/>
  <c r="D27" i="4"/>
  <c r="D37" i="4"/>
  <c r="J32" i="15"/>
  <c r="J12" i="15"/>
  <c r="I7" i="15"/>
  <c r="J27" i="15"/>
  <c r="J17" i="15"/>
  <c r="I41" i="15"/>
  <c r="H35" i="2"/>
  <c r="J18" i="16"/>
  <c r="D32" i="4"/>
  <c r="I20" i="15"/>
  <c r="H21" i="2"/>
  <c r="D12" i="4"/>
  <c r="J40" i="15"/>
  <c r="J20" i="15"/>
  <c r="D20" i="4"/>
  <c r="J11" i="16"/>
  <c r="J41" i="15"/>
  <c r="D41" i="4"/>
  <c r="G43" i="2"/>
  <c r="H44" i="2"/>
  <c r="G44" i="2"/>
  <c r="I21" i="15" l="1"/>
  <c r="G45" i="2"/>
  <c r="I42" i="15"/>
  <c r="H23" i="2"/>
  <c r="G23" i="2"/>
  <c r="D42" i="4"/>
  <c r="H45" i="2"/>
  <c r="J21" i="15"/>
  <c r="D21" i="4"/>
  <c r="J42" i="15"/>
  <c r="H10" i="8" l="1"/>
  <c r="H18" i="8" l="1"/>
  <c r="H28" i="8"/>
  <c r="H31" i="8"/>
  <c r="H23" i="8"/>
  <c r="H6" i="8"/>
  <c r="H12" i="8" s="1"/>
  <c r="H32" i="8"/>
  <c r="K18" i="8"/>
  <c r="D30" i="2"/>
  <c r="C30" i="3"/>
  <c r="E27" i="4"/>
  <c r="I27" i="4"/>
  <c r="E27" i="15"/>
  <c r="D23" i="8"/>
  <c r="D35" i="2"/>
  <c r="C35" i="3"/>
  <c r="E35" i="3"/>
  <c r="G35" i="3"/>
  <c r="G32" i="4"/>
  <c r="B32" i="15"/>
  <c r="D32" i="15"/>
  <c r="H32" i="15"/>
  <c r="K32" i="15"/>
  <c r="J31" i="8"/>
  <c r="F17" i="4"/>
  <c r="F17" i="15"/>
  <c r="K17" i="15"/>
  <c r="F20" i="4"/>
  <c r="B20" i="15"/>
  <c r="C17" i="2"/>
  <c r="E18" i="3"/>
  <c r="H18" i="3"/>
  <c r="D21" i="2"/>
  <c r="G22" i="3"/>
  <c r="C11" i="2"/>
  <c r="D11" i="2"/>
  <c r="I12" i="4"/>
  <c r="C12" i="15"/>
  <c r="E12" i="15"/>
  <c r="C7" i="4"/>
  <c r="B7" i="15"/>
  <c r="K7" i="15"/>
  <c r="I49" i="3"/>
  <c r="I51" i="2" s="1"/>
  <c r="R21" i="9"/>
  <c r="R4" i="9"/>
  <c r="R43" i="9"/>
  <c r="O16" i="9"/>
  <c r="I47" i="9"/>
  <c r="I30" i="9"/>
  <c r="I15" i="9"/>
  <c r="I33" i="9"/>
  <c r="F27" i="9"/>
  <c r="F8" i="9"/>
  <c r="O33" i="7"/>
  <c r="J33" i="7"/>
  <c r="E33" i="7"/>
  <c r="J47" i="2"/>
  <c r="N30" i="7"/>
  <c r="P30" i="7" s="1"/>
  <c r="N31" i="7"/>
  <c r="P31" i="7" s="1"/>
  <c r="D30" i="7"/>
  <c r="F30" i="7"/>
  <c r="D31" i="7"/>
  <c r="F31" i="7" s="1"/>
  <c r="N29" i="7"/>
  <c r="P29" i="7" s="1"/>
  <c r="D29" i="7"/>
  <c r="N27" i="7"/>
  <c r="P27" i="7"/>
  <c r="N28" i="7"/>
  <c r="D27" i="7"/>
  <c r="F27" i="7"/>
  <c r="D28" i="7"/>
  <c r="F28" i="7" s="1"/>
  <c r="N24" i="7"/>
  <c r="P24" i="7" s="1"/>
  <c r="N25" i="7"/>
  <c r="D24" i="7"/>
  <c r="F24" i="7"/>
  <c r="D25" i="7"/>
  <c r="F25" i="7"/>
  <c r="N23" i="7"/>
  <c r="P23" i="7" s="1"/>
  <c r="D23" i="7"/>
  <c r="F23" i="7" s="1"/>
  <c r="N32" i="7"/>
  <c r="P32" i="7" s="1"/>
  <c r="I32" i="7"/>
  <c r="K32" i="7" s="1"/>
  <c r="D32" i="7"/>
  <c r="F32" i="7"/>
  <c r="I31" i="7"/>
  <c r="K31" i="7"/>
  <c r="I30" i="7"/>
  <c r="K30" i="7"/>
  <c r="I29" i="7"/>
  <c r="K29" i="7"/>
  <c r="F29" i="7"/>
  <c r="P28" i="7"/>
  <c r="I28" i="7"/>
  <c r="K28" i="7" s="1"/>
  <c r="I27" i="7"/>
  <c r="K27" i="7"/>
  <c r="N26" i="7"/>
  <c r="P26" i="7" s="1"/>
  <c r="I26" i="7"/>
  <c r="K26" i="7" s="1"/>
  <c r="D26" i="7"/>
  <c r="F26" i="7"/>
  <c r="P25" i="7"/>
  <c r="I25" i="7"/>
  <c r="K25" i="7"/>
  <c r="I24" i="7"/>
  <c r="K24" i="7" s="1"/>
  <c r="I23" i="7"/>
  <c r="K23" i="7"/>
  <c r="N22" i="7"/>
  <c r="P22" i="7"/>
  <c r="I22" i="7"/>
  <c r="K22" i="7"/>
  <c r="D22" i="7"/>
  <c r="F22" i="7" s="1"/>
  <c r="L45" i="15"/>
  <c r="L44" i="15"/>
  <c r="N20" i="16"/>
  <c r="N8" i="16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D20" i="15"/>
  <c r="L37" i="16" l="1"/>
  <c r="K32" i="8"/>
  <c r="D40" i="15"/>
  <c r="M37" i="16"/>
  <c r="G18" i="3"/>
  <c r="G23" i="3" s="1"/>
  <c r="E17" i="4"/>
  <c r="I37" i="4"/>
  <c r="I37" i="16"/>
  <c r="E32" i="8"/>
  <c r="H37" i="16"/>
  <c r="R44" i="9"/>
  <c r="C18" i="3"/>
  <c r="E17" i="15"/>
  <c r="C40" i="4"/>
  <c r="B37" i="16"/>
  <c r="F37" i="16"/>
  <c r="H29" i="9"/>
  <c r="G44" i="3"/>
  <c r="I48" i="3"/>
  <c r="I50" i="2" s="1"/>
  <c r="J50" i="2" s="1"/>
  <c r="D30" i="16"/>
  <c r="H30" i="16"/>
  <c r="L18" i="16"/>
  <c r="N10" i="9"/>
  <c r="F18" i="9"/>
  <c r="O42" i="9"/>
  <c r="F43" i="9"/>
  <c r="F16" i="9"/>
  <c r="M11" i="16"/>
  <c r="E41" i="15"/>
  <c r="I41" i="4"/>
  <c r="O15" i="9"/>
  <c r="C23" i="16"/>
  <c r="E21" i="2"/>
  <c r="K28" i="8"/>
  <c r="C22" i="3"/>
  <c r="I20" i="4"/>
  <c r="I17" i="4"/>
  <c r="B46" i="4"/>
  <c r="B47" i="4" s="1"/>
  <c r="N29" i="9"/>
  <c r="C44" i="3"/>
  <c r="D44" i="2"/>
  <c r="C27" i="4"/>
  <c r="C18" i="8"/>
  <c r="O12" i="9"/>
  <c r="R39" i="9"/>
  <c r="B23" i="8"/>
  <c r="K18" i="16"/>
  <c r="I39" i="9"/>
  <c r="O19" i="9"/>
  <c r="R8" i="9"/>
  <c r="R38" i="9"/>
  <c r="D6" i="16"/>
  <c r="C7" i="7"/>
  <c r="B12" i="3"/>
  <c r="F18" i="3"/>
  <c r="H20" i="15"/>
  <c r="H17" i="4"/>
  <c r="J28" i="8"/>
  <c r="C28" i="8"/>
  <c r="H37" i="15"/>
  <c r="F40" i="2"/>
  <c r="B40" i="2"/>
  <c r="G40" i="15"/>
  <c r="M18" i="16"/>
  <c r="B27" i="15"/>
  <c r="E30" i="2"/>
  <c r="B30" i="16"/>
  <c r="F30" i="16"/>
  <c r="K30" i="16"/>
  <c r="E18" i="16"/>
  <c r="I18" i="16"/>
  <c r="O25" i="9"/>
  <c r="R25" i="9"/>
  <c r="R23" i="9"/>
  <c r="R35" i="9"/>
  <c r="F23" i="9"/>
  <c r="I19" i="9"/>
  <c r="O31" i="9"/>
  <c r="F40" i="9"/>
  <c r="R50" i="9"/>
  <c r="B7" i="3"/>
  <c r="F6" i="2"/>
  <c r="D7" i="15"/>
  <c r="F12" i="15"/>
  <c r="H22" i="3"/>
  <c r="H23" i="3" s="1"/>
  <c r="B17" i="15"/>
  <c r="B21" i="15" s="1"/>
  <c r="F12" i="7"/>
  <c r="B12" i="7"/>
  <c r="J6" i="8"/>
  <c r="J12" i="8" s="1"/>
  <c r="D20" i="1"/>
  <c r="F20" i="1" s="1"/>
  <c r="L32" i="8"/>
  <c r="K41" i="15"/>
  <c r="F41" i="15"/>
  <c r="B41" i="15"/>
  <c r="F41" i="4"/>
  <c r="D28" i="8"/>
  <c r="E40" i="15"/>
  <c r="I40" i="4"/>
  <c r="B40" i="3"/>
  <c r="B43" i="3"/>
  <c r="H18" i="16"/>
  <c r="F38" i="9"/>
  <c r="O27" i="9"/>
  <c r="F43" i="2"/>
  <c r="B43" i="2"/>
  <c r="G32" i="15"/>
  <c r="C32" i="15"/>
  <c r="F44" i="3"/>
  <c r="B23" i="16"/>
  <c r="F31" i="9"/>
  <c r="I11" i="9"/>
  <c r="I31" i="9"/>
  <c r="O8" i="9"/>
  <c r="R40" i="9"/>
  <c r="R12" i="9"/>
  <c r="L11" i="16"/>
  <c r="G11" i="16"/>
  <c r="F6" i="16"/>
  <c r="B6" i="16"/>
  <c r="I11" i="16"/>
  <c r="E11" i="16"/>
  <c r="H6" i="16"/>
  <c r="H12" i="15"/>
  <c r="H12" i="4"/>
  <c r="F12" i="3"/>
  <c r="C21" i="2"/>
  <c r="C23" i="2" s="1"/>
  <c r="B18" i="3"/>
  <c r="H20" i="4"/>
  <c r="H17" i="15"/>
  <c r="D17" i="15"/>
  <c r="D21" i="15" s="1"/>
  <c r="F32" i="4"/>
  <c r="H35" i="3"/>
  <c r="D35" i="3"/>
  <c r="L23" i="8"/>
  <c r="E23" i="8"/>
  <c r="K27" i="15"/>
  <c r="F27" i="15"/>
  <c r="I28" i="3"/>
  <c r="I28" i="2" s="1"/>
  <c r="J28" i="2" s="1"/>
  <c r="B5" i="5" s="1"/>
  <c r="C32" i="4"/>
  <c r="B35" i="3"/>
  <c r="J23" i="8"/>
  <c r="H33" i="8"/>
  <c r="C30" i="16"/>
  <c r="G30" i="16"/>
  <c r="R15" i="9"/>
  <c r="C29" i="9"/>
  <c r="H37" i="9"/>
  <c r="I44" i="9"/>
  <c r="F7" i="3"/>
  <c r="E7" i="7"/>
  <c r="C12" i="7"/>
  <c r="K6" i="8"/>
  <c r="K12" i="8" s="1"/>
  <c r="D44" i="3"/>
  <c r="E44" i="2"/>
  <c r="E32" i="15"/>
  <c r="I32" i="4"/>
  <c r="F27" i="4"/>
  <c r="L18" i="8"/>
  <c r="E18" i="8"/>
  <c r="G31" i="8"/>
  <c r="B10" i="8"/>
  <c r="H23" i="16"/>
  <c r="I6" i="9"/>
  <c r="Q10" i="9"/>
  <c r="I43" i="9"/>
  <c r="I16" i="9"/>
  <c r="L6" i="16"/>
  <c r="G6" i="16"/>
  <c r="C6" i="16"/>
  <c r="E6" i="16"/>
  <c r="E7" i="3"/>
  <c r="H7" i="3"/>
  <c r="D7" i="3"/>
  <c r="C6" i="8"/>
  <c r="C12" i="8" s="1"/>
  <c r="R48" i="9"/>
  <c r="B40" i="4"/>
  <c r="B31" i="8"/>
  <c r="E23" i="16"/>
  <c r="I23" i="16"/>
  <c r="I27" i="9"/>
  <c r="F4" i="9"/>
  <c r="F21" i="9"/>
  <c r="F50" i="9"/>
  <c r="G46" i="9"/>
  <c r="O17" i="9"/>
  <c r="O44" i="9"/>
  <c r="O40" i="9"/>
  <c r="O49" i="9"/>
  <c r="R6" i="9"/>
  <c r="R47" i="9"/>
  <c r="R20" i="9"/>
  <c r="I7" i="4"/>
  <c r="E7" i="4"/>
  <c r="I10" i="3"/>
  <c r="I9" i="2" s="1"/>
  <c r="B17" i="2"/>
  <c r="B6" i="8"/>
  <c r="D21" i="1"/>
  <c r="F21" i="1" s="1"/>
  <c r="G41" i="15"/>
  <c r="L36" i="15"/>
  <c r="J36" i="4" s="1"/>
  <c r="K36" i="4" s="1"/>
  <c r="C16" i="5" s="1"/>
  <c r="B37" i="4"/>
  <c r="L31" i="8"/>
  <c r="E28" i="8"/>
  <c r="K40" i="15"/>
  <c r="F40" i="4"/>
  <c r="G40" i="3"/>
  <c r="C40" i="3"/>
  <c r="D40" i="2"/>
  <c r="E44" i="3"/>
  <c r="C32" i="8"/>
  <c r="L10" i="8"/>
  <c r="F30" i="9"/>
  <c r="R27" i="9"/>
  <c r="C10" i="9"/>
  <c r="F48" i="9"/>
  <c r="R33" i="9"/>
  <c r="R30" i="9"/>
  <c r="H7" i="15"/>
  <c r="K12" i="15"/>
  <c r="F12" i="4"/>
  <c r="D12" i="3"/>
  <c r="E11" i="2"/>
  <c r="D22" i="3"/>
  <c r="F40" i="3"/>
  <c r="C40" i="2"/>
  <c r="E10" i="9"/>
  <c r="F11" i="9"/>
  <c r="N53" i="9"/>
  <c r="O21" i="9"/>
  <c r="F39" i="9"/>
  <c r="C37" i="9"/>
  <c r="R18" i="9"/>
  <c r="G5" i="7"/>
  <c r="B7" i="1" s="1"/>
  <c r="G12" i="15"/>
  <c r="G12" i="4"/>
  <c r="B12" i="4"/>
  <c r="F21" i="2"/>
  <c r="F17" i="2"/>
  <c r="G20" i="15"/>
  <c r="C20" i="15"/>
  <c r="G20" i="4"/>
  <c r="B20" i="4"/>
  <c r="G17" i="15"/>
  <c r="B17" i="4"/>
  <c r="J48" i="2"/>
  <c r="C49" i="2"/>
  <c r="J49" i="2" s="1"/>
  <c r="L14" i="9"/>
  <c r="L37" i="9"/>
  <c r="L46" i="9"/>
  <c r="G6" i="7"/>
  <c r="C7" i="1" s="1"/>
  <c r="I11" i="3"/>
  <c r="I10" i="2" s="1"/>
  <c r="J10" i="2" s="1"/>
  <c r="L30" i="16"/>
  <c r="G11" i="7"/>
  <c r="C18" i="1" s="1"/>
  <c r="N46" i="9"/>
  <c r="N4" i="16"/>
  <c r="N5" i="16"/>
  <c r="L26" i="15"/>
  <c r="J26" i="4" s="1"/>
  <c r="K26" i="4" s="1"/>
  <c r="C6" i="5" s="1"/>
  <c r="D40" i="3"/>
  <c r="C23" i="8"/>
  <c r="K23" i="16"/>
  <c r="P14" i="9"/>
  <c r="R42" i="9"/>
  <c r="F37" i="4"/>
  <c r="B40" i="15"/>
  <c r="I20" i="3"/>
  <c r="I19" i="2" s="1"/>
  <c r="J19" i="2" s="1"/>
  <c r="O39" i="9"/>
  <c r="M8" i="8"/>
  <c r="F43" i="3"/>
  <c r="B27" i="4"/>
  <c r="L19" i="15"/>
  <c r="J19" i="4" s="1"/>
  <c r="K19" i="4" s="1"/>
  <c r="E31" i="8"/>
  <c r="I25" i="9"/>
  <c r="I35" i="9"/>
  <c r="Q29" i="9"/>
  <c r="I40" i="9"/>
  <c r="R17" i="9"/>
  <c r="F7" i="4"/>
  <c r="I39" i="3"/>
  <c r="I39" i="2" s="1"/>
  <c r="J39" i="2" s="1"/>
  <c r="B16" i="5" s="1"/>
  <c r="B32" i="4"/>
  <c r="F35" i="2"/>
  <c r="B35" i="2"/>
  <c r="G23" i="8"/>
  <c r="D43" i="2"/>
  <c r="F23" i="16"/>
  <c r="P29" i="9"/>
  <c r="K11" i="16"/>
  <c r="K20" i="15"/>
  <c r="K21" i="15" s="1"/>
  <c r="E40" i="4"/>
  <c r="D31" i="8"/>
  <c r="E43" i="3"/>
  <c r="B41" i="4"/>
  <c r="E32" i="4"/>
  <c r="B18" i="16"/>
  <c r="F18" i="16"/>
  <c r="N21" i="16"/>
  <c r="I41" i="9"/>
  <c r="N14" i="9"/>
  <c r="O20" i="9"/>
  <c r="O48" i="9"/>
  <c r="Q37" i="9"/>
  <c r="O38" i="9"/>
  <c r="O47" i="9"/>
  <c r="F19" i="9"/>
  <c r="G7" i="3"/>
  <c r="C6" i="2"/>
  <c r="E7" i="15"/>
  <c r="G7" i="15"/>
  <c r="G7" i="4"/>
  <c r="I16" i="3"/>
  <c r="I15" i="2" s="1"/>
  <c r="J15" i="2" s="1"/>
  <c r="C37" i="4"/>
  <c r="H40" i="15"/>
  <c r="R41" i="9"/>
  <c r="P37" i="9"/>
  <c r="E6" i="8"/>
  <c r="E12" i="8" s="1"/>
  <c r="M5" i="8"/>
  <c r="C19" i="1" s="1"/>
  <c r="M27" i="8"/>
  <c r="D16" i="5" s="1"/>
  <c r="C44" i="2"/>
  <c r="G23" i="16"/>
  <c r="L23" i="16"/>
  <c r="R16" i="9"/>
  <c r="Q14" i="9"/>
  <c r="O30" i="9"/>
  <c r="L29" i="9"/>
  <c r="F49" i="9"/>
  <c r="C46" i="9"/>
  <c r="I5" i="3"/>
  <c r="I4" i="2" s="1"/>
  <c r="J4" i="2" s="1"/>
  <c r="B5" i="1" s="1"/>
  <c r="C7" i="15"/>
  <c r="L5" i="15"/>
  <c r="J5" i="4" s="1"/>
  <c r="K5" i="4" s="1"/>
  <c r="B6" i="1" s="1"/>
  <c r="L16" i="15"/>
  <c r="J16" i="4" s="1"/>
  <c r="K16" i="4" s="1"/>
  <c r="F20" i="15"/>
  <c r="F21" i="15" s="1"/>
  <c r="H30" i="3"/>
  <c r="H43" i="3"/>
  <c r="E14" i="9"/>
  <c r="F15" i="9"/>
  <c r="P53" i="9"/>
  <c r="I34" i="3"/>
  <c r="I34" i="2" s="1"/>
  <c r="J34" i="2" s="1"/>
  <c r="B11" i="5" s="1"/>
  <c r="I29" i="3"/>
  <c r="I29" i="2" s="1"/>
  <c r="E12" i="3"/>
  <c r="B30" i="3"/>
  <c r="F35" i="3"/>
  <c r="B44" i="3"/>
  <c r="L31" i="15"/>
  <c r="J31" i="4" s="1"/>
  <c r="G18" i="8"/>
  <c r="C30" i="2"/>
  <c r="H40" i="3"/>
  <c r="H44" i="3"/>
  <c r="M9" i="8"/>
  <c r="I30" i="16"/>
  <c r="N28" i="16"/>
  <c r="N17" i="16"/>
  <c r="G18" i="16"/>
  <c r="D23" i="16"/>
  <c r="H40" i="4"/>
  <c r="H37" i="4"/>
  <c r="I38" i="3"/>
  <c r="I38" i="2" s="1"/>
  <c r="E40" i="3"/>
  <c r="G28" i="8"/>
  <c r="G32" i="8"/>
  <c r="M16" i="8"/>
  <c r="D5" i="5" s="1"/>
  <c r="B18" i="8"/>
  <c r="G29" i="9"/>
  <c r="G37" i="15"/>
  <c r="L18" i="15"/>
  <c r="J18" i="4" s="1"/>
  <c r="J32" i="8"/>
  <c r="F25" i="9"/>
  <c r="N10" i="16"/>
  <c r="B11" i="16"/>
  <c r="J51" i="2"/>
  <c r="I21" i="3"/>
  <c r="I20" i="2" s="1"/>
  <c r="J20" i="2" s="1"/>
  <c r="F22" i="3"/>
  <c r="B22" i="3"/>
  <c r="H41" i="4"/>
  <c r="C41" i="4"/>
  <c r="M26" i="8"/>
  <c r="D15" i="5" s="1"/>
  <c r="C37" i="15"/>
  <c r="F30" i="3"/>
  <c r="L46" i="15"/>
  <c r="J44" i="4" s="1"/>
  <c r="K44" i="4" s="1"/>
  <c r="K37" i="16"/>
  <c r="F35" i="9"/>
  <c r="I23" i="9"/>
  <c r="O18" i="9"/>
  <c r="O41" i="9"/>
  <c r="O50" i="9"/>
  <c r="F42" i="9"/>
  <c r="F41" i="9"/>
  <c r="F11" i="16"/>
  <c r="L47" i="15"/>
  <c r="J45" i="4" s="1"/>
  <c r="K45" i="4" s="1"/>
  <c r="E22" i="3"/>
  <c r="E23" i="3" s="1"/>
  <c r="B21" i="2"/>
  <c r="K37" i="15"/>
  <c r="G37" i="4"/>
  <c r="E40" i="2"/>
  <c r="L30" i="15"/>
  <c r="J30" i="4" s="1"/>
  <c r="K30" i="4" s="1"/>
  <c r="C10" i="5" s="1"/>
  <c r="H27" i="15"/>
  <c r="M22" i="8"/>
  <c r="D11" i="5" s="1"/>
  <c r="G27" i="15"/>
  <c r="C41" i="15"/>
  <c r="G41" i="4"/>
  <c r="E30" i="3"/>
  <c r="M17" i="8"/>
  <c r="E30" i="16"/>
  <c r="O6" i="9"/>
  <c r="G37" i="16"/>
  <c r="I8" i="9"/>
  <c r="O33" i="9"/>
  <c r="H10" i="9"/>
  <c r="I48" i="9"/>
  <c r="R19" i="9"/>
  <c r="I6" i="16"/>
  <c r="H11" i="16"/>
  <c r="D11" i="16"/>
  <c r="D6" i="2"/>
  <c r="L6" i="15"/>
  <c r="J6" i="4" s="1"/>
  <c r="K6" i="4" s="1"/>
  <c r="C6" i="1" s="1"/>
  <c r="F7" i="7"/>
  <c r="F11" i="2"/>
  <c r="B11" i="2"/>
  <c r="C12" i="3"/>
  <c r="E20" i="15"/>
  <c r="E20" i="4"/>
  <c r="E37" i="15"/>
  <c r="B37" i="15"/>
  <c r="M21" i="8"/>
  <c r="D27" i="15"/>
  <c r="H27" i="4"/>
  <c r="E35" i="2"/>
  <c r="I38" i="9"/>
  <c r="F33" i="9"/>
  <c r="I4" i="9"/>
  <c r="I21" i="9"/>
  <c r="I50" i="9"/>
  <c r="O43" i="9"/>
  <c r="F12" i="9"/>
  <c r="F17" i="9"/>
  <c r="R31" i="9"/>
  <c r="P46" i="9"/>
  <c r="M6" i="16"/>
  <c r="I6" i="3"/>
  <c r="I5" i="2" s="1"/>
  <c r="J5" i="2" s="1"/>
  <c r="C5" i="1" s="1"/>
  <c r="C7" i="3"/>
  <c r="E6" i="2"/>
  <c r="F7" i="15"/>
  <c r="H7" i="4"/>
  <c r="D7" i="7"/>
  <c r="H12" i="3"/>
  <c r="C12" i="4"/>
  <c r="D17" i="2"/>
  <c r="D23" i="2" s="1"/>
  <c r="C17" i="15"/>
  <c r="G17" i="4"/>
  <c r="C20" i="4"/>
  <c r="D12" i="7"/>
  <c r="E12" i="7"/>
  <c r="L6" i="8"/>
  <c r="H41" i="15"/>
  <c r="C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28" i="8"/>
  <c r="I6" i="8"/>
  <c r="I12" i="8" s="1"/>
  <c r="L28" i="8"/>
  <c r="G6" i="8"/>
  <c r="G12" i="8" s="1"/>
  <c r="F44" i="9"/>
  <c r="E53" i="9"/>
  <c r="I42" i="9"/>
  <c r="G37" i="9"/>
  <c r="I20" i="9"/>
  <c r="G14" i="9"/>
  <c r="I17" i="9"/>
  <c r="H14" i="9"/>
  <c r="Q46" i="9"/>
  <c r="Q53" i="9"/>
  <c r="O4" i="9"/>
  <c r="L53" i="9"/>
  <c r="B6" i="2"/>
  <c r="I17" i="3"/>
  <c r="I16" i="2" s="1"/>
  <c r="D41" i="15"/>
  <c r="D37" i="15"/>
  <c r="E41" i="4"/>
  <c r="C40" i="15"/>
  <c r="L25" i="15"/>
  <c r="J25" i="4" s="1"/>
  <c r="C27" i="15"/>
  <c r="G40" i="4"/>
  <c r="G27" i="4"/>
  <c r="E46" i="9"/>
  <c r="F47" i="9"/>
  <c r="M30" i="16"/>
  <c r="N27" i="16"/>
  <c r="N16" i="16"/>
  <c r="D18" i="16"/>
  <c r="M23" i="16"/>
  <c r="N22" i="16"/>
  <c r="E37" i="16"/>
  <c r="N34" i="16"/>
  <c r="E37" i="9"/>
  <c r="J12" i="5"/>
  <c r="J21" i="5"/>
  <c r="I49" i="9"/>
  <c r="H53" i="9"/>
  <c r="E17" i="2"/>
  <c r="M4" i="8"/>
  <c r="B19" i="1" s="1"/>
  <c r="D6" i="8"/>
  <c r="K31" i="8"/>
  <c r="K23" i="8"/>
  <c r="D32" i="8"/>
  <c r="F6" i="9"/>
  <c r="C43" i="3"/>
  <c r="R49" i="9"/>
  <c r="C11" i="16"/>
  <c r="N9" i="16"/>
  <c r="B12" i="15"/>
  <c r="L10" i="15"/>
  <c r="J10" i="4" s="1"/>
  <c r="F40" i="15"/>
  <c r="L35" i="15"/>
  <c r="J35" i="4" s="1"/>
  <c r="F37" i="15"/>
  <c r="F44" i="2"/>
  <c r="F30" i="2"/>
  <c r="B44" i="2"/>
  <c r="B30" i="2"/>
  <c r="G53" i="9"/>
  <c r="I33" i="3"/>
  <c r="I33" i="2" s="1"/>
  <c r="D18" i="8"/>
  <c r="D37" i="16"/>
  <c r="C37" i="16"/>
  <c r="N35" i="16"/>
  <c r="O11" i="9"/>
  <c r="L10" i="9"/>
  <c r="O23" i="9"/>
  <c r="O35" i="9"/>
  <c r="L11" i="15"/>
  <c r="J11" i="4" s="1"/>
  <c r="K11" i="4" s="1"/>
  <c r="D12" i="15"/>
  <c r="F20" i="9"/>
  <c r="R11" i="9"/>
  <c r="L15" i="15"/>
  <c r="J15" i="4" s="1"/>
  <c r="C14" i="9"/>
  <c r="E29" i="9"/>
  <c r="N37" i="9"/>
  <c r="K6" i="16"/>
  <c r="B7" i="7"/>
  <c r="B32" i="8"/>
  <c r="F32" i="15"/>
  <c r="C43" i="2"/>
  <c r="C35" i="2"/>
  <c r="P10" i="9"/>
  <c r="H46" i="9"/>
  <c r="F21" i="4"/>
  <c r="C18" i="16"/>
  <c r="I18" i="9"/>
  <c r="I12" i="9"/>
  <c r="G10" i="9"/>
  <c r="B7" i="4"/>
  <c r="E12" i="4"/>
  <c r="G12" i="3"/>
  <c r="D18" i="3"/>
  <c r="G10" i="7"/>
  <c r="B18" i="1" s="1"/>
  <c r="E37" i="4"/>
  <c r="G43" i="3"/>
  <c r="G30" i="3"/>
  <c r="D30" i="3"/>
  <c r="D43" i="3"/>
  <c r="E43" i="2"/>
  <c r="F10" i="9" l="1"/>
  <c r="H21" i="4"/>
  <c r="O14" i="9"/>
  <c r="F37" i="9"/>
  <c r="G21" i="15"/>
  <c r="C23" i="3"/>
  <c r="B42" i="15"/>
  <c r="I42" i="4"/>
  <c r="B12" i="8"/>
  <c r="K42" i="15"/>
  <c r="G20" i="1"/>
  <c r="I20" i="1" s="1"/>
  <c r="I29" i="9"/>
  <c r="O29" i="9"/>
  <c r="C21" i="7"/>
  <c r="J7" i="4"/>
  <c r="K7" i="4" s="1"/>
  <c r="I21" i="4"/>
  <c r="H45" i="3"/>
  <c r="O37" i="9"/>
  <c r="C21" i="4"/>
  <c r="R10" i="9"/>
  <c r="F29" i="9"/>
  <c r="E21" i="4"/>
  <c r="B23" i="2"/>
  <c r="B33" i="1"/>
  <c r="M10" i="8"/>
  <c r="E45" i="2"/>
  <c r="G45" i="3"/>
  <c r="I10" i="9"/>
  <c r="E23" i="2"/>
  <c r="J33" i="8"/>
  <c r="E21" i="15"/>
  <c r="F45" i="3"/>
  <c r="D45" i="2"/>
  <c r="D45" i="3"/>
  <c r="L12" i="8"/>
  <c r="F23" i="3"/>
  <c r="C33" i="8"/>
  <c r="G42" i="15"/>
  <c r="H21" i="15"/>
  <c r="E42" i="15"/>
  <c r="R29" i="9"/>
  <c r="B42" i="4"/>
  <c r="D7" i="1"/>
  <c r="G7" i="1" s="1"/>
  <c r="I7" i="1" s="1"/>
  <c r="I17" i="2"/>
  <c r="J17" i="2" s="1"/>
  <c r="R14" i="9"/>
  <c r="I12" i="3"/>
  <c r="I44" i="3"/>
  <c r="C42" i="4"/>
  <c r="F45" i="2"/>
  <c r="L33" i="8"/>
  <c r="G21" i="4"/>
  <c r="D17" i="5"/>
  <c r="E45" i="3"/>
  <c r="F42" i="15"/>
  <c r="D18" i="1"/>
  <c r="F18" i="1" s="1"/>
  <c r="C10" i="1"/>
  <c r="J27" i="4"/>
  <c r="K27" i="4" s="1"/>
  <c r="C21" i="15"/>
  <c r="F42" i="4"/>
  <c r="E33" i="8"/>
  <c r="I11" i="2"/>
  <c r="J11" i="2" s="1"/>
  <c r="J9" i="2"/>
  <c r="G33" i="8"/>
  <c r="I35" i="3"/>
  <c r="F53" i="9"/>
  <c r="I40" i="3"/>
  <c r="O46" i="9"/>
  <c r="B45" i="3"/>
  <c r="I44" i="2"/>
  <c r="J44" i="2" s="1"/>
  <c r="L32" i="15"/>
  <c r="K25" i="4"/>
  <c r="C5" i="5" s="1"/>
  <c r="I30" i="3"/>
  <c r="N6" i="16"/>
  <c r="G21" i="1"/>
  <c r="I21" i="1" s="1"/>
  <c r="I7" i="3"/>
  <c r="M23" i="8"/>
  <c r="B21" i="4"/>
  <c r="D40" i="9"/>
  <c r="M18" i="8"/>
  <c r="L20" i="15"/>
  <c r="D6" i="1"/>
  <c r="G6" i="1" s="1"/>
  <c r="I6" i="1" s="1"/>
  <c r="M31" i="8"/>
  <c r="G12" i="7"/>
  <c r="C8" i="1"/>
  <c r="N11" i="16"/>
  <c r="J22" i="5"/>
  <c r="J29" i="2"/>
  <c r="B6" i="5" s="1"/>
  <c r="B7" i="5" s="1"/>
  <c r="L7" i="15"/>
  <c r="I21" i="2"/>
  <c r="J21" i="2" s="1"/>
  <c r="H42" i="4"/>
  <c r="N23" i="16"/>
  <c r="J32" i="4"/>
  <c r="K32" i="4" s="1"/>
  <c r="C37" i="1"/>
  <c r="H42" i="15"/>
  <c r="I22" i="3"/>
  <c r="R37" i="9"/>
  <c r="F23" i="2"/>
  <c r="B21" i="7"/>
  <c r="L27" i="15"/>
  <c r="B16" i="1"/>
  <c r="C17" i="1"/>
  <c r="B23" i="3"/>
  <c r="H54" i="9"/>
  <c r="H52" i="9" s="1"/>
  <c r="N37" i="16"/>
  <c r="J41" i="4"/>
  <c r="K41" i="4" s="1"/>
  <c r="N18" i="16"/>
  <c r="D19" i="1"/>
  <c r="G19" i="1" s="1"/>
  <c r="I19" i="1" s="1"/>
  <c r="I6" i="2"/>
  <c r="J6" i="2" s="1"/>
  <c r="D5" i="1" s="1"/>
  <c r="B8" i="1"/>
  <c r="R53" i="9"/>
  <c r="I14" i="9"/>
  <c r="L17" i="15"/>
  <c r="J20" i="4"/>
  <c r="K20" i="4" s="1"/>
  <c r="K18" i="4"/>
  <c r="M32" i="8"/>
  <c r="G7" i="7"/>
  <c r="I53" i="9"/>
  <c r="N30" i="16"/>
  <c r="M28" i="8"/>
  <c r="J38" i="2"/>
  <c r="B15" i="5" s="1"/>
  <c r="B17" i="5" s="1"/>
  <c r="I40" i="2"/>
  <c r="J40" i="2" s="1"/>
  <c r="K31" i="4"/>
  <c r="I30" i="2"/>
  <c r="J30" i="2" s="1"/>
  <c r="E36" i="1"/>
  <c r="B33" i="8"/>
  <c r="C45" i="2"/>
  <c r="F14" i="9"/>
  <c r="C54" i="9"/>
  <c r="I35" i="2"/>
  <c r="J35" i="2" s="1"/>
  <c r="I43" i="2"/>
  <c r="D6" i="5"/>
  <c r="J33" i="2"/>
  <c r="B10" i="5" s="1"/>
  <c r="K33" i="8"/>
  <c r="L37" i="15"/>
  <c r="I46" i="9"/>
  <c r="I18" i="3"/>
  <c r="D23" i="3"/>
  <c r="J17" i="4"/>
  <c r="K15" i="4"/>
  <c r="D10" i="5"/>
  <c r="D12" i="8"/>
  <c r="M6" i="8"/>
  <c r="G42" i="4"/>
  <c r="C42" i="15"/>
  <c r="L40" i="15"/>
  <c r="D42" i="15"/>
  <c r="L41" i="15"/>
  <c r="D33" i="8"/>
  <c r="O10" i="9"/>
  <c r="B45" i="2"/>
  <c r="J37" i="4"/>
  <c r="J40" i="4"/>
  <c r="K40" i="4" s="1"/>
  <c r="K35" i="4"/>
  <c r="C15" i="5" s="1"/>
  <c r="K10" i="4"/>
  <c r="J12" i="4"/>
  <c r="K12" i="4" s="1"/>
  <c r="N54" i="9"/>
  <c r="N52" i="9" s="1"/>
  <c r="E16" i="5"/>
  <c r="F16" i="5" s="1"/>
  <c r="J16" i="2"/>
  <c r="C16" i="1" s="1"/>
  <c r="Q54" i="9"/>
  <c r="Q52" i="9" s="1"/>
  <c r="R46" i="9"/>
  <c r="E42" i="4"/>
  <c r="L12" i="15"/>
  <c r="C45" i="3"/>
  <c r="I43" i="3"/>
  <c r="E54" i="9"/>
  <c r="E52" i="9" s="1"/>
  <c r="F46" i="9"/>
  <c r="P54" i="9"/>
  <c r="M40" i="9"/>
  <c r="O53" i="9"/>
  <c r="I37" i="9"/>
  <c r="G54" i="9"/>
  <c r="L54" i="9"/>
  <c r="M10" i="9" s="1"/>
  <c r="C33" i="7" l="1"/>
  <c r="M12" i="8"/>
  <c r="B10" i="1"/>
  <c r="D10" i="1" s="1"/>
  <c r="L21" i="15"/>
  <c r="D21" i="7"/>
  <c r="F21" i="7" s="1"/>
  <c r="F19" i="1"/>
  <c r="F6" i="1"/>
  <c r="I45" i="2"/>
  <c r="J45" i="2" s="1"/>
  <c r="B32" i="1"/>
  <c r="C32" i="1" s="1"/>
  <c r="I45" i="3"/>
  <c r="F7" i="1"/>
  <c r="G18" i="1"/>
  <c r="I18" i="1" s="1"/>
  <c r="I23" i="2"/>
  <c r="J23" i="2" s="1"/>
  <c r="B27" i="1"/>
  <c r="B21" i="5"/>
  <c r="B28" i="1"/>
  <c r="B33" i="7"/>
  <c r="J42" i="4"/>
  <c r="K42" i="4" s="1"/>
  <c r="L42" i="15"/>
  <c r="I23" i="3"/>
  <c r="C11" i="1"/>
  <c r="M21" i="7" s="1"/>
  <c r="D33" i="1"/>
  <c r="C33" i="1"/>
  <c r="B17" i="1"/>
  <c r="D17" i="1" s="1"/>
  <c r="J43" i="2"/>
  <c r="C11" i="5"/>
  <c r="C28" i="1"/>
  <c r="C27" i="1"/>
  <c r="M33" i="8"/>
  <c r="D37" i="9"/>
  <c r="D18" i="9"/>
  <c r="D25" i="9"/>
  <c r="C52" i="9"/>
  <c r="D47" i="9"/>
  <c r="D20" i="9"/>
  <c r="D12" i="9"/>
  <c r="D11" i="9"/>
  <c r="D29" i="9"/>
  <c r="D50" i="9"/>
  <c r="D31" i="9"/>
  <c r="D33" i="9"/>
  <c r="D41" i="9"/>
  <c r="D15" i="9"/>
  <c r="D30" i="9"/>
  <c r="D23" i="9"/>
  <c r="F54" i="9"/>
  <c r="D54" i="9"/>
  <c r="D48" i="9"/>
  <c r="D43" i="9"/>
  <c r="D16" i="9"/>
  <c r="D39" i="9"/>
  <c r="D42" i="9"/>
  <c r="D17" i="9"/>
  <c r="D8" i="9"/>
  <c r="D21" i="9"/>
  <c r="D27" i="9"/>
  <c r="D38" i="9"/>
  <c r="D46" i="9"/>
  <c r="D35" i="9"/>
  <c r="D49" i="9"/>
  <c r="D44" i="9"/>
  <c r="D4" i="9"/>
  <c r="D19" i="9"/>
  <c r="D53" i="9"/>
  <c r="D6" i="9"/>
  <c r="D10" i="9"/>
  <c r="P52" i="9"/>
  <c r="R52" i="9" s="1"/>
  <c r="R54" i="9"/>
  <c r="K37" i="4"/>
  <c r="I16" i="5"/>
  <c r="H16" i="5"/>
  <c r="J21" i="4"/>
  <c r="K21" i="4" s="1"/>
  <c r="K17" i="4"/>
  <c r="B12" i="5"/>
  <c r="E10" i="5"/>
  <c r="B20" i="5"/>
  <c r="M18" i="9"/>
  <c r="M17" i="9"/>
  <c r="L52" i="9"/>
  <c r="M42" i="9"/>
  <c r="M47" i="9"/>
  <c r="M33" i="9"/>
  <c r="M35" i="9"/>
  <c r="M30" i="9"/>
  <c r="M48" i="9"/>
  <c r="M12" i="9"/>
  <c r="M19" i="9"/>
  <c r="M43" i="9"/>
  <c r="M54" i="9"/>
  <c r="M8" i="9"/>
  <c r="M31" i="9"/>
  <c r="M38" i="9"/>
  <c r="M6" i="9"/>
  <c r="M14" i="9"/>
  <c r="M21" i="9"/>
  <c r="M50" i="9"/>
  <c r="M41" i="9"/>
  <c r="M11" i="9"/>
  <c r="M23" i="9"/>
  <c r="M27" i="9"/>
  <c r="M16" i="9"/>
  <c r="O54" i="9"/>
  <c r="M49" i="9"/>
  <c r="M20" i="9"/>
  <c r="M44" i="9"/>
  <c r="M39" i="9"/>
  <c r="M25" i="9"/>
  <c r="M15" i="9"/>
  <c r="M29" i="9"/>
  <c r="M46" i="9"/>
  <c r="M4" i="9"/>
  <c r="M37" i="9"/>
  <c r="M53" i="9"/>
  <c r="C17" i="5"/>
  <c r="C20" i="5"/>
  <c r="E15" i="5"/>
  <c r="D12" i="5"/>
  <c r="D20" i="5"/>
  <c r="D21" i="5"/>
  <c r="D7" i="5"/>
  <c r="C22" i="1"/>
  <c r="D16" i="1"/>
  <c r="I54" i="9"/>
  <c r="G52" i="9"/>
  <c r="I52" i="9" s="1"/>
  <c r="D8" i="1"/>
  <c r="F8" i="1" s="1"/>
  <c r="G5" i="1"/>
  <c r="F5" i="1"/>
  <c r="E6" i="5"/>
  <c r="F6" i="5" s="1"/>
  <c r="C7" i="5"/>
  <c r="E5" i="5"/>
  <c r="D14" i="9"/>
  <c r="B11" i="1" l="1"/>
  <c r="L21" i="7" s="1"/>
  <c r="N21" i="7" s="1"/>
  <c r="D33" i="7"/>
  <c r="F33" i="7" s="1"/>
  <c r="D28" i="1"/>
  <c r="F28" i="1" s="1"/>
  <c r="B22" i="1"/>
  <c r="D32" i="1"/>
  <c r="B29" i="1"/>
  <c r="H21" i="7"/>
  <c r="M33" i="7"/>
  <c r="C12" i="5"/>
  <c r="C21" i="5"/>
  <c r="E21" i="5" s="1"/>
  <c r="F21" i="5" s="1"/>
  <c r="H21" i="5" s="1"/>
  <c r="E11" i="5"/>
  <c r="F11" i="5" s="1"/>
  <c r="C29" i="1"/>
  <c r="G10" i="1"/>
  <c r="I10" i="1" s="1"/>
  <c r="D11" i="1"/>
  <c r="F11" i="1" s="1"/>
  <c r="F10" i="1"/>
  <c r="F5" i="5"/>
  <c r="E7" i="5"/>
  <c r="G8" i="1"/>
  <c r="I5" i="1"/>
  <c r="G16" i="1"/>
  <c r="F16" i="1"/>
  <c r="D22" i="1"/>
  <c r="F22" i="1" s="1"/>
  <c r="D22" i="5"/>
  <c r="F15" i="5"/>
  <c r="E17" i="5"/>
  <c r="D27" i="1" s="1"/>
  <c r="B22" i="5"/>
  <c r="E20" i="5"/>
  <c r="D52" i="9"/>
  <c r="F52" i="9"/>
  <c r="H6" i="5"/>
  <c r="I6" i="5"/>
  <c r="M52" i="9"/>
  <c r="O52" i="9"/>
  <c r="F10" i="5"/>
  <c r="F17" i="1"/>
  <c r="G17" i="1"/>
  <c r="I17" i="1" s="1"/>
  <c r="L33" i="7" l="1"/>
  <c r="G21" i="7"/>
  <c r="G28" i="1"/>
  <c r="I28" i="1" s="1"/>
  <c r="H33" i="7"/>
  <c r="D34" i="1"/>
  <c r="E33" i="1" s="1"/>
  <c r="E12" i="5"/>
  <c r="C22" i="5"/>
  <c r="I11" i="5"/>
  <c r="K11" i="5" s="1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P21" i="7"/>
  <c r="N33" i="7"/>
  <c r="P33" i="7" s="1"/>
  <c r="I8" i="1"/>
  <c r="G11" i="1"/>
  <c r="I11" i="1" s="1"/>
  <c r="K6" i="5"/>
  <c r="F20" i="5"/>
  <c r="E22" i="5"/>
  <c r="F12" i="5"/>
  <c r="H12" i="5" s="1"/>
  <c r="I10" i="5"/>
  <c r="H10" i="5"/>
  <c r="I21" i="7" l="1"/>
  <c r="I33" i="7" s="1"/>
  <c r="K33" i="7" s="1"/>
  <c r="G33" i="7"/>
  <c r="I21" i="5"/>
  <c r="K21" i="5" s="1"/>
  <c r="E32" i="1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7" l="1"/>
  <c r="K20" i="5"/>
  <c r="I22" i="5"/>
  <c r="K22" i="5" s="1"/>
</calcChain>
</file>

<file path=xl/sharedStrings.xml><?xml version="1.0" encoding="utf-8"?>
<sst xmlns="http://schemas.openxmlformats.org/spreadsheetml/2006/main" count="530" uniqueCount="216">
  <si>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</si>
  <si>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</si>
  <si>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</si>
  <si>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</si>
  <si>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</si>
  <si>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</si>
  <si>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</si>
  <si>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</si>
  <si>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</si>
  <si>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</si>
  <si>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</si>
  <si>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</si>
  <si>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</si>
  <si>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</si>
  <si>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</si>
  <si>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</si>
  <si>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</si>
  <si>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</si>
  <si>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</si>
  <si>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</si>
  <si>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</si>
  <si>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</si>
  <si>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</si>
  <si>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</si>
  <si>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</si>
  <si>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</si>
  <si>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</si>
  <si>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</si>
  <si>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</si>
  <si>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</si>
  <si>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</si>
  <si>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</si>
  <si>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</si>
  <si>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</si>
  <si>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</si>
  <si>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</si>
  <si>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</si>
  <si>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</si>
  <si>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</si>
  <si>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</si>
  <si>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</si>
  <si>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</si>
  <si>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</si>
  <si>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</si>
  <si>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</si>
  <si>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</si>
  <si>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</si>
  <si>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</si>
  <si>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</si>
  <si>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</si>
  <si>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</si>
  <si>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</si>
  <si>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</si>
  <si>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</si>
  <si>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</si>
  <si>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</si>
  <si>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</si>
  <si>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</si>
  <si>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</si>
  <si>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</si>
  <si>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</si>
  <si>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</si>
  <si>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</si>
  <si>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</si>
  <si>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</si>
  <si>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</si>
  <si>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</si>
  <si>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</si>
  <si>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</si>
  <si>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</si>
  <si>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</si>
  <si>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</si>
  <si>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</si>
  <si>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</si>
  <si>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</si>
  <si>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</si>
  <si>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</si>
  <si>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</si>
  <si>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</si>
  <si>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</si>
  <si>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</si>
  <si>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</si>
  <si>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</si>
  <si>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</si>
  <si>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</si>
  <si>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</si>
  <si>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</si>
  <si>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</si>
  <si>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</si>
  <si>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</si>
  <si>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</si>
  <si>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</si>
  <si>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</si>
  <si>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</si>
  <si>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</si>
  <si>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</si>
  <si>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</si>
  <si>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</si>
  <si>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</si>
  <si>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</si>
  <si>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</si>
  <si>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</si>
  <si>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</si>
  <si>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</si>
  <si>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</si>
  <si>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</si>
  <si>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</si>
  <si>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</si>
  <si>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</si>
  <si>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</si>
  <si>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</si>
  <si>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</si>
  <si>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</si>
  <si>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</si>
  <si>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</si>
  <si>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</si>
  <si>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</si>
  <si>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</si>
  <si>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</si>
  <si>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</si>
  <si>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</si>
  <si>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</si>
  <si>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</si>
  <si>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</si>
  <si>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</si>
  <si>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</si>
  <si>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</si>
  <si>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</si>
  <si>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</si>
  <si>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</si>
  <si>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</si>
  <si>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</si>
  <si>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</si>
  <si>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</si>
  <si>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</si>
  <si>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</si>
  <si>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</si>
  <si>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</si>
  <si>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</si>
  <si>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</si>
  <si>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</si>
  <si>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</si>
  <si>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</si>
  <si>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</si>
  <si>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</si>
  <si>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</si>
  <si>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</si>
  <si>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</si>
  <si>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</si>
  <si>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</si>
  <si>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</si>
  <si>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</si>
  <si>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</si>
  <si>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</si>
  <si>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</si>
  <si>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</si>
  <si>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</si>
  <si>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</si>
  <si>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</si>
  <si>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</si>
  <si>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</si>
  <si>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</si>
  <si>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</si>
  <si>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</si>
  <si>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</si>
  <si>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</si>
  <si>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</si>
  <si>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</si>
  <si>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</si>
  <si>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</si>
  <si>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</si>
  <si>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</si>
  <si>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</si>
  <si>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</si>
  <si>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</si>
  <si>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</si>
  <si>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</si>
  <si>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</si>
  <si>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</si>
  <si>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</si>
  <si>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</si>
  <si>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</si>
  <si>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</si>
  <si>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</si>
  <si>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</si>
  <si>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</si>
  <si>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</si>
  <si>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</si>
  <si>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</si>
  <si>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</si>
  <si>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</si>
  <si>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</si>
  <si>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</si>
  <si>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</si>
  <si>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</si>
  <si>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</si>
  <si>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</si>
  <si>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</si>
  <si>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</si>
  <si>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</si>
  <si>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</si>
  <si>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</si>
  <si>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</si>
  <si>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</si>
  <si>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</si>
  <si>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</si>
  <si>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</si>
  <si>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</si>
  <si>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</si>
  <si>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January 2014</t>
  </si>
  <si>
    <t xml:space="preserve">2014 YTD </t>
  </si>
  <si>
    <t>Condor</t>
  </si>
  <si>
    <t>Chautauqua - American</t>
  </si>
  <si>
    <t>Go Jet - Delta</t>
  </si>
  <si>
    <t>Compass - Delta</t>
  </si>
  <si>
    <t>Sky West -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</si>
</sst>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7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1" fontId="4" fillId="2" borderId="58" xfId="0" applyNumberFormat="1" applyFont="1" applyFill="1" applyBorder="1" applyAlignment="1">
      <alignment horizontal="center" wrapText="1"/>
    </xf>
    <xf numFmtId="10" fontId="4" fillId="2" borderId="59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 wrapText="1"/>
    </xf>
    <xf numFmtId="0" fontId="4" fillId="5" borderId="59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wrapText="1"/>
    </xf>
    <xf numFmtId="165" fontId="0" fillId="0" borderId="49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64" fontId="1" fillId="0" borderId="65" xfId="3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70" xfId="0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2" xfId="1" applyNumberFormat="1" applyFont="1" applyBorder="1" applyAlignment="1">
      <alignment horizontal="center"/>
    </xf>
    <xf numFmtId="10" fontId="4" fillId="5" borderId="5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3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Border="1"/>
    <xf numFmtId="10" fontId="13" fillId="0" borderId="76" xfId="0" applyNumberFormat="1" applyFont="1" applyFill="1" applyBorder="1"/>
    <xf numFmtId="3" fontId="13" fillId="0" borderId="77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8" xfId="0" applyNumberFormat="1" applyFont="1" applyBorder="1"/>
    <xf numFmtId="10" fontId="13" fillId="0" borderId="9" xfId="0" applyNumberFormat="1" applyFont="1" applyBorder="1"/>
    <xf numFmtId="10" fontId="13" fillId="0" borderId="78" xfId="0" applyNumberFormat="1" applyFont="1" applyBorder="1"/>
    <xf numFmtId="10" fontId="13" fillId="0" borderId="79" xfId="0" applyNumberFormat="1" applyFont="1" applyFill="1" applyBorder="1"/>
    <xf numFmtId="0" fontId="5" fillId="0" borderId="19" xfId="0" applyFont="1" applyBorder="1"/>
    <xf numFmtId="0" fontId="5" fillId="0" borderId="80" xfId="0" applyFont="1" applyBorder="1"/>
    <xf numFmtId="0" fontId="19" fillId="0" borderId="81" xfId="0" applyFont="1" applyBorder="1" applyAlignment="1">
      <alignment horizontal="right"/>
    </xf>
    <xf numFmtId="10" fontId="4" fillId="5" borderId="58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8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82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83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6" xfId="0" applyNumberFormat="1" applyFont="1" applyBorder="1"/>
    <xf numFmtId="10" fontId="13" fillId="0" borderId="43" xfId="0" applyNumberFormat="1" applyFont="1" applyBorder="1"/>
    <xf numFmtId="10" fontId="13" fillId="0" borderId="79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17" fontId="4" fillId="0" borderId="47" xfId="0" quotePrefix="1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9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80" xfId="0" applyFill="1" applyBorder="1" applyAlignment="1">
      <alignment vertical="center" textRotation="255"/>
    </xf>
    <xf numFmtId="0" fontId="0" fillId="7" borderId="8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3" fontId="4" fillId="5" borderId="59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9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>
        <row r="5">
          <cell r="D5">
            <v>1765049</v>
          </cell>
          <cell r="G5">
            <v>1765049</v>
          </cell>
        </row>
        <row r="6">
          <cell r="D6">
            <v>705057</v>
          </cell>
          <cell r="G6">
            <v>705057</v>
          </cell>
        </row>
        <row r="7">
          <cell r="D7">
            <v>368</v>
          </cell>
          <cell r="G7">
            <v>368</v>
          </cell>
        </row>
        <row r="10">
          <cell r="D10">
            <v>87877</v>
          </cell>
          <cell r="G10">
            <v>87877</v>
          </cell>
        </row>
        <row r="16">
          <cell r="D16">
            <v>14961</v>
          </cell>
          <cell r="G16">
            <v>14961</v>
          </cell>
        </row>
        <row r="17">
          <cell r="D17">
            <v>15395</v>
          </cell>
          <cell r="G17">
            <v>15395</v>
          </cell>
        </row>
        <row r="18">
          <cell r="D18">
            <v>7</v>
          </cell>
          <cell r="G18">
            <v>7</v>
          </cell>
        </row>
        <row r="19">
          <cell r="D19">
            <v>1080</v>
          </cell>
          <cell r="G19">
            <v>1080</v>
          </cell>
        </row>
        <row r="20">
          <cell r="D20">
            <v>1686</v>
          </cell>
          <cell r="G20">
            <v>1686</v>
          </cell>
        </row>
        <row r="21">
          <cell r="D21">
            <v>94</v>
          </cell>
          <cell r="G21">
            <v>94</v>
          </cell>
        </row>
        <row r="27">
          <cell r="D27">
            <v>15183.335990596621</v>
          </cell>
          <cell r="G27">
            <v>15183.335990596621</v>
          </cell>
        </row>
        <row r="28">
          <cell r="D28">
            <v>1125.3223002490699</v>
          </cell>
          <cell r="G28">
            <v>1125.3223002490699</v>
          </cell>
        </row>
        <row r="32">
          <cell r="B32">
            <v>742260</v>
          </cell>
          <cell r="D32">
            <v>742260</v>
          </cell>
        </row>
        <row r="33">
          <cell r="B33">
            <v>503652</v>
          </cell>
          <cell r="D33">
            <v>503652</v>
          </cell>
        </row>
      </sheetData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>
        <row r="5">
          <cell r="F5">
            <v>6952.3948670845903</v>
          </cell>
          <cell r="I5">
            <v>6952.3948670845903</v>
          </cell>
        </row>
        <row r="6">
          <cell r="F6">
            <v>715.72430780773993</v>
          </cell>
          <cell r="I6">
            <v>715.72430780773993</v>
          </cell>
        </row>
        <row r="10">
          <cell r="F10">
            <v>8230.9411235120297</v>
          </cell>
          <cell r="I10">
            <v>8230.9411235120297</v>
          </cell>
        </row>
        <row r="11">
          <cell r="F11">
            <v>409.59799244133001</v>
          </cell>
          <cell r="I11">
            <v>409.59799244133001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15183.335990596619</v>
          </cell>
        </row>
        <row r="21">
          <cell r="F21">
            <v>1125.3223002490699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DX4"/>
        </row>
        <row r="5">
          <cell r="DX5"/>
        </row>
        <row r="8">
          <cell r="DX8"/>
        </row>
        <row r="9">
          <cell r="DX9"/>
        </row>
        <row r="19">
          <cell r="DJ19">
            <v>224</v>
          </cell>
          <cell r="DX19">
            <v>0</v>
          </cell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41">
          <cell r="DJ41">
            <v>21297</v>
          </cell>
          <cell r="DX41">
            <v>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4">
        <row r="4">
          <cell r="DX4"/>
        </row>
        <row r="5">
          <cell r="DX5"/>
        </row>
        <row r="8">
          <cell r="DX8"/>
        </row>
        <row r="9">
          <cell r="DX9"/>
        </row>
        <row r="15">
          <cell r="DX15"/>
        </row>
        <row r="16">
          <cell r="DX16"/>
        </row>
        <row r="19">
          <cell r="DJ19">
            <v>0</v>
          </cell>
          <cell r="DX19">
            <v>0</v>
          </cell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32">
          <cell r="DX32"/>
        </row>
        <row r="33">
          <cell r="DX33"/>
        </row>
        <row r="37">
          <cell r="DX37"/>
        </row>
        <row r="38">
          <cell r="DX38"/>
        </row>
        <row r="41">
          <cell r="DJ41">
            <v>0</v>
          </cell>
          <cell r="DX41">
            <v>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5"/>
      <sheetData sheetId="6">
        <row r="4">
          <cell r="DX4">
            <v>35</v>
          </cell>
        </row>
        <row r="5">
          <cell r="DX5">
            <v>35</v>
          </cell>
        </row>
        <row r="8">
          <cell r="DX8"/>
        </row>
        <row r="9">
          <cell r="DX9"/>
        </row>
        <row r="19">
          <cell r="DJ19">
            <v>124</v>
          </cell>
          <cell r="DX19">
            <v>70</v>
          </cell>
        </row>
        <row r="22">
          <cell r="DX22">
            <v>4952</v>
          </cell>
        </row>
        <row r="23">
          <cell r="DX23">
            <v>4833</v>
          </cell>
        </row>
        <row r="27">
          <cell r="DX27">
            <v>178</v>
          </cell>
        </row>
        <row r="28">
          <cell r="DX28">
            <v>243</v>
          </cell>
        </row>
        <row r="41">
          <cell r="DJ41">
            <v>14249</v>
          </cell>
          <cell r="DX41">
            <v>9785</v>
          </cell>
        </row>
        <row r="47">
          <cell r="DX47">
            <v>2386</v>
          </cell>
        </row>
        <row r="48">
          <cell r="DX48"/>
        </row>
        <row r="52">
          <cell r="DX52">
            <v>3393</v>
          </cell>
        </row>
        <row r="53">
          <cell r="DX53"/>
        </row>
        <row r="57">
          <cell r="DX57"/>
        </row>
        <row r="58">
          <cell r="DX58"/>
        </row>
      </sheetData>
      <sheetData sheetId="7"/>
      <sheetData sheetId="8">
        <row r="4">
          <cell r="DX4">
            <v>349</v>
          </cell>
        </row>
        <row r="5">
          <cell r="DX5">
            <v>350</v>
          </cell>
        </row>
        <row r="8">
          <cell r="DX8"/>
        </row>
        <row r="9">
          <cell r="DX9"/>
        </row>
        <row r="19">
          <cell r="DJ19">
            <v>568</v>
          </cell>
          <cell r="DX19">
            <v>699</v>
          </cell>
        </row>
        <row r="22">
          <cell r="DX22">
            <v>41322</v>
          </cell>
        </row>
        <row r="23">
          <cell r="DX23">
            <v>39879</v>
          </cell>
        </row>
        <row r="27">
          <cell r="DX27">
            <v>1625</v>
          </cell>
        </row>
        <row r="28">
          <cell r="DX28">
            <v>1735</v>
          </cell>
        </row>
        <row r="41">
          <cell r="DJ41">
            <v>56480</v>
          </cell>
          <cell r="DX41">
            <v>81201</v>
          </cell>
        </row>
        <row r="47">
          <cell r="DX47">
            <v>20609</v>
          </cell>
        </row>
        <row r="48">
          <cell r="DX48"/>
        </row>
        <row r="52">
          <cell r="DX52">
            <v>11080</v>
          </cell>
        </row>
        <row r="53">
          <cell r="DX53"/>
        </row>
        <row r="57">
          <cell r="DX57"/>
        </row>
        <row r="58">
          <cell r="DX58"/>
        </row>
      </sheetData>
      <sheetData sheetId="9"/>
      <sheetData sheetId="10">
        <row r="4">
          <cell r="DX4">
            <v>546</v>
          </cell>
        </row>
        <row r="5">
          <cell r="DX5">
            <v>553</v>
          </cell>
        </row>
        <row r="8">
          <cell r="DX8">
            <v>69</v>
          </cell>
        </row>
        <row r="9">
          <cell r="DX9">
            <v>63</v>
          </cell>
        </row>
        <row r="15">
          <cell r="DX15">
            <v>177</v>
          </cell>
        </row>
        <row r="16">
          <cell r="DX16">
            <v>176</v>
          </cell>
        </row>
        <row r="19">
          <cell r="DJ19">
            <v>1549</v>
          </cell>
          <cell r="DX19">
            <v>1584</v>
          </cell>
        </row>
        <row r="22">
          <cell r="DX22">
            <v>58863</v>
          </cell>
        </row>
        <row r="23">
          <cell r="DX23">
            <v>62738</v>
          </cell>
        </row>
        <row r="27">
          <cell r="DX27">
            <v>1490</v>
          </cell>
        </row>
        <row r="28">
          <cell r="DX28">
            <v>1468</v>
          </cell>
        </row>
        <row r="32">
          <cell r="DX32">
            <v>21291</v>
          </cell>
        </row>
        <row r="33">
          <cell r="DX33">
            <v>23329</v>
          </cell>
        </row>
        <row r="37">
          <cell r="DX37">
            <v>180</v>
          </cell>
        </row>
        <row r="38">
          <cell r="DX38">
            <v>203</v>
          </cell>
        </row>
        <row r="41">
          <cell r="DJ41">
            <v>145640</v>
          </cell>
          <cell r="DX41">
            <v>166221</v>
          </cell>
        </row>
        <row r="47">
          <cell r="DX47">
            <v>25012</v>
          </cell>
        </row>
        <row r="48">
          <cell r="DX48">
            <v>208273</v>
          </cell>
        </row>
        <row r="52">
          <cell r="DX52">
            <v>40501</v>
          </cell>
        </row>
        <row r="53">
          <cell r="DX53">
            <v>444246</v>
          </cell>
        </row>
        <row r="57">
          <cell r="DX57"/>
        </row>
        <row r="58">
          <cell r="DX58"/>
        </row>
        <row r="70">
          <cell r="DX70">
            <v>58601</v>
          </cell>
        </row>
        <row r="71">
          <cell r="DX71">
            <v>4137</v>
          </cell>
        </row>
        <row r="73">
          <cell r="DX73">
            <v>23321</v>
          </cell>
        </row>
        <row r="74">
          <cell r="DX74">
            <v>8</v>
          </cell>
        </row>
      </sheetData>
      <sheetData sheetId="11"/>
      <sheetData sheetId="12">
        <row r="4">
          <cell r="DX4"/>
        </row>
        <row r="5">
          <cell r="DX5"/>
        </row>
        <row r="8">
          <cell r="DX8"/>
        </row>
        <row r="9">
          <cell r="DX9"/>
        </row>
        <row r="15">
          <cell r="DX15"/>
        </row>
        <row r="16">
          <cell r="DX16"/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32">
          <cell r="DX32"/>
        </row>
        <row r="33">
          <cell r="DX33"/>
        </row>
        <row r="37">
          <cell r="DX37"/>
        </row>
        <row r="38">
          <cell r="DX38"/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13">
        <row r="4">
          <cell r="DX4">
            <v>4201</v>
          </cell>
        </row>
        <row r="5">
          <cell r="DX5">
            <v>4195</v>
          </cell>
        </row>
        <row r="8">
          <cell r="DX8">
            <v>2</v>
          </cell>
        </row>
        <row r="9">
          <cell r="DX9">
            <v>1</v>
          </cell>
        </row>
        <row r="15">
          <cell r="DX15">
            <v>405</v>
          </cell>
        </row>
        <row r="16">
          <cell r="DX16">
            <v>408</v>
          </cell>
        </row>
        <row r="19">
          <cell r="DJ19">
            <v>8979</v>
          </cell>
          <cell r="DX19">
            <v>9212</v>
          </cell>
        </row>
        <row r="22">
          <cell r="DX22">
            <v>528808</v>
          </cell>
        </row>
        <row r="23">
          <cell r="DX23">
            <v>535317</v>
          </cell>
        </row>
        <row r="27">
          <cell r="DX27">
            <v>23107</v>
          </cell>
        </row>
        <row r="28">
          <cell r="DX28">
            <v>23212</v>
          </cell>
        </row>
        <row r="32">
          <cell r="DX32">
            <v>64313</v>
          </cell>
        </row>
        <row r="33">
          <cell r="DX33">
            <v>62158</v>
          </cell>
        </row>
        <row r="37">
          <cell r="DX37">
            <v>1674</v>
          </cell>
        </row>
        <row r="38">
          <cell r="DX38">
            <v>1552</v>
          </cell>
        </row>
        <row r="41">
          <cell r="DJ41">
            <v>1183117</v>
          </cell>
          <cell r="DX41">
            <v>1190596</v>
          </cell>
        </row>
        <row r="47">
          <cell r="DX47">
            <v>3589179</v>
          </cell>
        </row>
        <row r="48">
          <cell r="DX48">
            <v>989361</v>
          </cell>
        </row>
        <row r="52">
          <cell r="DX52">
            <v>3804559</v>
          </cell>
        </row>
        <row r="53">
          <cell r="DX53">
            <v>145860</v>
          </cell>
        </row>
        <row r="57">
          <cell r="DX57">
            <v>0</v>
          </cell>
        </row>
        <row r="58">
          <cell r="DX58"/>
        </row>
        <row r="70">
          <cell r="DX70">
            <v>262677</v>
          </cell>
        </row>
        <row r="71">
          <cell r="DX71">
            <v>272640</v>
          </cell>
        </row>
        <row r="73">
          <cell r="DX73">
            <v>30501</v>
          </cell>
        </row>
        <row r="74">
          <cell r="DX74">
            <v>31657</v>
          </cell>
        </row>
      </sheetData>
      <sheetData sheetId="14">
        <row r="4">
          <cell r="DX4">
            <v>73</v>
          </cell>
        </row>
        <row r="5">
          <cell r="DX5">
            <v>73</v>
          </cell>
        </row>
        <row r="8">
          <cell r="DX8"/>
        </row>
        <row r="9">
          <cell r="DX9"/>
        </row>
        <row r="19">
          <cell r="DJ19">
            <v>192</v>
          </cell>
          <cell r="DX19">
            <v>146</v>
          </cell>
        </row>
        <row r="22">
          <cell r="DX22">
            <v>10342</v>
          </cell>
        </row>
        <row r="23">
          <cell r="DX23">
            <v>10173</v>
          </cell>
        </row>
        <row r="27">
          <cell r="DX27">
            <v>73</v>
          </cell>
        </row>
        <row r="28">
          <cell r="DX28">
            <v>145</v>
          </cell>
        </row>
        <row r="41">
          <cell r="DJ41">
            <v>26918</v>
          </cell>
          <cell r="DX41">
            <v>20515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15">
        <row r="4">
          <cell r="DX4">
            <v>106</v>
          </cell>
        </row>
        <row r="5">
          <cell r="DX5">
            <v>106</v>
          </cell>
        </row>
        <row r="8">
          <cell r="DX8"/>
        </row>
        <row r="9">
          <cell r="DX9"/>
        </row>
        <row r="19">
          <cell r="DJ19">
            <v>510</v>
          </cell>
          <cell r="DX19">
            <v>212</v>
          </cell>
        </row>
        <row r="22">
          <cell r="DX22">
            <v>396</v>
          </cell>
        </row>
        <row r="23">
          <cell r="DX23">
            <v>369</v>
          </cell>
        </row>
        <row r="27">
          <cell r="DX27">
            <v>58</v>
          </cell>
        </row>
        <row r="28">
          <cell r="DX28">
            <v>50</v>
          </cell>
        </row>
        <row r="41">
          <cell r="DJ41">
            <v>2766</v>
          </cell>
          <cell r="DX41">
            <v>765</v>
          </cell>
        </row>
        <row r="47">
          <cell r="DX47">
            <v>13</v>
          </cell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16">
        <row r="8">
          <cell r="DX8"/>
        </row>
        <row r="9">
          <cell r="DX9"/>
        </row>
        <row r="15">
          <cell r="DX15"/>
        </row>
        <row r="16">
          <cell r="DX16"/>
        </row>
        <row r="19">
          <cell r="DJ19">
            <v>0</v>
          </cell>
          <cell r="DX19">
            <v>0</v>
          </cell>
        </row>
        <row r="32">
          <cell r="DX32"/>
        </row>
        <row r="33">
          <cell r="DX33"/>
        </row>
        <row r="37">
          <cell r="DX37"/>
        </row>
        <row r="38">
          <cell r="DX38"/>
        </row>
        <row r="41">
          <cell r="DJ41">
            <v>0</v>
          </cell>
          <cell r="DX41">
            <v>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17"/>
      <sheetData sheetId="18"/>
      <sheetData sheetId="19"/>
      <sheetData sheetId="20">
        <row r="8">
          <cell r="DX8"/>
        </row>
        <row r="9">
          <cell r="DX9"/>
        </row>
        <row r="15">
          <cell r="DX15">
            <v>89</v>
          </cell>
        </row>
        <row r="16">
          <cell r="DX16">
            <v>89</v>
          </cell>
        </row>
        <row r="19">
          <cell r="DJ19">
            <v>159</v>
          </cell>
          <cell r="DX19">
            <v>178</v>
          </cell>
        </row>
        <row r="32">
          <cell r="DX32">
            <v>3250</v>
          </cell>
        </row>
        <row r="33">
          <cell r="DX33">
            <v>3146</v>
          </cell>
        </row>
        <row r="37">
          <cell r="DX37">
            <v>46</v>
          </cell>
        </row>
        <row r="38">
          <cell r="DX38">
            <v>35</v>
          </cell>
        </row>
        <row r="41">
          <cell r="DJ41">
            <v>4117</v>
          </cell>
          <cell r="DX41">
            <v>6396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G58"/>
        </row>
      </sheetData>
      <sheetData sheetId="21">
        <row r="4">
          <cell r="DX4">
            <v>642</v>
          </cell>
        </row>
        <row r="5">
          <cell r="DX5">
            <v>638</v>
          </cell>
        </row>
        <row r="8">
          <cell r="DX8"/>
        </row>
        <row r="9">
          <cell r="DX9"/>
        </row>
        <row r="19">
          <cell r="DJ19">
            <v>1136</v>
          </cell>
          <cell r="DX19">
            <v>1280</v>
          </cell>
        </row>
        <row r="22">
          <cell r="DX22">
            <v>69023</v>
          </cell>
        </row>
        <row r="23">
          <cell r="DX23">
            <v>71723</v>
          </cell>
        </row>
        <row r="27">
          <cell r="DX27">
            <v>1266</v>
          </cell>
        </row>
        <row r="28">
          <cell r="DX28">
            <v>1251</v>
          </cell>
        </row>
        <row r="41">
          <cell r="DJ41">
            <v>106323</v>
          </cell>
          <cell r="DX41">
            <v>140746</v>
          </cell>
        </row>
        <row r="47">
          <cell r="DX47">
            <v>206060</v>
          </cell>
        </row>
        <row r="48">
          <cell r="DX48"/>
        </row>
        <row r="52">
          <cell r="DX52">
            <v>135795</v>
          </cell>
        </row>
        <row r="53">
          <cell r="DX53"/>
        </row>
        <row r="57">
          <cell r="DX57"/>
        </row>
        <row r="58">
          <cell r="DX58"/>
        </row>
        <row r="70">
          <cell r="DX70">
            <v>71171</v>
          </cell>
        </row>
        <row r="71">
          <cell r="DX71">
            <v>552</v>
          </cell>
        </row>
        <row r="73">
          <cell r="DX73"/>
        </row>
        <row r="74">
          <cell r="DX74"/>
        </row>
      </sheetData>
      <sheetData sheetId="22">
        <row r="4">
          <cell r="DX4">
            <v>340</v>
          </cell>
        </row>
        <row r="5">
          <cell r="DX5">
            <v>340</v>
          </cell>
        </row>
        <row r="8">
          <cell r="DX8"/>
        </row>
        <row r="9">
          <cell r="DX9"/>
        </row>
        <row r="19">
          <cell r="DJ19">
            <v>681</v>
          </cell>
          <cell r="DX19">
            <v>680</v>
          </cell>
        </row>
        <row r="22">
          <cell r="DX22">
            <v>46173</v>
          </cell>
        </row>
        <row r="23">
          <cell r="DX23">
            <v>47044</v>
          </cell>
        </row>
        <row r="27">
          <cell r="DX27">
            <v>291</v>
          </cell>
        </row>
        <row r="28">
          <cell r="DX28">
            <v>290</v>
          </cell>
        </row>
        <row r="41">
          <cell r="DJ41">
            <v>87200</v>
          </cell>
          <cell r="DX41">
            <v>93217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23">
        <row r="4">
          <cell r="DX4">
            <v>160</v>
          </cell>
        </row>
        <row r="5">
          <cell r="DX5">
            <v>160</v>
          </cell>
        </row>
        <row r="8">
          <cell r="DX8"/>
        </row>
        <row r="9">
          <cell r="DX9"/>
        </row>
        <row r="19">
          <cell r="DJ19">
            <v>342</v>
          </cell>
          <cell r="DX19">
            <v>320</v>
          </cell>
        </row>
        <row r="22">
          <cell r="DX22">
            <v>17773</v>
          </cell>
        </row>
        <row r="23">
          <cell r="DX23">
            <v>18636</v>
          </cell>
        </row>
        <row r="27">
          <cell r="DX27">
            <v>621</v>
          </cell>
        </row>
        <row r="28">
          <cell r="DX28">
            <v>656</v>
          </cell>
        </row>
        <row r="41">
          <cell r="DJ41">
            <v>31165</v>
          </cell>
          <cell r="DX41">
            <v>36409</v>
          </cell>
        </row>
        <row r="47">
          <cell r="DX47">
            <v>8494</v>
          </cell>
        </row>
        <row r="48">
          <cell r="DX48">
            <v>107887</v>
          </cell>
        </row>
        <row r="52">
          <cell r="DX52">
            <v>4356</v>
          </cell>
        </row>
        <row r="53">
          <cell r="DX53">
            <v>183063</v>
          </cell>
        </row>
        <row r="57">
          <cell r="DX57"/>
        </row>
        <row r="58">
          <cell r="DX58"/>
        </row>
      </sheetData>
      <sheetData sheetId="24">
        <row r="4">
          <cell r="DX4">
            <v>367</v>
          </cell>
        </row>
        <row r="5">
          <cell r="DX5">
            <v>358</v>
          </cell>
        </row>
        <row r="8">
          <cell r="DX8"/>
        </row>
        <row r="9">
          <cell r="DX9"/>
        </row>
        <row r="19">
          <cell r="DJ19">
            <v>656</v>
          </cell>
          <cell r="DX19">
            <v>725</v>
          </cell>
        </row>
        <row r="22">
          <cell r="DX22">
            <v>44280</v>
          </cell>
        </row>
        <row r="23">
          <cell r="DX23">
            <v>47996</v>
          </cell>
        </row>
        <row r="27">
          <cell r="DX27">
            <v>1120</v>
          </cell>
        </row>
        <row r="28">
          <cell r="DX28">
            <v>1191</v>
          </cell>
        </row>
        <row r="41">
          <cell r="DJ41">
            <v>89894</v>
          </cell>
          <cell r="DX41">
            <v>92276</v>
          </cell>
        </row>
        <row r="47">
          <cell r="DX47">
            <v>8622</v>
          </cell>
        </row>
        <row r="48">
          <cell r="DX48">
            <v>48917</v>
          </cell>
        </row>
        <row r="52">
          <cell r="DX52">
            <v>9882</v>
          </cell>
        </row>
        <row r="53">
          <cell r="DX53">
            <v>94940</v>
          </cell>
        </row>
        <row r="57">
          <cell r="DX57"/>
        </row>
        <row r="58">
          <cell r="DX58"/>
        </row>
      </sheetData>
      <sheetData sheetId="25"/>
      <sheetData sheetId="26"/>
      <sheetData sheetId="27">
        <row r="4">
          <cell r="DX4"/>
        </row>
        <row r="5">
          <cell r="DX5"/>
        </row>
        <row r="8">
          <cell r="DX8"/>
        </row>
        <row r="9">
          <cell r="DX9"/>
        </row>
        <row r="19">
          <cell r="DJ19">
            <v>3</v>
          </cell>
          <cell r="DX19">
            <v>0</v>
          </cell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41">
          <cell r="DJ41">
            <v>245</v>
          </cell>
          <cell r="DX41">
            <v>0</v>
          </cell>
        </row>
        <row r="47">
          <cell r="DX47"/>
        </row>
        <row r="48">
          <cell r="DX48"/>
        </row>
        <row r="52">
          <cell r="BH52"/>
        </row>
        <row r="53">
          <cell r="DX53"/>
        </row>
        <row r="57">
          <cell r="BG57"/>
        </row>
        <row r="58">
          <cell r="BG58"/>
        </row>
      </sheetData>
      <sheetData sheetId="28">
        <row r="4">
          <cell r="DX4">
            <v>105</v>
          </cell>
        </row>
        <row r="5">
          <cell r="DX5">
            <v>106</v>
          </cell>
        </row>
        <row r="8">
          <cell r="DX8"/>
        </row>
        <row r="9">
          <cell r="DX9"/>
        </row>
        <row r="19">
          <cell r="DJ19">
            <v>404</v>
          </cell>
          <cell r="DX19">
            <v>211</v>
          </cell>
        </row>
        <row r="22">
          <cell r="DX22">
            <v>6242</v>
          </cell>
        </row>
        <row r="23">
          <cell r="DX23">
            <v>6199</v>
          </cell>
        </row>
        <row r="27">
          <cell r="DX27">
            <v>131</v>
          </cell>
        </row>
        <row r="28">
          <cell r="DX28">
            <v>90</v>
          </cell>
        </row>
        <row r="41">
          <cell r="DJ41">
            <v>19158</v>
          </cell>
          <cell r="DX41">
            <v>12441</v>
          </cell>
        </row>
        <row r="47">
          <cell r="DX47">
            <v>78</v>
          </cell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29">
        <row r="4">
          <cell r="DX4">
            <v>657</v>
          </cell>
        </row>
        <row r="5">
          <cell r="DX5">
            <v>656</v>
          </cell>
        </row>
        <row r="8">
          <cell r="DX8"/>
        </row>
        <row r="9">
          <cell r="DX9"/>
        </row>
        <row r="15">
          <cell r="DX15">
            <v>20</v>
          </cell>
        </row>
        <row r="16">
          <cell r="DX16">
            <v>21</v>
          </cell>
        </row>
        <row r="19">
          <cell r="DJ19">
            <v>798</v>
          </cell>
          <cell r="DX19">
            <v>1354</v>
          </cell>
        </row>
        <row r="22">
          <cell r="DX22">
            <v>32178</v>
          </cell>
        </row>
        <row r="23">
          <cell r="DX23">
            <v>33387</v>
          </cell>
        </row>
        <row r="27">
          <cell r="DX27">
            <v>1155</v>
          </cell>
        </row>
        <row r="28">
          <cell r="DX28">
            <v>1112</v>
          </cell>
        </row>
        <row r="32">
          <cell r="DX32">
            <v>904</v>
          </cell>
        </row>
        <row r="33">
          <cell r="DX33">
            <v>1132</v>
          </cell>
        </row>
        <row r="37">
          <cell r="DX37">
            <v>21</v>
          </cell>
        </row>
        <row r="38">
          <cell r="DX38">
            <v>7</v>
          </cell>
        </row>
        <row r="41">
          <cell r="DJ41">
            <v>39177</v>
          </cell>
          <cell r="DX41">
            <v>67601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G58"/>
        </row>
        <row r="70">
          <cell r="DX70">
            <v>12229</v>
          </cell>
        </row>
        <row r="71">
          <cell r="DX71">
            <v>21158</v>
          </cell>
        </row>
        <row r="73">
          <cell r="DX73">
            <v>415</v>
          </cell>
        </row>
        <row r="74">
          <cell r="DX74">
            <v>717</v>
          </cell>
        </row>
      </sheetData>
      <sheetData sheetId="30">
        <row r="4">
          <cell r="DX4"/>
        </row>
        <row r="5">
          <cell r="DX5"/>
        </row>
        <row r="8">
          <cell r="DX8"/>
        </row>
        <row r="9">
          <cell r="DX9"/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31">
        <row r="4">
          <cell r="DX4"/>
        </row>
        <row r="5">
          <cell r="DX5"/>
        </row>
        <row r="8">
          <cell r="DX8"/>
        </row>
        <row r="9">
          <cell r="DX9"/>
        </row>
        <row r="19">
          <cell r="DJ19">
            <v>36</v>
          </cell>
          <cell r="DX19">
            <v>0</v>
          </cell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41">
          <cell r="DJ41">
            <v>1257</v>
          </cell>
          <cell r="DX41">
            <v>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32">
        <row r="15">
          <cell r="DX15"/>
        </row>
        <row r="16">
          <cell r="DX16"/>
        </row>
        <row r="32">
          <cell r="DX32"/>
        </row>
        <row r="33">
          <cell r="DX33"/>
        </row>
        <row r="37">
          <cell r="DX37"/>
        </row>
        <row r="38">
          <cell r="DX38"/>
        </row>
      </sheetData>
      <sheetData sheetId="33">
        <row r="4">
          <cell r="DX4">
            <v>559</v>
          </cell>
        </row>
        <row r="5">
          <cell r="DX5">
            <v>564</v>
          </cell>
        </row>
        <row r="8">
          <cell r="DX8"/>
        </row>
        <row r="9">
          <cell r="DX9">
            <v>3</v>
          </cell>
        </row>
        <row r="15">
          <cell r="DX15">
            <v>50</v>
          </cell>
        </row>
        <row r="16">
          <cell r="DX16">
            <v>45</v>
          </cell>
        </row>
        <row r="19">
          <cell r="DJ19">
            <v>2689</v>
          </cell>
          <cell r="DX19">
            <v>1221</v>
          </cell>
        </row>
        <row r="22">
          <cell r="DX22">
            <v>29159</v>
          </cell>
        </row>
        <row r="23">
          <cell r="DX23">
            <v>31659</v>
          </cell>
        </row>
        <row r="27">
          <cell r="DX27">
            <v>1233</v>
          </cell>
        </row>
        <row r="28">
          <cell r="DX28">
            <v>1180</v>
          </cell>
        </row>
        <row r="32">
          <cell r="DX32">
            <v>3119</v>
          </cell>
        </row>
        <row r="33">
          <cell r="DX33">
            <v>2840</v>
          </cell>
        </row>
        <row r="37">
          <cell r="DX37">
            <v>55</v>
          </cell>
        </row>
        <row r="38">
          <cell r="DX38">
            <v>61</v>
          </cell>
        </row>
        <row r="41">
          <cell r="DJ41">
            <v>154021</v>
          </cell>
          <cell r="DX41">
            <v>66777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G58"/>
        </row>
        <row r="70">
          <cell r="BG70">
            <v>26242</v>
          </cell>
          <cell r="DX70">
            <v>11782</v>
          </cell>
        </row>
        <row r="71">
          <cell r="BG71">
            <v>44562</v>
          </cell>
          <cell r="DX71">
            <v>19877</v>
          </cell>
        </row>
        <row r="73">
          <cell r="BG73">
            <v>1540</v>
          </cell>
          <cell r="DX73">
            <v>1057</v>
          </cell>
        </row>
        <row r="74">
          <cell r="BG74">
            <v>2614</v>
          </cell>
          <cell r="DX74">
            <v>1783</v>
          </cell>
        </row>
      </sheetData>
      <sheetData sheetId="34"/>
      <sheetData sheetId="35">
        <row r="4">
          <cell r="DX4">
            <v>135</v>
          </cell>
        </row>
        <row r="5">
          <cell r="DX5">
            <v>135</v>
          </cell>
        </row>
        <row r="8">
          <cell r="DX8"/>
        </row>
        <row r="9">
          <cell r="DX9"/>
        </row>
        <row r="19">
          <cell r="DJ19">
            <v>422</v>
          </cell>
          <cell r="DX19">
            <v>270</v>
          </cell>
        </row>
        <row r="22">
          <cell r="DX22">
            <v>5246</v>
          </cell>
        </row>
        <row r="23">
          <cell r="DX23">
            <v>5254</v>
          </cell>
        </row>
        <row r="27">
          <cell r="DX27">
            <v>209</v>
          </cell>
        </row>
        <row r="28">
          <cell r="DX28">
            <v>174</v>
          </cell>
        </row>
        <row r="41">
          <cell r="BT41">
            <v>19813</v>
          </cell>
          <cell r="DJ41">
            <v>14930</v>
          </cell>
          <cell r="DX41">
            <v>10500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G58"/>
        </row>
      </sheetData>
      <sheetData sheetId="36"/>
      <sheetData sheetId="37">
        <row r="4">
          <cell r="DX4"/>
        </row>
        <row r="5">
          <cell r="DX5"/>
        </row>
        <row r="8">
          <cell r="DX8"/>
        </row>
        <row r="9">
          <cell r="DX9"/>
        </row>
        <row r="19">
          <cell r="DJ19">
            <v>0</v>
          </cell>
          <cell r="DX19">
            <v>0</v>
          </cell>
        </row>
        <row r="22">
          <cell r="DX22"/>
        </row>
        <row r="23">
          <cell r="DX23"/>
        </row>
        <row r="27">
          <cell r="DX27"/>
        </row>
        <row r="28">
          <cell r="DX28"/>
        </row>
        <row r="41">
          <cell r="DJ41">
            <v>0</v>
          </cell>
          <cell r="DX41">
            <v>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AJ57"/>
        </row>
        <row r="58">
          <cell r="AJ58"/>
        </row>
        <row r="73">
          <cell r="DX73"/>
        </row>
        <row r="74">
          <cell r="DX74"/>
        </row>
      </sheetData>
      <sheetData sheetId="38">
        <row r="4">
          <cell r="DX4">
            <v>53</v>
          </cell>
        </row>
        <row r="5">
          <cell r="DX5">
            <v>53</v>
          </cell>
        </row>
        <row r="8">
          <cell r="DX8"/>
        </row>
        <row r="9">
          <cell r="DX9"/>
        </row>
        <row r="19">
          <cell r="DJ19">
            <v>296</v>
          </cell>
          <cell r="DX19">
            <v>106</v>
          </cell>
        </row>
        <row r="22">
          <cell r="DX22">
            <v>3386</v>
          </cell>
        </row>
        <row r="23">
          <cell r="DX23">
            <v>3418</v>
          </cell>
        </row>
        <row r="27">
          <cell r="DX27">
            <v>72</v>
          </cell>
        </row>
        <row r="28">
          <cell r="DX28">
            <v>55</v>
          </cell>
        </row>
        <row r="41">
          <cell r="DJ41">
            <v>16078</v>
          </cell>
          <cell r="DX41">
            <v>6804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AJ57"/>
        </row>
        <row r="58">
          <cell r="AJ58"/>
        </row>
      </sheetData>
      <sheetData sheetId="39"/>
      <sheetData sheetId="40">
        <row r="4">
          <cell r="DX4">
            <v>75</v>
          </cell>
        </row>
        <row r="5">
          <cell r="DX5">
            <v>75</v>
          </cell>
        </row>
        <row r="8">
          <cell r="DX8"/>
        </row>
        <row r="9">
          <cell r="DX9"/>
        </row>
        <row r="19">
          <cell r="DJ19">
            <v>50</v>
          </cell>
          <cell r="DX19">
            <v>150</v>
          </cell>
        </row>
        <row r="22">
          <cell r="DX22">
            <v>4768</v>
          </cell>
        </row>
        <row r="23">
          <cell r="DX23">
            <v>4692</v>
          </cell>
        </row>
        <row r="27">
          <cell r="DX27">
            <v>149</v>
          </cell>
        </row>
        <row r="28">
          <cell r="DX28">
            <v>188</v>
          </cell>
        </row>
        <row r="41">
          <cell r="DJ41">
            <v>2641</v>
          </cell>
          <cell r="DX41">
            <v>9460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41">
        <row r="4">
          <cell r="DX4">
            <v>5</v>
          </cell>
        </row>
        <row r="5">
          <cell r="DX5">
            <v>5</v>
          </cell>
        </row>
        <row r="8">
          <cell r="DX8"/>
        </row>
        <row r="9">
          <cell r="DX9"/>
        </row>
        <row r="19">
          <cell r="DJ19">
            <v>0</v>
          </cell>
          <cell r="DX19">
            <v>10</v>
          </cell>
        </row>
        <row r="22">
          <cell r="DX22">
            <v>238</v>
          </cell>
        </row>
        <row r="23">
          <cell r="DX23">
            <v>350</v>
          </cell>
        </row>
        <row r="27">
          <cell r="DX27">
            <v>15</v>
          </cell>
        </row>
        <row r="28">
          <cell r="DX28">
            <v>5</v>
          </cell>
        </row>
        <row r="41">
          <cell r="DJ41">
            <v>0</v>
          </cell>
          <cell r="DX41">
            <v>588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AJ57"/>
        </row>
        <row r="58">
          <cell r="AJ58"/>
        </row>
      </sheetData>
      <sheetData sheetId="42"/>
      <sheetData sheetId="43">
        <row r="4">
          <cell r="DX4">
            <v>2582</v>
          </cell>
        </row>
        <row r="5">
          <cell r="DX5">
            <v>2578</v>
          </cell>
        </row>
        <row r="8">
          <cell r="DX8"/>
        </row>
        <row r="9">
          <cell r="DX9">
            <v>4</v>
          </cell>
        </row>
        <row r="15">
          <cell r="DX15">
            <v>312</v>
          </cell>
        </row>
        <row r="16">
          <cell r="DX16">
            <v>310</v>
          </cell>
        </row>
        <row r="19">
          <cell r="DJ19">
            <v>6914</v>
          </cell>
          <cell r="DX19">
            <v>5786</v>
          </cell>
        </row>
        <row r="22">
          <cell r="DX22">
            <v>129082</v>
          </cell>
        </row>
        <row r="23">
          <cell r="DX23">
            <v>126722</v>
          </cell>
        </row>
        <row r="27">
          <cell r="DX27">
            <v>4889</v>
          </cell>
        </row>
        <row r="28">
          <cell r="DX28">
            <v>5113</v>
          </cell>
        </row>
        <row r="32">
          <cell r="DX32">
            <v>17970</v>
          </cell>
        </row>
        <row r="33">
          <cell r="DX33">
            <v>17929</v>
          </cell>
        </row>
        <row r="37">
          <cell r="DX37">
            <v>264</v>
          </cell>
        </row>
        <row r="38">
          <cell r="DX38">
            <v>238</v>
          </cell>
        </row>
        <row r="41">
          <cell r="DJ41">
            <v>308208</v>
          </cell>
          <cell r="DX41">
            <v>291703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  <row r="70">
          <cell r="DX70">
            <v>35323</v>
          </cell>
        </row>
        <row r="71">
          <cell r="DX71">
            <v>91399</v>
          </cell>
        </row>
        <row r="73">
          <cell r="DX73">
            <v>4998</v>
          </cell>
        </row>
        <row r="74">
          <cell r="DX74">
            <v>12931</v>
          </cell>
        </row>
      </sheetData>
      <sheetData sheetId="44"/>
      <sheetData sheetId="45">
        <row r="4">
          <cell r="DX4">
            <v>26</v>
          </cell>
        </row>
        <row r="5">
          <cell r="DX5">
            <v>26</v>
          </cell>
        </row>
        <row r="8">
          <cell r="DX8"/>
        </row>
        <row r="9">
          <cell r="DX9"/>
        </row>
        <row r="19">
          <cell r="DJ19">
            <v>181</v>
          </cell>
          <cell r="DX19">
            <v>52</v>
          </cell>
        </row>
        <row r="22">
          <cell r="DX22">
            <v>1624</v>
          </cell>
        </row>
        <row r="23">
          <cell r="DX23">
            <v>1568</v>
          </cell>
        </row>
        <row r="27">
          <cell r="DX27"/>
        </row>
        <row r="28">
          <cell r="DX28"/>
        </row>
        <row r="41">
          <cell r="DJ41">
            <v>10815</v>
          </cell>
          <cell r="DX41">
            <v>3192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46"/>
      <sheetData sheetId="47"/>
      <sheetData sheetId="48">
        <row r="4">
          <cell r="DX4">
            <v>1734</v>
          </cell>
        </row>
        <row r="5">
          <cell r="DX5">
            <v>1730</v>
          </cell>
        </row>
        <row r="8">
          <cell r="DX8"/>
        </row>
        <row r="9">
          <cell r="DX9">
            <v>4</v>
          </cell>
        </row>
        <row r="15">
          <cell r="DX15">
            <v>118</v>
          </cell>
        </row>
        <row r="16">
          <cell r="DX16">
            <v>117</v>
          </cell>
        </row>
        <row r="19">
          <cell r="DJ19">
            <v>3013</v>
          </cell>
          <cell r="DX19">
            <v>3703</v>
          </cell>
        </row>
        <row r="22">
          <cell r="DX22">
            <v>66551</v>
          </cell>
        </row>
        <row r="23">
          <cell r="DX23">
            <v>66636</v>
          </cell>
        </row>
        <row r="27">
          <cell r="DX27">
            <v>2962</v>
          </cell>
        </row>
        <row r="28">
          <cell r="DX28">
            <v>2952</v>
          </cell>
        </row>
        <row r="32">
          <cell r="DX32">
            <v>5643</v>
          </cell>
        </row>
        <row r="33">
          <cell r="DX33">
            <v>5046</v>
          </cell>
        </row>
        <row r="37">
          <cell r="DX37">
            <v>88</v>
          </cell>
        </row>
        <row r="38">
          <cell r="DX38">
            <v>71</v>
          </cell>
        </row>
        <row r="41">
          <cell r="DJ41">
            <v>111993</v>
          </cell>
          <cell r="DX41">
            <v>143876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  <row r="70">
          <cell r="DX70">
            <v>14675</v>
          </cell>
        </row>
        <row r="71">
          <cell r="DX71">
            <v>51961</v>
          </cell>
        </row>
        <row r="73">
          <cell r="DX73">
            <v>1111</v>
          </cell>
        </row>
        <row r="74">
          <cell r="DX74">
            <v>3935</v>
          </cell>
        </row>
      </sheetData>
      <sheetData sheetId="49">
        <row r="4">
          <cell r="DX4">
            <v>145</v>
          </cell>
        </row>
        <row r="5">
          <cell r="DX5">
            <v>145</v>
          </cell>
        </row>
        <row r="8">
          <cell r="DX8"/>
        </row>
        <row r="9">
          <cell r="DX9"/>
        </row>
        <row r="19">
          <cell r="DJ19">
            <v>60</v>
          </cell>
          <cell r="DX19">
            <v>290</v>
          </cell>
        </row>
        <row r="22">
          <cell r="DX22">
            <v>9053</v>
          </cell>
        </row>
        <row r="23">
          <cell r="DX23">
            <v>9296</v>
          </cell>
        </row>
        <row r="27">
          <cell r="DX27">
            <v>265</v>
          </cell>
        </row>
        <row r="28">
          <cell r="DX28">
            <v>274</v>
          </cell>
        </row>
        <row r="41">
          <cell r="DJ41">
            <v>2970</v>
          </cell>
          <cell r="DX41">
            <v>18349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  <row r="73">
          <cell r="DX73"/>
        </row>
        <row r="74">
          <cell r="DX74"/>
        </row>
      </sheetData>
      <sheetData sheetId="50">
        <row r="19">
          <cell r="DJ19">
            <v>0</v>
          </cell>
        </row>
        <row r="41">
          <cell r="DJ41">
            <v>0</v>
          </cell>
        </row>
      </sheetData>
      <sheetData sheetId="51"/>
      <sheetData sheetId="52"/>
      <sheetData sheetId="53">
        <row r="4">
          <cell r="DX4">
            <v>132</v>
          </cell>
        </row>
        <row r="5">
          <cell r="DX5">
            <v>132</v>
          </cell>
        </row>
        <row r="8">
          <cell r="DX8"/>
        </row>
        <row r="9">
          <cell r="DX9"/>
        </row>
        <row r="19">
          <cell r="DJ19">
            <v>166</v>
          </cell>
          <cell r="DX19">
            <v>264</v>
          </cell>
        </row>
        <row r="22">
          <cell r="DX22">
            <v>7856</v>
          </cell>
        </row>
        <row r="23">
          <cell r="DX23">
            <v>7759</v>
          </cell>
        </row>
        <row r="27">
          <cell r="DX27"/>
        </row>
        <row r="28">
          <cell r="DX28"/>
        </row>
        <row r="41">
          <cell r="DJ41">
            <v>8788</v>
          </cell>
          <cell r="DX41">
            <v>15615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G58"/>
        </row>
      </sheetData>
      <sheetData sheetId="54">
        <row r="4">
          <cell r="DX4">
            <v>207</v>
          </cell>
        </row>
        <row r="5">
          <cell r="DX5">
            <v>206</v>
          </cell>
        </row>
        <row r="8">
          <cell r="DX8"/>
        </row>
        <row r="9">
          <cell r="DX9"/>
        </row>
        <row r="15">
          <cell r="DX15">
            <v>1</v>
          </cell>
        </row>
        <row r="16">
          <cell r="DX16"/>
        </row>
        <row r="19">
          <cell r="DJ19">
            <v>204</v>
          </cell>
          <cell r="DX19">
            <v>414</v>
          </cell>
        </row>
        <row r="22">
          <cell r="DX22">
            <v>10441</v>
          </cell>
        </row>
        <row r="23">
          <cell r="DX23">
            <v>10220</v>
          </cell>
        </row>
        <row r="27">
          <cell r="DX27">
            <v>339</v>
          </cell>
        </row>
        <row r="28">
          <cell r="DX28">
            <v>332</v>
          </cell>
        </row>
        <row r="41">
          <cell r="DJ41">
            <v>10659</v>
          </cell>
          <cell r="DX41">
            <v>20661</v>
          </cell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BH58"/>
        </row>
        <row r="70">
          <cell r="DX70">
            <v>3810</v>
          </cell>
        </row>
        <row r="71">
          <cell r="DX71">
            <v>6410</v>
          </cell>
        </row>
        <row r="73">
          <cell r="DX73"/>
        </row>
        <row r="74">
          <cell r="DX74"/>
        </row>
      </sheetData>
      <sheetData sheetId="55"/>
      <sheetData sheetId="56"/>
      <sheetData sheetId="57"/>
      <sheetData sheetId="58">
        <row r="4">
          <cell r="DX4"/>
        </row>
        <row r="5">
          <cell r="DX5"/>
        </row>
        <row r="15">
          <cell r="DX15"/>
        </row>
        <row r="16">
          <cell r="DX16"/>
        </row>
        <row r="22">
          <cell r="DX22"/>
        </row>
        <row r="23">
          <cell r="DX23"/>
        </row>
        <row r="32">
          <cell r="DX32"/>
        </row>
        <row r="33">
          <cell r="DX33"/>
        </row>
        <row r="37">
          <cell r="DX37"/>
        </row>
        <row r="38">
          <cell r="DX38"/>
        </row>
      </sheetData>
      <sheetData sheetId="59">
        <row r="4">
          <cell r="DX4"/>
        </row>
        <row r="5">
          <cell r="DX5"/>
        </row>
        <row r="15">
          <cell r="DX15"/>
        </row>
        <row r="16">
          <cell r="DX16"/>
        </row>
        <row r="22">
          <cell r="DX22"/>
        </row>
        <row r="23">
          <cell r="DX23"/>
        </row>
        <row r="32">
          <cell r="DX32"/>
        </row>
        <row r="33">
          <cell r="DX33"/>
        </row>
      </sheetData>
      <sheetData sheetId="60">
        <row r="15">
          <cell r="DX15"/>
        </row>
        <row r="16">
          <cell r="DX16"/>
        </row>
        <row r="32">
          <cell r="DX32"/>
        </row>
        <row r="33">
          <cell r="DX33"/>
        </row>
        <row r="37">
          <cell r="DX37"/>
        </row>
        <row r="38">
          <cell r="DX38"/>
        </row>
      </sheetData>
      <sheetData sheetId="61">
        <row r="4">
          <cell r="DX4">
            <v>5</v>
          </cell>
        </row>
        <row r="5">
          <cell r="DX5">
            <v>6</v>
          </cell>
        </row>
        <row r="15">
          <cell r="DX15"/>
        </row>
        <row r="16">
          <cell r="DX16"/>
        </row>
        <row r="22">
          <cell r="DX22">
            <v>691</v>
          </cell>
        </row>
        <row r="23">
          <cell r="DX23">
            <v>156</v>
          </cell>
        </row>
        <row r="32">
          <cell r="DX32"/>
        </row>
        <row r="33">
          <cell r="DX33"/>
        </row>
        <row r="37">
          <cell r="DX37"/>
        </row>
        <row r="38">
          <cell r="DX38"/>
        </row>
      </sheetData>
      <sheetData sheetId="62"/>
      <sheetData sheetId="63">
        <row r="4">
          <cell r="DX4"/>
        </row>
        <row r="5">
          <cell r="DX5"/>
        </row>
        <row r="8">
          <cell r="DX8"/>
        </row>
        <row r="9">
          <cell r="DX9"/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64">
        <row r="4">
          <cell r="DX4">
            <v>21</v>
          </cell>
        </row>
        <row r="5">
          <cell r="DX5">
            <v>21</v>
          </cell>
        </row>
        <row r="47">
          <cell r="DX47">
            <v>569013</v>
          </cell>
        </row>
        <row r="48">
          <cell r="DX48"/>
        </row>
        <row r="52">
          <cell r="DX52">
            <v>449991</v>
          </cell>
        </row>
        <row r="53">
          <cell r="DX53"/>
        </row>
        <row r="57">
          <cell r="DX57"/>
        </row>
        <row r="58">
          <cell r="DX58"/>
        </row>
      </sheetData>
      <sheetData sheetId="65"/>
      <sheetData sheetId="66"/>
      <sheetData sheetId="67">
        <row r="15">
          <cell r="DX15">
            <v>21</v>
          </cell>
        </row>
        <row r="16">
          <cell r="DX16">
            <v>21</v>
          </cell>
        </row>
        <row r="47">
          <cell r="DX47">
            <v>17991</v>
          </cell>
        </row>
        <row r="48">
          <cell r="DX48"/>
        </row>
        <row r="52">
          <cell r="DX52">
            <v>59154</v>
          </cell>
        </row>
        <row r="53">
          <cell r="DX53"/>
        </row>
        <row r="57">
          <cell r="DX57"/>
        </row>
        <row r="58">
          <cell r="DX58"/>
        </row>
      </sheetData>
      <sheetData sheetId="68">
        <row r="4">
          <cell r="DX4">
            <v>97</v>
          </cell>
        </row>
        <row r="5">
          <cell r="DX5">
            <v>97</v>
          </cell>
        </row>
        <row r="15">
          <cell r="DX15"/>
        </row>
        <row r="47">
          <cell r="DX47">
            <v>6113024</v>
          </cell>
        </row>
        <row r="48">
          <cell r="DX48"/>
        </row>
        <row r="52">
          <cell r="DX52">
            <v>8642797</v>
          </cell>
        </row>
        <row r="53">
          <cell r="DX53"/>
        </row>
        <row r="57">
          <cell r="DX57"/>
        </row>
        <row r="58">
          <cell r="DX58"/>
        </row>
      </sheetData>
      <sheetData sheetId="69">
        <row r="4">
          <cell r="DX4">
            <v>78</v>
          </cell>
        </row>
        <row r="5">
          <cell r="DX5">
            <v>78</v>
          </cell>
        </row>
        <row r="47">
          <cell r="DX47">
            <v>5153905</v>
          </cell>
        </row>
        <row r="48">
          <cell r="DX48">
            <v>6631</v>
          </cell>
        </row>
        <row r="52">
          <cell r="DX52">
            <v>4604151</v>
          </cell>
        </row>
        <row r="53">
          <cell r="DX53">
            <v>88499</v>
          </cell>
        </row>
        <row r="57">
          <cell r="DX57"/>
        </row>
        <row r="58">
          <cell r="DX58"/>
        </row>
      </sheetData>
      <sheetData sheetId="70"/>
      <sheetData sheetId="71"/>
      <sheetData sheetId="72"/>
      <sheetData sheetId="73">
        <row r="4">
          <cell r="DX4">
            <v>241</v>
          </cell>
        </row>
        <row r="5">
          <cell r="DX5">
            <v>241</v>
          </cell>
        </row>
      </sheetData>
      <sheetData sheetId="74">
        <row r="4">
          <cell r="DX4"/>
        </row>
        <row r="5">
          <cell r="DX5"/>
        </row>
        <row r="47">
          <cell r="DX47"/>
        </row>
        <row r="48">
          <cell r="DX48"/>
        </row>
        <row r="52">
          <cell r="DX52"/>
        </row>
        <row r="53">
          <cell r="DX53"/>
        </row>
        <row r="57">
          <cell r="DX57"/>
        </row>
        <row r="58">
          <cell r="DX58"/>
        </row>
      </sheetData>
      <sheetData sheetId="75">
        <row r="4">
          <cell r="DX4">
            <v>20</v>
          </cell>
        </row>
        <row r="5">
          <cell r="DX5">
            <v>20</v>
          </cell>
        </row>
        <row r="47">
          <cell r="DX47">
            <v>38108</v>
          </cell>
        </row>
        <row r="48">
          <cell r="DX48"/>
        </row>
        <row r="52">
          <cell r="DX52">
            <v>110054</v>
          </cell>
        </row>
        <row r="53">
          <cell r="DX53"/>
        </row>
        <row r="57">
          <cell r="DX57"/>
        </row>
        <row r="58">
          <cell r="DX58"/>
        </row>
      </sheetData>
      <sheetData sheetId="76">
        <row r="4">
          <cell r="DX4">
            <v>22</v>
          </cell>
        </row>
        <row r="5">
          <cell r="DX5">
            <v>22</v>
          </cell>
        </row>
        <row r="8">
          <cell r="DX8"/>
        </row>
        <row r="9">
          <cell r="DX9"/>
        </row>
        <row r="47">
          <cell r="DX47">
            <v>37156</v>
          </cell>
        </row>
        <row r="48">
          <cell r="DX48"/>
        </row>
        <row r="52">
          <cell r="DX52">
            <v>33965</v>
          </cell>
        </row>
        <row r="53">
          <cell r="DX53"/>
        </row>
        <row r="57">
          <cell r="DX57"/>
        </row>
        <row r="58">
          <cell r="DX58"/>
        </row>
      </sheetData>
      <sheetData sheetId="77">
        <row r="4">
          <cell r="DX4">
            <v>27</v>
          </cell>
        </row>
        <row r="5">
          <cell r="DX5">
            <v>23</v>
          </cell>
        </row>
      </sheetData>
      <sheetData sheetId="78">
        <row r="4">
          <cell r="DX4">
            <v>833</v>
          </cell>
        </row>
        <row r="5">
          <cell r="DX5">
            <v>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32" sqref="B3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15">
        <v>42005</v>
      </c>
      <c r="B2" s="17"/>
      <c r="C2" s="17"/>
      <c r="D2" s="480" t="s">
        <v>208</v>
      </c>
      <c r="E2" s="480" t="s">
        <v>183</v>
      </c>
      <c r="F2" s="8"/>
      <c r="G2" s="8"/>
      <c r="H2" s="8"/>
      <c r="I2" s="8"/>
      <c r="J2" s="25"/>
    </row>
    <row r="3" spans="1:14" ht="13.5" thickBot="1" x14ac:dyDescent="0.25">
      <c r="A3" s="421"/>
      <c r="B3" s="8" t="s">
        <v>0</v>
      </c>
      <c r="C3" s="8" t="s">
        <v>1</v>
      </c>
      <c r="D3" s="481"/>
      <c r="E3" s="482"/>
      <c r="F3" s="8" t="s">
        <v>2</v>
      </c>
      <c r="G3" s="8" t="s">
        <v>205</v>
      </c>
      <c r="H3" s="8" t="s">
        <v>184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5">
        <f>'Major Airline Stats'!J4</f>
        <v>907536</v>
      </c>
      <c r="C5" s="307">
        <f>'Major Airline Stats'!J5</f>
        <v>924195</v>
      </c>
      <c r="D5" s="5">
        <f>'Major Airline Stats'!J6</f>
        <v>1831731</v>
      </c>
      <c r="E5" s="9">
        <f>'[1]Monthly Summary'!D5</f>
        <v>1765049</v>
      </c>
      <c r="F5" s="41">
        <f>(D5-E5)/E5</f>
        <v>3.7779121146211805E-2</v>
      </c>
      <c r="G5" s="9">
        <f>+D5</f>
        <v>1831731</v>
      </c>
      <c r="H5" s="9">
        <f>'[1]Monthly Summary'!G5</f>
        <v>1765049</v>
      </c>
      <c r="I5" s="88">
        <f>(G5-H5)/H5</f>
        <v>3.7779121146211805E-2</v>
      </c>
      <c r="J5" s="9"/>
    </row>
    <row r="6" spans="1:14" x14ac:dyDescent="0.2">
      <c r="A6" s="70" t="s">
        <v>5</v>
      </c>
      <c r="B6" s="305">
        <f>'Regional Major'!K5</f>
        <v>336710</v>
      </c>
      <c r="C6" s="305">
        <f>'Regional Major'!K6</f>
        <v>337253</v>
      </c>
      <c r="D6" s="5">
        <f>B6+C6</f>
        <v>673963</v>
      </c>
      <c r="E6" s="9">
        <f>'[1]Monthly Summary'!D6</f>
        <v>705057</v>
      </c>
      <c r="F6" s="41">
        <f>(D6-E6)/E6</f>
        <v>-4.4101398893990132E-2</v>
      </c>
      <c r="G6" s="9">
        <f>+D6</f>
        <v>673963</v>
      </c>
      <c r="H6" s="9">
        <f>'[1]Monthly Summary'!G6</f>
        <v>705057</v>
      </c>
      <c r="I6" s="88">
        <f>(G6-H6)/H6</f>
        <v>-4.4101398893990132E-2</v>
      </c>
      <c r="J6" s="21"/>
      <c r="K6" s="2"/>
    </row>
    <row r="7" spans="1:14" x14ac:dyDescent="0.2">
      <c r="A7" s="70" t="s">
        <v>6</v>
      </c>
      <c r="B7" s="9">
        <f>Charter!G5</f>
        <v>691</v>
      </c>
      <c r="C7" s="306">
        <f>Charter!G6</f>
        <v>156</v>
      </c>
      <c r="D7" s="5">
        <f>B7+C7</f>
        <v>847</v>
      </c>
      <c r="E7" s="9">
        <f>'[1]Monthly Summary'!D7</f>
        <v>368</v>
      </c>
      <c r="F7" s="41">
        <f>(D7-E7)/E7</f>
        <v>1.3016304347826086</v>
      </c>
      <c r="G7" s="9">
        <f>+D7</f>
        <v>847</v>
      </c>
      <c r="H7" s="9">
        <f>'[1]Monthly Summary'!G7</f>
        <v>368</v>
      </c>
      <c r="I7" s="88">
        <f>(G7-H7)/H7</f>
        <v>1.3016304347826086</v>
      </c>
      <c r="J7" s="21"/>
      <c r="K7" s="2"/>
    </row>
    <row r="8" spans="1:14" x14ac:dyDescent="0.2">
      <c r="A8" s="73" t="s">
        <v>7</v>
      </c>
      <c r="B8" s="152">
        <f>SUM(B5:B7)</f>
        <v>1244937</v>
      </c>
      <c r="C8" s="152">
        <f>SUM(C5:C7)</f>
        <v>1261604</v>
      </c>
      <c r="D8" s="152">
        <f>SUM(D5:D7)</f>
        <v>2506541</v>
      </c>
      <c r="E8" s="152">
        <f>SUM(E5:E7)</f>
        <v>2470474</v>
      </c>
      <c r="F8" s="95">
        <f>(D8-E8)/E8</f>
        <v>1.4599222659295343E-2</v>
      </c>
      <c r="G8" s="152">
        <f>SUM(G5:G7)</f>
        <v>2506541</v>
      </c>
      <c r="H8" s="152">
        <f>SUM(H5:H7)</f>
        <v>2470474</v>
      </c>
      <c r="I8" s="94">
        <f>(G8-H8)/H8</f>
        <v>1.4599222659295343E-2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8">
        <f>'Major Airline Stats'!J9+'Regional Major'!K10</f>
        <v>43576</v>
      </c>
      <c r="C10" s="308">
        <f>'Major Airline Stats'!J10+'Regional Major'!K11</f>
        <v>43883</v>
      </c>
      <c r="D10" s="124">
        <f>SUM(B10:C10)</f>
        <v>87459</v>
      </c>
      <c r="E10" s="124">
        <f>'[1]Monthly Summary'!D10</f>
        <v>87877</v>
      </c>
      <c r="F10" s="96">
        <f>(D10-E10)/E10</f>
        <v>-4.7566484973314976E-3</v>
      </c>
      <c r="G10" s="118">
        <f>+D10</f>
        <v>87459</v>
      </c>
      <c r="H10" s="124">
        <f>'[1]Monthly Summary'!G10</f>
        <v>87877</v>
      </c>
      <c r="I10" s="99">
        <f>(G10-H10)/H10</f>
        <v>-4.7566484973314976E-3</v>
      </c>
      <c r="J10" s="268"/>
    </row>
    <row r="11" spans="1:14" ht="15.75" thickBot="1" x14ac:dyDescent="0.3">
      <c r="A11" s="72" t="s">
        <v>15</v>
      </c>
      <c r="B11" s="283">
        <f>B10+B8</f>
        <v>1288513</v>
      </c>
      <c r="C11" s="283">
        <f>C10+C8</f>
        <v>1305487</v>
      </c>
      <c r="D11" s="283">
        <f>D10+D8</f>
        <v>2594000</v>
      </c>
      <c r="E11" s="283">
        <f>E10+E8</f>
        <v>2558351</v>
      </c>
      <c r="F11" s="97">
        <f>(D11-E11)/E11</f>
        <v>1.3934366316428044E-2</v>
      </c>
      <c r="G11" s="283">
        <f>G8+G10</f>
        <v>2594000</v>
      </c>
      <c r="H11" s="283">
        <f>H8+H10</f>
        <v>2558351</v>
      </c>
      <c r="I11" s="100">
        <f>(G11-H11)/H11</f>
        <v>1.3934366316428044E-2</v>
      </c>
      <c r="J11" s="7"/>
    </row>
    <row r="12" spans="1:14" ht="15" x14ac:dyDescent="0.25">
      <c r="A12" s="15"/>
      <c r="B12" s="128"/>
      <c r="C12" s="128"/>
      <c r="D12" s="128"/>
      <c r="E12" s="128"/>
      <c r="F12" s="285"/>
      <c r="G12" s="128"/>
      <c r="H12" s="128"/>
      <c r="I12" s="286"/>
      <c r="J12" s="7"/>
      <c r="K12" s="134"/>
    </row>
    <row r="13" spans="1:14" ht="16.5" customHeight="1" x14ac:dyDescent="0.2">
      <c r="B13" s="8"/>
      <c r="C13" s="8"/>
      <c r="D13" s="480" t="s">
        <v>208</v>
      </c>
      <c r="E13" s="480" t="s">
        <v>183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1"/>
      <c r="E14" s="482"/>
      <c r="F14" s="8" t="s">
        <v>2</v>
      </c>
      <c r="G14" s="474" t="s">
        <v>205</v>
      </c>
      <c r="H14" s="474" t="s">
        <v>184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5"/>
    </row>
    <row r="16" spans="1:14" x14ac:dyDescent="0.2">
      <c r="A16" s="71" t="s">
        <v>4</v>
      </c>
      <c r="B16" s="316">
        <f>'Major Airline Stats'!J15+'Major Airline Stats'!J19</f>
        <v>7472</v>
      </c>
      <c r="C16" s="316">
        <f>'Major Airline Stats'!J16+'Major Airline Stats'!J20</f>
        <v>7456</v>
      </c>
      <c r="D16" s="49">
        <f t="shared" ref="D16:D21" si="0">SUM(B16:C16)</f>
        <v>14928</v>
      </c>
      <c r="E16" s="9">
        <f>'[1]Monthly Summary'!D16</f>
        <v>14961</v>
      </c>
      <c r="F16" s="98">
        <f t="shared" ref="F16:F22" si="1">(D16-E16)/E16</f>
        <v>-2.2057349107679966E-3</v>
      </c>
      <c r="G16" s="49">
        <f>D16</f>
        <v>14928</v>
      </c>
      <c r="H16" s="9">
        <f>'[1]Monthly Summary'!G16</f>
        <v>14961</v>
      </c>
      <c r="I16" s="266">
        <f t="shared" ref="I16:I22" si="2">(G16-H16)/H16</f>
        <v>-2.2057349107679966E-3</v>
      </c>
      <c r="N16" s="134"/>
    </row>
    <row r="17" spans="1:12" x14ac:dyDescent="0.2">
      <c r="A17" s="71" t="s">
        <v>5</v>
      </c>
      <c r="B17" s="49">
        <f>'Regional Major'!K15+'Regional Major'!K18</f>
        <v>7005</v>
      </c>
      <c r="C17" s="49">
        <f>'Regional Major'!K16+'Regional Major'!K19</f>
        <v>7004</v>
      </c>
      <c r="D17" s="49">
        <f>SUM(B17:C17)</f>
        <v>14009</v>
      </c>
      <c r="E17" s="9">
        <f>'[1]Monthly Summary'!D17</f>
        <v>15395</v>
      </c>
      <c r="F17" s="98">
        <f t="shared" si="1"/>
        <v>-9.0029230269568036E-2</v>
      </c>
      <c r="G17" s="49">
        <f>+D17</f>
        <v>14009</v>
      </c>
      <c r="H17" s="9">
        <f>'[1]Monthly Summary'!G17</f>
        <v>15395</v>
      </c>
      <c r="I17" s="266">
        <f t="shared" si="2"/>
        <v>-9.0029230269568036E-2</v>
      </c>
    </row>
    <row r="18" spans="1:12" x14ac:dyDescent="0.2">
      <c r="A18" s="71" t="s">
        <v>10</v>
      </c>
      <c r="B18" s="49">
        <f>Charter!G10</f>
        <v>5</v>
      </c>
      <c r="C18" s="49">
        <f>Charter!G11</f>
        <v>6</v>
      </c>
      <c r="D18" s="49">
        <f t="shared" si="0"/>
        <v>11</v>
      </c>
      <c r="E18" s="9">
        <f>'[1]Monthly Summary'!D18</f>
        <v>7</v>
      </c>
      <c r="F18" s="98">
        <f t="shared" si="1"/>
        <v>0.5714285714285714</v>
      </c>
      <c r="G18" s="49">
        <f>+D18</f>
        <v>11</v>
      </c>
      <c r="H18" s="9">
        <f>'[1]Monthly Summary'!G18</f>
        <v>7</v>
      </c>
      <c r="I18" s="266">
        <f t="shared" si="2"/>
        <v>0.5714285714285714</v>
      </c>
    </row>
    <row r="19" spans="1:12" x14ac:dyDescent="0.2">
      <c r="A19" s="71" t="s">
        <v>11</v>
      </c>
      <c r="B19" s="49">
        <f>Cargo!M4</f>
        <v>500</v>
      </c>
      <c r="C19" s="49">
        <f>Cargo!M5</f>
        <v>500</v>
      </c>
      <c r="D19" s="49">
        <f t="shared" si="0"/>
        <v>1000</v>
      </c>
      <c r="E19" s="9">
        <f>'[1]Monthly Summary'!D19</f>
        <v>1080</v>
      </c>
      <c r="F19" s="98">
        <f t="shared" si="1"/>
        <v>-7.407407407407407E-2</v>
      </c>
      <c r="G19" s="49">
        <f>+D19</f>
        <v>1000</v>
      </c>
      <c r="H19" s="9">
        <f>'[1]Monthly Summary'!G19</f>
        <v>1080</v>
      </c>
      <c r="I19" s="266">
        <f t="shared" si="2"/>
        <v>-7.407407407407407E-2</v>
      </c>
    </row>
    <row r="20" spans="1:12" x14ac:dyDescent="0.2">
      <c r="A20" s="71" t="s">
        <v>172</v>
      </c>
      <c r="B20" s="49">
        <f>'[2]General Avation'!$DX$4</f>
        <v>833</v>
      </c>
      <c r="C20" s="49">
        <f>'[2]General Avation'!$DX$5</f>
        <v>833</v>
      </c>
      <c r="D20" s="49">
        <f t="shared" si="0"/>
        <v>1666</v>
      </c>
      <c r="E20" s="9">
        <f>'[1]Monthly Summary'!D20</f>
        <v>1686</v>
      </c>
      <c r="F20" s="98">
        <f t="shared" si="1"/>
        <v>-1.1862396204033215E-2</v>
      </c>
      <c r="G20" s="49">
        <f>+D20</f>
        <v>1666</v>
      </c>
      <c r="H20" s="9">
        <f>'[1]Monthly Summary'!G20</f>
        <v>1686</v>
      </c>
      <c r="I20" s="266">
        <f t="shared" si="2"/>
        <v>-1.1862396204033215E-2</v>
      </c>
    </row>
    <row r="21" spans="1:12" ht="12.75" customHeight="1" x14ac:dyDescent="0.2">
      <c r="A21" s="71" t="s">
        <v>12</v>
      </c>
      <c r="B21" s="18">
        <f>'[2]Military '!$DX$4</f>
        <v>27</v>
      </c>
      <c r="C21" s="18">
        <f>'[2]Military '!$DX$5</f>
        <v>23</v>
      </c>
      <c r="D21" s="18">
        <f t="shared" si="0"/>
        <v>50</v>
      </c>
      <c r="E21" s="124">
        <f>'[1]Monthly Summary'!D21</f>
        <v>94</v>
      </c>
      <c r="F21" s="264">
        <f t="shared" si="1"/>
        <v>-0.46808510638297873</v>
      </c>
      <c r="G21" s="124">
        <f>+D21</f>
        <v>50</v>
      </c>
      <c r="H21" s="124">
        <f>'[1]Monthly Summary'!G21</f>
        <v>94</v>
      </c>
      <c r="I21" s="267">
        <f t="shared" si="2"/>
        <v>-0.46808510638297873</v>
      </c>
    </row>
    <row r="22" spans="1:12" ht="15.75" thickBot="1" x14ac:dyDescent="0.3">
      <c r="A22" s="72" t="s">
        <v>31</v>
      </c>
      <c r="B22" s="284">
        <f>SUM(B16:B21)</f>
        <v>15842</v>
      </c>
      <c r="C22" s="284">
        <f>SUM(C16:C21)</f>
        <v>15822</v>
      </c>
      <c r="D22" s="284">
        <f>SUM(D16:D21)</f>
        <v>31664</v>
      </c>
      <c r="E22" s="284">
        <f>SUM(E16:E21)</f>
        <v>33223</v>
      </c>
      <c r="F22" s="280">
        <f t="shared" si="1"/>
        <v>-4.6925322818529333E-2</v>
      </c>
      <c r="G22" s="284">
        <f>SUM(G16:G21)</f>
        <v>31664</v>
      </c>
      <c r="H22" s="284">
        <f>SUM(H16:H21)</f>
        <v>33223</v>
      </c>
      <c r="I22" s="281">
        <f t="shared" si="2"/>
        <v>-4.6925322818529333E-2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0" t="s">
        <v>208</v>
      </c>
      <c r="E24" s="480" t="s">
        <v>183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1"/>
      <c r="E25" s="482"/>
      <c r="F25" s="8" t="s">
        <v>2</v>
      </c>
      <c r="G25" s="474" t="s">
        <v>205</v>
      </c>
      <c r="H25" s="474" t="s">
        <v>184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7162.0647649704997</v>
      </c>
      <c r="C27" s="23">
        <f>(Cargo!M21+'Major Airline Stats'!J33+'Regional Major'!K30)*0.00045359237</f>
        <v>8123.6932899568601</v>
      </c>
      <c r="D27" s="23">
        <f>(SUM(B27:C27)+('Cargo Summary'!E17*0.00045359237))</f>
        <v>15285.758054927359</v>
      </c>
      <c r="E27" s="9">
        <f>'[1]Monthly Summary'!D27</f>
        <v>15183.335990596621</v>
      </c>
      <c r="F27" s="101">
        <f>(D27-E27)/E27</f>
        <v>6.7456891156311323E-3</v>
      </c>
      <c r="G27" s="56">
        <f>+D27</f>
        <v>15285.758054927359</v>
      </c>
      <c r="H27" s="9">
        <f>'[1]Monthly Summary'!G27</f>
        <v>15183.335990596621</v>
      </c>
      <c r="I27" s="103">
        <f>(G27-H27)/H27</f>
        <v>6.7456891156311323E-3</v>
      </c>
    </row>
    <row r="28" spans="1:12" x14ac:dyDescent="0.2">
      <c r="A28" s="65" t="s">
        <v>18</v>
      </c>
      <c r="B28" s="23">
        <f>(Cargo!M17+'Major Airline Stats'!J29+'Regional Major'!K26)*0.00045359237</f>
        <v>617.37051344352994</v>
      </c>
      <c r="C28" s="23">
        <f>(Cargo!M22+'Major Airline Stats'!J34+'Regional Major'!K31)*0.00045359237</f>
        <v>433.91008988096002</v>
      </c>
      <c r="D28" s="23">
        <f>SUM(B28:C28)</f>
        <v>1051.2806033244899</v>
      </c>
      <c r="E28" s="9">
        <f>'[1]Monthly Summary'!D28</f>
        <v>1125.3223002490699</v>
      </c>
      <c r="F28" s="101">
        <f>(D28-E28)/E28</f>
        <v>-6.5795991875565105E-2</v>
      </c>
      <c r="G28" s="23">
        <f>+D28</f>
        <v>1051.2806033244899</v>
      </c>
      <c r="H28" s="9">
        <f>'[1]Monthly Summary'!G28</f>
        <v>1125.3223002490699</v>
      </c>
      <c r="I28" s="103">
        <f>(G28-H28)/H28</f>
        <v>-6.5795991875565105E-2</v>
      </c>
    </row>
    <row r="29" spans="1:12" ht="15.75" thickBot="1" x14ac:dyDescent="0.3">
      <c r="A29" s="66" t="s">
        <v>68</v>
      </c>
      <c r="B29" s="57">
        <f>SUM(B27:B28)</f>
        <v>7779.4352784140301</v>
      </c>
      <c r="C29" s="57">
        <f>SUM(C27:C28)</f>
        <v>8557.6033798378194</v>
      </c>
      <c r="D29" s="57">
        <f>SUM(D27:D28)</f>
        <v>16337.038658251849</v>
      </c>
      <c r="E29" s="57">
        <f>SUM(E27:E28)</f>
        <v>16308.658290845691</v>
      </c>
      <c r="F29" s="102">
        <f>(D29-E29)/E29</f>
        <v>1.7402024679178303E-3</v>
      </c>
      <c r="G29" s="57">
        <f>SUM(G27:G28)</f>
        <v>16337.038658251849</v>
      </c>
      <c r="H29" s="57">
        <f>SUM(H27:H28)</f>
        <v>16308.658290845691</v>
      </c>
      <c r="I29" s="104">
        <f>(G29-H29)/H29</f>
        <v>1.7402024679178303E-3</v>
      </c>
    </row>
    <row r="30" spans="1:12" s="7" customFormat="1" ht="4.5" customHeight="1" thickBot="1" x14ac:dyDescent="0.3">
      <c r="A30" s="62"/>
      <c r="B30" s="423"/>
      <c r="C30" s="423"/>
      <c r="D30" s="423"/>
      <c r="E30" s="423"/>
      <c r="F30" s="285"/>
      <c r="G30" s="423"/>
      <c r="H30" s="423"/>
      <c r="I30" s="285"/>
    </row>
    <row r="31" spans="1:12" ht="13.5" thickBot="1" x14ac:dyDescent="0.25">
      <c r="B31" s="479" t="s">
        <v>164</v>
      </c>
      <c r="C31" s="478"/>
      <c r="D31" s="479" t="s">
        <v>176</v>
      </c>
      <c r="E31" s="478"/>
      <c r="F31" s="452"/>
      <c r="G31" s="454"/>
      <c r="H31" s="451"/>
      <c r="I31" s="451"/>
    </row>
    <row r="32" spans="1:12" x14ac:dyDescent="0.2">
      <c r="A32" s="427" t="s">
        <v>165</v>
      </c>
      <c r="B32" s="428">
        <f>C8-B33</f>
        <v>742439</v>
      </c>
      <c r="C32" s="429">
        <f>B32/C8</f>
        <v>0.5884881468352986</v>
      </c>
      <c r="D32" s="430">
        <f>+B32</f>
        <v>742439</v>
      </c>
      <c r="E32" s="431">
        <f>+D32/D34</f>
        <v>0.5884881468352986</v>
      </c>
      <c r="G32" s="461"/>
      <c r="H32" s="451"/>
      <c r="I32" s="450"/>
    </row>
    <row r="33" spans="1:14" ht="13.5" thickBot="1" x14ac:dyDescent="0.25">
      <c r="A33" s="432" t="s">
        <v>166</v>
      </c>
      <c r="B33" s="433">
        <f>'Major Airline Stats'!J51+'Regional Major'!K45</f>
        <v>519165</v>
      </c>
      <c r="C33" s="434">
        <f>+B33/C8</f>
        <v>0.41151185316470146</v>
      </c>
      <c r="D33" s="435">
        <f>+B33</f>
        <v>519165</v>
      </c>
      <c r="E33" s="436">
        <f>+D33/D34</f>
        <v>0.41151185316470146</v>
      </c>
      <c r="G33" s="451"/>
      <c r="H33" s="451"/>
      <c r="I33" s="450"/>
    </row>
    <row r="34" spans="1:14" ht="13.5" thickBot="1" x14ac:dyDescent="0.25">
      <c r="B34" s="320"/>
      <c r="D34" s="437">
        <f>SUM(D32:D33)</f>
        <v>1261604</v>
      </c>
    </row>
    <row r="35" spans="1:14" ht="13.5" thickBot="1" x14ac:dyDescent="0.25">
      <c r="B35" s="477" t="s">
        <v>209</v>
      </c>
      <c r="C35" s="478"/>
      <c r="D35" s="479" t="s">
        <v>210</v>
      </c>
      <c r="E35" s="478"/>
    </row>
    <row r="36" spans="1:14" x14ac:dyDescent="0.2">
      <c r="A36" s="427" t="s">
        <v>165</v>
      </c>
      <c r="B36" s="428">
        <f>'[1]Monthly Summary'!$B$32</f>
        <v>742260</v>
      </c>
      <c r="C36" s="429">
        <f>+B36/B38</f>
        <v>0.59575636160499301</v>
      </c>
      <c r="D36" s="430">
        <f>'[1]Monthly Summary'!$D$32</f>
        <v>742260</v>
      </c>
      <c r="E36" s="431">
        <f>+D36/D38</f>
        <v>0.59575636160499301</v>
      </c>
    </row>
    <row r="37" spans="1:14" ht="13.5" thickBot="1" x14ac:dyDescent="0.25">
      <c r="A37" s="432" t="s">
        <v>166</v>
      </c>
      <c r="B37" s="433">
        <f>'[1]Monthly Summary'!$B$33</f>
        <v>503652</v>
      </c>
      <c r="C37" s="436">
        <f>+B37/B38</f>
        <v>0.40424363839500704</v>
      </c>
      <c r="D37" s="435">
        <f>'[1]Monthly Summary'!$D$33</f>
        <v>503652</v>
      </c>
      <c r="E37" s="436">
        <f>+D37/D38</f>
        <v>0.40424363839500704</v>
      </c>
    </row>
    <row r="38" spans="1:14" x14ac:dyDescent="0.2">
      <c r="B38" s="460">
        <f>+SUM(B36:B37)</f>
        <v>1245912</v>
      </c>
      <c r="D38" s="437">
        <f>SUM(D36:D37)</f>
        <v>1245912</v>
      </c>
    </row>
    <row r="39" spans="1:14" x14ac:dyDescent="0.2">
      <c r="A39" s="447" t="s">
        <v>167</v>
      </c>
    </row>
    <row r="40" spans="1:14" x14ac:dyDescent="0.2">
      <c r="A40" s="233" t="s">
        <v>173</v>
      </c>
      <c r="I40" s="2"/>
    </row>
    <row r="41" spans="1:14" x14ac:dyDescent="0.2">
      <c r="N41" s="448"/>
    </row>
    <row r="42" spans="1:14" x14ac:dyDescent="0.2">
      <c r="G42" s="2"/>
      <c r="N42" s="448"/>
    </row>
    <row r="43" spans="1:14" x14ac:dyDescent="0.2">
      <c r="J43" s="2"/>
      <c r="N43" s="448"/>
    </row>
    <row r="44" spans="1:14" x14ac:dyDescent="0.2">
      <c r="N44" s="448"/>
    </row>
    <row r="45" spans="1:14" x14ac:dyDescent="0.2">
      <c r="J45" s="2"/>
      <c r="N45" s="448"/>
    </row>
    <row r="46" spans="1:14" x14ac:dyDescent="0.2">
      <c r="B46" s="2"/>
      <c r="F46" s="320"/>
    </row>
    <row r="47" spans="1:14" x14ac:dyDescent="0.2">
      <c r="N47" s="448"/>
    </row>
    <row r="51" spans="12:12" x14ac:dyDescent="0.2">
      <c r="L51" s="44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D15:I22 F2:I14 F24:I25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698"/>
  <sheetViews>
    <sheetView zoomScaleNormal="100" zoomScaleSheetLayoutView="85" workbookViewId="0">
      <selection activeCell="M22" sqref="M22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9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6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16" t="s">
        <v>149</v>
      </c>
      <c r="B1" s="517"/>
      <c r="C1" s="270" t="s">
        <v>201</v>
      </c>
      <c r="D1" s="271" t="s">
        <v>154</v>
      </c>
      <c r="E1" s="272" t="s">
        <v>188</v>
      </c>
      <c r="F1" s="274" t="s">
        <v>107</v>
      </c>
      <c r="G1" s="273" t="s">
        <v>202</v>
      </c>
      <c r="H1" s="272" t="s">
        <v>189</v>
      </c>
      <c r="I1" s="274" t="s">
        <v>108</v>
      </c>
      <c r="J1" s="523" t="s">
        <v>153</v>
      </c>
      <c r="K1" s="524"/>
      <c r="L1" s="275" t="s">
        <v>203</v>
      </c>
      <c r="M1" s="413" t="s">
        <v>156</v>
      </c>
      <c r="N1" s="276" t="s">
        <v>190</v>
      </c>
      <c r="O1" s="357" t="s">
        <v>108</v>
      </c>
      <c r="P1" s="277" t="s">
        <v>204</v>
      </c>
      <c r="Q1" s="277" t="s">
        <v>191</v>
      </c>
      <c r="R1" s="278" t="s">
        <v>108</v>
      </c>
    </row>
    <row r="2" spans="1:23" s="228" customFormat="1" ht="13.5" thickBot="1" x14ac:dyDescent="0.25">
      <c r="A2" s="518">
        <v>42005</v>
      </c>
      <c r="B2" s="519"/>
      <c r="C2" s="520" t="s">
        <v>9</v>
      </c>
      <c r="D2" s="521"/>
      <c r="E2" s="521"/>
      <c r="F2" s="521"/>
      <c r="G2" s="521"/>
      <c r="H2" s="521"/>
      <c r="I2" s="522"/>
      <c r="J2" s="518">
        <v>42005</v>
      </c>
      <c r="K2" s="519"/>
      <c r="L2" s="513" t="s">
        <v>155</v>
      </c>
      <c r="M2" s="514"/>
      <c r="N2" s="514"/>
      <c r="O2" s="514"/>
      <c r="P2" s="514"/>
      <c r="Q2" s="514"/>
      <c r="R2" s="515"/>
    </row>
    <row r="3" spans="1:23" x14ac:dyDescent="0.2">
      <c r="A3" s="358"/>
      <c r="B3" s="359"/>
      <c r="C3" s="360"/>
      <c r="D3" s="361"/>
      <c r="E3" s="362"/>
      <c r="F3" s="363"/>
      <c r="G3" s="455"/>
      <c r="H3" s="456"/>
      <c r="I3" s="363"/>
      <c r="J3" s="364"/>
      <c r="K3" s="359"/>
      <c r="L3" s="360"/>
      <c r="M3" s="361"/>
      <c r="N3" s="362"/>
      <c r="O3" s="363"/>
      <c r="P3" s="365"/>
      <c r="Q3" s="365"/>
      <c r="R3" s="359"/>
    </row>
    <row r="4" spans="1:23" ht="14.1" customHeight="1" x14ac:dyDescent="0.2">
      <c r="A4" s="366" t="s">
        <v>111</v>
      </c>
      <c r="B4" s="58"/>
      <c r="C4" s="367">
        <f>[2]AirCanada!$DX$19</f>
        <v>178</v>
      </c>
      <c r="D4" s="368">
        <f>C4/$C$54</f>
        <v>6.1512941908283512E-3</v>
      </c>
      <c r="E4" s="369">
        <f>[2]AirCanada!$DJ$19</f>
        <v>159</v>
      </c>
      <c r="F4" s="370">
        <f>(C4-E4)/E4</f>
        <v>0.11949685534591195</v>
      </c>
      <c r="G4" s="369">
        <f>SUM([2]AirCanada!$DX$19:$DX$19)</f>
        <v>178</v>
      </c>
      <c r="H4" s="369">
        <f>SUM([2]AirCanada!$DJ$19:$DJ$19)</f>
        <v>159</v>
      </c>
      <c r="I4" s="370">
        <f>(G4-H4)/H4</f>
        <v>0.11949685534591195</v>
      </c>
      <c r="J4" s="366" t="s">
        <v>111</v>
      </c>
      <c r="K4" s="58"/>
      <c r="L4" s="367">
        <f>[2]AirCanada!$DX$41</f>
        <v>6396</v>
      </c>
      <c r="M4" s="368">
        <f>L4/$L$54</f>
        <v>2.5525862296034551E-3</v>
      </c>
      <c r="N4" s="369">
        <f>[2]AirCanada!$DJ$41</f>
        <v>4117</v>
      </c>
      <c r="O4" s="370">
        <f>(L4-N4)/N4</f>
        <v>0.55355841632256497</v>
      </c>
      <c r="P4" s="369">
        <f>SUM([2]AirCanada!$DX$41:$DX$41)</f>
        <v>6396</v>
      </c>
      <c r="Q4" s="369">
        <f>SUM([2]AirCanada!$DJ$41:$DJ$41)</f>
        <v>4117</v>
      </c>
      <c r="R4" s="370">
        <f>(P4-Q4)/Q4</f>
        <v>0.55355841632256497</v>
      </c>
      <c r="T4" s="21"/>
    </row>
    <row r="5" spans="1:23" ht="14.1" customHeight="1" x14ac:dyDescent="0.2">
      <c r="A5" s="366"/>
      <c r="B5" s="58"/>
      <c r="C5" s="367"/>
      <c r="D5" s="368"/>
      <c r="E5" s="369"/>
      <c r="F5" s="370"/>
      <c r="G5" s="369"/>
      <c r="H5" s="369"/>
      <c r="I5" s="370"/>
      <c r="J5" s="366"/>
      <c r="K5" s="58"/>
      <c r="L5" s="371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6" t="s">
        <v>187</v>
      </c>
      <c r="B6" s="58"/>
      <c r="C6" s="367">
        <f>'[2]Air France'!$DX$19</f>
        <v>0</v>
      </c>
      <c r="D6" s="368">
        <f>C6/$C$54</f>
        <v>0</v>
      </c>
      <c r="E6" s="369">
        <f>'[2]Air France'!$DJ$19</f>
        <v>0</v>
      </c>
      <c r="F6" s="370" t="e">
        <f>(C6-E6)/E6</f>
        <v>#DIV/0!</v>
      </c>
      <c r="G6" s="369">
        <f>SUM('[2]Air France'!$DX$19:$DX$19)</f>
        <v>0</v>
      </c>
      <c r="H6" s="369">
        <f>SUM('[2]Air France'!$DJ$19:$DJ$19)</f>
        <v>0</v>
      </c>
      <c r="I6" s="370" t="e">
        <f>(G6-H6)/H6</f>
        <v>#DIV/0!</v>
      </c>
      <c r="J6" s="366" t="s">
        <v>187</v>
      </c>
      <c r="K6" s="58"/>
      <c r="L6" s="367">
        <f>'[2]Air France'!$DX$41</f>
        <v>0</v>
      </c>
      <c r="M6" s="368">
        <f>L6/$L$54</f>
        <v>0</v>
      </c>
      <c r="N6" s="369">
        <f>'[2]Air France'!$DJ$41</f>
        <v>0</v>
      </c>
      <c r="O6" s="370" t="e">
        <f>(L6-N6)/N6</f>
        <v>#DIV/0!</v>
      </c>
      <c r="P6" s="369">
        <f>SUM('[2]Air France'!$DX$41:$DX$41)</f>
        <v>0</v>
      </c>
      <c r="Q6" s="369">
        <f>SUM('[2]Air France'!$DJ$41:$DJ$41)</f>
        <v>0</v>
      </c>
      <c r="R6" s="370" t="e">
        <f>(P6-Q6)/Q6</f>
        <v>#DIV/0!</v>
      </c>
      <c r="T6" s="21"/>
    </row>
    <row r="7" spans="1:23" ht="14.1" customHeight="1" x14ac:dyDescent="0.2">
      <c r="A7" s="366"/>
      <c r="B7" s="58"/>
      <c r="C7" s="367"/>
      <c r="D7" s="368"/>
      <c r="E7" s="369"/>
      <c r="F7" s="370"/>
      <c r="G7" s="369"/>
      <c r="H7" s="369"/>
      <c r="I7" s="370"/>
      <c r="J7" s="366"/>
      <c r="K7" s="58"/>
      <c r="L7" s="371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6" t="s">
        <v>143</v>
      </c>
      <c r="B8" s="58"/>
      <c r="C8" s="367">
        <f>[2]Alaska!$DX$19</f>
        <v>70</v>
      </c>
      <c r="D8" s="368">
        <f>C8/$C$54</f>
        <v>2.4190482772920483E-3</v>
      </c>
      <c r="E8" s="369">
        <f>[2]Alaska!$DJ$19</f>
        <v>124</v>
      </c>
      <c r="F8" s="370">
        <f>(C8-E8)/E8</f>
        <v>-0.43548387096774194</v>
      </c>
      <c r="G8" s="369">
        <f>SUM([2]Alaska!$DX$19:$DX$19)</f>
        <v>70</v>
      </c>
      <c r="H8" s="369">
        <f>SUM([2]Alaska!$DJ$19:$DJ$19)</f>
        <v>124</v>
      </c>
      <c r="I8" s="370">
        <f>(G8-H8)/H8</f>
        <v>-0.43548387096774194</v>
      </c>
      <c r="J8" s="366" t="s">
        <v>143</v>
      </c>
      <c r="K8" s="58"/>
      <c r="L8" s="367">
        <f>[2]Alaska!$DX$41</f>
        <v>9785</v>
      </c>
      <c r="M8" s="368">
        <f>L8/$L$54</f>
        <v>3.9051057311866493E-3</v>
      </c>
      <c r="N8" s="369">
        <f>[2]Alaska!$DJ$41</f>
        <v>14249</v>
      </c>
      <c r="O8" s="370">
        <f>(L8-N8)/N8</f>
        <v>-0.31328514281703979</v>
      </c>
      <c r="P8" s="369">
        <f>SUM([2]Alaska!$DX$41:$DX$41)</f>
        <v>9785</v>
      </c>
      <c r="Q8" s="369">
        <f>SUM([2]Alaska!$DJ$41:$DJ$41)</f>
        <v>14249</v>
      </c>
      <c r="R8" s="370">
        <f>(P8-Q8)/Q8</f>
        <v>-0.31328514281703979</v>
      </c>
      <c r="T8" s="21"/>
    </row>
    <row r="9" spans="1:23" ht="14.1" customHeight="1" x14ac:dyDescent="0.2">
      <c r="A9" s="366"/>
      <c r="B9" s="58"/>
      <c r="C9" s="367"/>
      <c r="D9" s="368"/>
      <c r="E9" s="372"/>
      <c r="F9" s="370"/>
      <c r="G9" s="372"/>
      <c r="H9" s="372"/>
      <c r="I9" s="370"/>
      <c r="J9" s="366"/>
      <c r="K9" s="58"/>
      <c r="L9" s="373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6" t="s">
        <v>19</v>
      </c>
      <c r="B10" s="374"/>
      <c r="C10" s="367">
        <f>SUM(C11:C12)</f>
        <v>910</v>
      </c>
      <c r="D10" s="368">
        <f>C10/$C$54</f>
        <v>3.1447627604796628E-2</v>
      </c>
      <c r="E10" s="372">
        <f>SUM(E11:E12)</f>
        <v>972</v>
      </c>
      <c r="F10" s="370">
        <f>(C10-E10)/E10</f>
        <v>-6.3786008230452676E-2</v>
      </c>
      <c r="G10" s="372">
        <f>SUM(G11:G12)</f>
        <v>910</v>
      </c>
      <c r="H10" s="372">
        <f>SUM(H11:H12)</f>
        <v>972</v>
      </c>
      <c r="I10" s="370">
        <f>(G10-H10)/H10</f>
        <v>-6.3786008230452676E-2</v>
      </c>
      <c r="J10" s="366" t="s">
        <v>19</v>
      </c>
      <c r="K10" s="374"/>
      <c r="L10" s="367">
        <f>SUM(L11:L12)</f>
        <v>93642</v>
      </c>
      <c r="M10" s="368">
        <f>L10/$L$54</f>
        <v>3.7371682256492615E-2</v>
      </c>
      <c r="N10" s="372">
        <f>SUM(N11:N12)</f>
        <v>75638</v>
      </c>
      <c r="O10" s="370">
        <f>(L10-N10)/N10</f>
        <v>0.23802850419101509</v>
      </c>
      <c r="P10" s="367">
        <f>SUM(P11:P12)</f>
        <v>93642</v>
      </c>
      <c r="Q10" s="372">
        <f>SUM(Q11:Q12)</f>
        <v>75638</v>
      </c>
      <c r="R10" s="370">
        <f>(P10-Q10)/Q10</f>
        <v>0.23802850419101509</v>
      </c>
      <c r="T10" s="21"/>
    </row>
    <row r="11" spans="1:23" ht="14.1" customHeight="1" x14ac:dyDescent="0.2">
      <c r="A11" s="55"/>
      <c r="B11" s="375" t="s">
        <v>19</v>
      </c>
      <c r="C11" s="371">
        <f>[2]American!$DX$19</f>
        <v>699</v>
      </c>
      <c r="D11" s="41">
        <f>C11/$C$54</f>
        <v>2.4155924940387739E-2</v>
      </c>
      <c r="E11" s="9">
        <f>[2]American!$DJ$19</f>
        <v>568</v>
      </c>
      <c r="F11" s="89">
        <f>(C11-E11)/E11</f>
        <v>0.23063380281690141</v>
      </c>
      <c r="G11" s="9">
        <f>SUM([2]American!$DX$19:$DX$19)</f>
        <v>699</v>
      </c>
      <c r="H11" s="9">
        <f>SUM([2]American!$DJ$19:$DJ$19)</f>
        <v>568</v>
      </c>
      <c r="I11" s="89">
        <f>(G11-H11)/H11</f>
        <v>0.23063380281690141</v>
      </c>
      <c r="J11" s="55"/>
      <c r="K11" s="375" t="s">
        <v>19</v>
      </c>
      <c r="L11" s="371">
        <f>[2]American!$DX$41</f>
        <v>81201</v>
      </c>
      <c r="M11" s="41">
        <f>L11/$L$54</f>
        <v>3.240659074891028E-2</v>
      </c>
      <c r="N11" s="9">
        <f>[2]American!$DJ$41</f>
        <v>56480</v>
      </c>
      <c r="O11" s="89">
        <f>(L11-N11)/N11</f>
        <v>0.43769475920679884</v>
      </c>
      <c r="P11" s="9">
        <f>SUM([2]American!$DX$41:$DX$41)</f>
        <v>81201</v>
      </c>
      <c r="Q11" s="9">
        <f>SUM([2]American!$DJ$41:$DJ$41)</f>
        <v>56480</v>
      </c>
      <c r="R11" s="89">
        <f>(P11-Q11)/Q11</f>
        <v>0.43769475920679884</v>
      </c>
      <c r="T11" s="21"/>
    </row>
    <row r="12" spans="1:23" ht="14.1" customHeight="1" x14ac:dyDescent="0.2">
      <c r="A12" s="55"/>
      <c r="B12" s="375" t="s">
        <v>174</v>
      </c>
      <c r="C12" s="371">
        <f>'[2]American Eagle'!$DX$19</f>
        <v>211</v>
      </c>
      <c r="D12" s="41">
        <f>C12/$C$54</f>
        <v>7.2917026644088879E-3</v>
      </c>
      <c r="E12" s="9">
        <f>'[2]American Eagle'!$DJ$19</f>
        <v>404</v>
      </c>
      <c r="F12" s="89">
        <f>(C12-E12)/E12</f>
        <v>-0.4777227722772277</v>
      </c>
      <c r="G12" s="9">
        <f>SUM('[2]American Eagle'!$DX$19:$DX$19)</f>
        <v>211</v>
      </c>
      <c r="H12" s="9">
        <f>SUM('[2]American Eagle'!$DJ$19:$DJ$19)</f>
        <v>404</v>
      </c>
      <c r="I12" s="89">
        <f>(G12-H12)/H12</f>
        <v>-0.4777227722772277</v>
      </c>
      <c r="J12" s="55"/>
      <c r="K12" s="375" t="s">
        <v>174</v>
      </c>
      <c r="L12" s="371">
        <f>'[2]American Eagle'!$DX$41</f>
        <v>12441</v>
      </c>
      <c r="M12" s="41">
        <f>L12/$L$54</f>
        <v>4.9650915075823308E-3</v>
      </c>
      <c r="N12" s="9">
        <f>'[2]American Eagle'!$DJ$41</f>
        <v>19158</v>
      </c>
      <c r="O12" s="89">
        <f>(L12-N12)/N12</f>
        <v>-0.35061071093015972</v>
      </c>
      <c r="P12" s="9">
        <f>SUM('[2]American Eagle'!$DX$41:$DX$41)</f>
        <v>12441</v>
      </c>
      <c r="Q12" s="9">
        <f>SUM('[2]American Eagle'!$DJ$41:$DJ$41)</f>
        <v>19158</v>
      </c>
      <c r="R12" s="89">
        <f>(P12-Q12)/Q12</f>
        <v>-0.35061071093015972</v>
      </c>
      <c r="T12" s="21"/>
    </row>
    <row r="13" spans="1:23" ht="14.1" customHeight="1" x14ac:dyDescent="0.2">
      <c r="A13" s="55"/>
      <c r="B13" s="376"/>
      <c r="C13" s="371"/>
      <c r="D13" s="41"/>
      <c r="E13" s="9"/>
      <c r="F13" s="89"/>
      <c r="G13" s="9"/>
      <c r="H13" s="9"/>
      <c r="I13" s="89"/>
      <c r="J13" s="55"/>
      <c r="K13" s="376"/>
      <c r="L13" s="371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6" t="s">
        <v>20</v>
      </c>
      <c r="B14" s="380"/>
      <c r="C14" s="367">
        <f>SUM(C15:C21)</f>
        <v>21690</v>
      </c>
      <c r="D14" s="368">
        <f t="shared" ref="D14:D21" si="0">C14/$C$54</f>
        <v>0.74955938763520757</v>
      </c>
      <c r="E14" s="369">
        <f>SUM(E15:E21)</f>
        <v>22597</v>
      </c>
      <c r="F14" s="370">
        <f t="shared" ref="F14:F21" si="1">(C14-E14)/E14</f>
        <v>-4.0138071425410454E-2</v>
      </c>
      <c r="G14" s="372">
        <f>SUM(G15:G21)</f>
        <v>21690</v>
      </c>
      <c r="H14" s="372">
        <f>SUM(H15:H21)</f>
        <v>22597</v>
      </c>
      <c r="I14" s="370">
        <f>(G14-H14)/H14</f>
        <v>-4.0138071425410454E-2</v>
      </c>
      <c r="J14" s="366" t="s">
        <v>20</v>
      </c>
      <c r="K14" s="380"/>
      <c r="L14" s="367">
        <f>SUM(L15:L21)</f>
        <v>1781214</v>
      </c>
      <c r="M14" s="368">
        <f t="shared" ref="M14:M21" si="2">L14/$L$54</f>
        <v>0.71086653039038283</v>
      </c>
      <c r="N14" s="369">
        <f>SUM(N15:N21)</f>
        <v>1807175</v>
      </c>
      <c r="O14" s="370">
        <f t="shared" ref="O14:O21" si="3">(L14-N14)/N14</f>
        <v>-1.4365515237871263E-2</v>
      </c>
      <c r="P14" s="369">
        <f>SUM(P15:P21)</f>
        <v>1781214</v>
      </c>
      <c r="Q14" s="369">
        <f>SUM(Q15:Q21)</f>
        <v>1807175</v>
      </c>
      <c r="R14" s="370">
        <f t="shared" ref="R14:R21" si="4">(P14-Q14)/Q14</f>
        <v>-1.4365515237871263E-2</v>
      </c>
      <c r="T14" s="459"/>
      <c r="V14" s="11"/>
      <c r="W14" s="11"/>
    </row>
    <row r="15" spans="1:23" ht="14.1" customHeight="1" x14ac:dyDescent="0.2">
      <c r="A15" s="55"/>
      <c r="B15" s="375" t="s">
        <v>20</v>
      </c>
      <c r="C15" s="371">
        <f>[2]Delta!$DX$19</f>
        <v>9212</v>
      </c>
      <c r="D15" s="41">
        <f t="shared" si="0"/>
        <v>0.31834675329163353</v>
      </c>
      <c r="E15" s="9">
        <f>[2]Delta!$DJ$19</f>
        <v>8979</v>
      </c>
      <c r="F15" s="89">
        <f t="shared" si="1"/>
        <v>2.5949437576567546E-2</v>
      </c>
      <c r="G15" s="9">
        <f>SUM([2]Delta!$DX$19:$DX$19)</f>
        <v>9212</v>
      </c>
      <c r="H15" s="9">
        <f>SUM([2]Delta!$DJ$19:$DJ$19)</f>
        <v>8979</v>
      </c>
      <c r="I15" s="89">
        <f t="shared" ref="I15:I21" si="5">(G15-H15)/H15</f>
        <v>2.5949437576567546E-2</v>
      </c>
      <c r="J15" s="55"/>
      <c r="K15" s="375" t="s">
        <v>20</v>
      </c>
      <c r="L15" s="371">
        <f>[2]Delta!$DX$41</f>
        <v>1190596</v>
      </c>
      <c r="M15" s="41">
        <f t="shared" si="2"/>
        <v>0.47515618427469597</v>
      </c>
      <c r="N15" s="9">
        <f>[2]Delta!$DJ$41</f>
        <v>1183117</v>
      </c>
      <c r="O15" s="89">
        <f t="shared" si="3"/>
        <v>6.3214373557306672E-3</v>
      </c>
      <c r="P15" s="9">
        <f>SUM([2]Delta!$DX$41:$DX$41)</f>
        <v>1190596</v>
      </c>
      <c r="Q15" s="9">
        <f>SUM([2]Delta!$DJ$41:$DJ$41)</f>
        <v>1183117</v>
      </c>
      <c r="R15" s="89">
        <f t="shared" si="4"/>
        <v>6.3214373557306672E-3</v>
      </c>
      <c r="T15" s="21"/>
      <c r="U15" s="9"/>
      <c r="V15" s="11"/>
      <c r="W15" s="11"/>
    </row>
    <row r="16" spans="1:23" ht="14.1" customHeight="1" x14ac:dyDescent="0.2">
      <c r="A16" s="55"/>
      <c r="B16" s="377" t="s">
        <v>132</v>
      </c>
      <c r="C16" s="371">
        <f>[2]Compass!$DX$19</f>
        <v>1221</v>
      </c>
      <c r="D16" s="41">
        <f t="shared" si="0"/>
        <v>4.2195113522479871E-2</v>
      </c>
      <c r="E16" s="9">
        <f>[2]Compass!$DJ$19</f>
        <v>2689</v>
      </c>
      <c r="F16" s="89">
        <f t="shared" si="1"/>
        <v>-0.54592785422089996</v>
      </c>
      <c r="G16" s="9">
        <f>SUM([2]Compass!$DX$19:$DX$19)</f>
        <v>1221</v>
      </c>
      <c r="H16" s="9">
        <f>SUM([2]Compass!$DJ$19:$DJ$19)</f>
        <v>2689</v>
      </c>
      <c r="I16" s="89">
        <f t="shared" si="5"/>
        <v>-0.54592785422089996</v>
      </c>
      <c r="J16" s="55"/>
      <c r="K16" s="377" t="s">
        <v>132</v>
      </c>
      <c r="L16" s="371">
        <f>[2]Compass!$DX$41</f>
        <v>66777</v>
      </c>
      <c r="M16" s="41">
        <f t="shared" si="2"/>
        <v>2.6650101728303614E-2</v>
      </c>
      <c r="N16" s="9">
        <f>[2]Compass!$DJ$41</f>
        <v>154021</v>
      </c>
      <c r="O16" s="89">
        <f t="shared" si="3"/>
        <v>-0.56644223839606289</v>
      </c>
      <c r="P16" s="9">
        <f>SUM([2]Compass!$DX$41:$DX$41)</f>
        <v>66777</v>
      </c>
      <c r="Q16" s="9">
        <f>SUM([2]Compass!$DJ$41:$DJ$41)</f>
        <v>154021</v>
      </c>
      <c r="R16" s="89">
        <f t="shared" si="4"/>
        <v>-0.56644223839606289</v>
      </c>
      <c r="T16" s="9"/>
      <c r="U16" s="9"/>
      <c r="V16" s="11"/>
      <c r="W16" s="11"/>
    </row>
    <row r="17" spans="1:21" ht="14.1" customHeight="1" x14ac:dyDescent="0.2">
      <c r="A17" s="55"/>
      <c r="B17" s="376" t="s">
        <v>193</v>
      </c>
      <c r="C17" s="371">
        <f>[2]Pinnacle!$DX$19</f>
        <v>5786</v>
      </c>
      <c r="D17" s="41">
        <f t="shared" si="0"/>
        <v>0.19995161903445416</v>
      </c>
      <c r="E17" s="9">
        <f>[2]Pinnacle!$DJ$19</f>
        <v>6914</v>
      </c>
      <c r="F17" s="89">
        <f t="shared" si="1"/>
        <v>-0.16314723748915244</v>
      </c>
      <c r="G17" s="9">
        <f>SUM([2]Pinnacle!$DX$19:$DX$19)</f>
        <v>5786</v>
      </c>
      <c r="H17" s="9">
        <f>SUM([2]Pinnacle!$DJ$19:$DJ$19)</f>
        <v>6914</v>
      </c>
      <c r="I17" s="89">
        <f t="shared" si="5"/>
        <v>-0.16314723748915244</v>
      </c>
      <c r="J17" s="55"/>
      <c r="K17" s="376" t="s">
        <v>193</v>
      </c>
      <c r="L17" s="371">
        <f>[2]Pinnacle!$DX$41</f>
        <v>291703</v>
      </c>
      <c r="M17" s="41">
        <f t="shared" si="2"/>
        <v>0.1164160508026918</v>
      </c>
      <c r="N17" s="9">
        <f>[2]Pinnacle!$DJ$41</f>
        <v>308208</v>
      </c>
      <c r="O17" s="89">
        <f t="shared" si="3"/>
        <v>-5.3551497689871774E-2</v>
      </c>
      <c r="P17" s="9">
        <f>SUM([2]Pinnacle!$DX$41:$DX$41)</f>
        <v>291703</v>
      </c>
      <c r="Q17" s="9">
        <f>SUM([2]Pinnacle!$DJ$41:$DJ$41)</f>
        <v>308208</v>
      </c>
      <c r="R17" s="89">
        <f t="shared" si="4"/>
        <v>-5.3551497689871774E-2</v>
      </c>
      <c r="T17" s="21"/>
      <c r="U17" s="11"/>
    </row>
    <row r="18" spans="1:21" ht="14.1" customHeight="1" x14ac:dyDescent="0.2">
      <c r="A18" s="55"/>
      <c r="B18" s="375" t="s">
        <v>180</v>
      </c>
      <c r="C18" s="371">
        <f>'[2]Go Jet'!$DX$19</f>
        <v>0</v>
      </c>
      <c r="D18" s="41">
        <f t="shared" si="0"/>
        <v>0</v>
      </c>
      <c r="E18" s="9">
        <f>'[2]Go Jet'!$DJ$19</f>
        <v>0</v>
      </c>
      <c r="F18" s="89" t="e">
        <f>(C18-E18)/E18</f>
        <v>#DIV/0!</v>
      </c>
      <c r="G18" s="9">
        <f>SUM('[2]Go Jet'!$DX$19:$DX$19)</f>
        <v>0</v>
      </c>
      <c r="H18" s="9">
        <f>SUM('[2]Go Jet'!$DJ$19:$DJ$19)</f>
        <v>0</v>
      </c>
      <c r="I18" s="89" t="e">
        <f>(G18-H18)/H18</f>
        <v>#DIV/0!</v>
      </c>
      <c r="J18" s="55"/>
      <c r="K18" s="375" t="s">
        <v>180</v>
      </c>
      <c r="L18" s="371">
        <f>'[2]Go Jet'!$DX$41</f>
        <v>0</v>
      </c>
      <c r="M18" s="41">
        <f t="shared" si="2"/>
        <v>0</v>
      </c>
      <c r="N18" s="9">
        <f>'[2]Go Jet'!$DJ$41</f>
        <v>0</v>
      </c>
      <c r="O18" s="89" t="e">
        <f>(L18-N18)/N18</f>
        <v>#DIV/0!</v>
      </c>
      <c r="P18" s="9">
        <f>SUM('[2]Go Jet'!$DX$41:$DX$41)</f>
        <v>0</v>
      </c>
      <c r="Q18" s="9">
        <f>SUM('[2]Go Jet'!$DJ$41:$DJ$41)</f>
        <v>0</v>
      </c>
      <c r="R18" s="89" t="e">
        <f>(P18-Q18)/Q18</f>
        <v>#DIV/0!</v>
      </c>
      <c r="T18" s="343"/>
      <c r="U18" s="340"/>
    </row>
    <row r="19" spans="1:21" ht="14.1" customHeight="1" x14ac:dyDescent="0.2">
      <c r="A19" s="55"/>
      <c r="B19" s="376" t="s">
        <v>110</v>
      </c>
      <c r="C19" s="371">
        <f>'[2]Sky West'!$DX$19</f>
        <v>3703</v>
      </c>
      <c r="D19" s="41">
        <f t="shared" si="0"/>
        <v>0.12796765386874936</v>
      </c>
      <c r="E19" s="9">
        <f>'[2]Sky West'!$DJ$19</f>
        <v>3013</v>
      </c>
      <c r="F19" s="89">
        <f t="shared" si="1"/>
        <v>0.22900763358778625</v>
      </c>
      <c r="G19" s="9">
        <f>SUM('[2]Sky West'!$DX$19:$DX$19)</f>
        <v>3703</v>
      </c>
      <c r="H19" s="9">
        <f>SUM('[2]Sky West'!$DJ$19:$DJ$19)</f>
        <v>3013</v>
      </c>
      <c r="I19" s="89">
        <f t="shared" si="5"/>
        <v>0.22900763358778625</v>
      </c>
      <c r="J19" s="55"/>
      <c r="K19" s="376" t="s">
        <v>110</v>
      </c>
      <c r="L19" s="371">
        <f>'[2]Sky West'!$DX$41</f>
        <v>143876</v>
      </c>
      <c r="M19" s="41">
        <f t="shared" si="2"/>
        <v>5.7419621071048581E-2</v>
      </c>
      <c r="N19" s="9">
        <f>'[2]Sky West'!$DJ$41</f>
        <v>111993</v>
      </c>
      <c r="O19" s="89">
        <f t="shared" si="3"/>
        <v>0.28468743582188172</v>
      </c>
      <c r="P19" s="9">
        <f>SUM('[2]Sky West'!$DX$41:$DX$41)</f>
        <v>143876</v>
      </c>
      <c r="Q19" s="9">
        <f>SUM('[2]Sky West'!$DJ$41:$DJ$41)</f>
        <v>111993</v>
      </c>
      <c r="R19" s="89">
        <f t="shared" si="4"/>
        <v>0.28468743582188172</v>
      </c>
      <c r="T19" s="21"/>
    </row>
    <row r="20" spans="1:21" ht="14.1" customHeight="1" x14ac:dyDescent="0.2">
      <c r="A20" s="55"/>
      <c r="B20" s="376" t="s">
        <v>148</v>
      </c>
      <c r="C20" s="371">
        <f>'[2]Shuttle America_Delta'!$DX$19</f>
        <v>414</v>
      </c>
      <c r="D20" s="41">
        <f t="shared" si="0"/>
        <v>1.4306942668555828E-2</v>
      </c>
      <c r="E20" s="9">
        <f>'[2]Shuttle America_Delta'!$DJ$19</f>
        <v>204</v>
      </c>
      <c r="F20" s="89">
        <f t="shared" si="1"/>
        <v>1.0294117647058822</v>
      </c>
      <c r="G20" s="9">
        <f>SUM('[2]Shuttle America_Delta'!$DX$19:$DX$19)</f>
        <v>414</v>
      </c>
      <c r="H20" s="9">
        <f>SUM('[2]Shuttle America_Delta'!$DJ$19:$DJ$19)</f>
        <v>204</v>
      </c>
      <c r="I20" s="89">
        <f t="shared" si="5"/>
        <v>1.0294117647058822</v>
      </c>
      <c r="J20" s="55"/>
      <c r="K20" s="376" t="s">
        <v>148</v>
      </c>
      <c r="L20" s="371">
        <f>'[2]Shuttle America_Delta'!$DX$41</f>
        <v>20661</v>
      </c>
      <c r="M20" s="41">
        <f t="shared" si="2"/>
        <v>8.2456197763972772E-3</v>
      </c>
      <c r="N20" s="9">
        <f>'[2]Shuttle America_Delta'!$DJ$41</f>
        <v>10659</v>
      </c>
      <c r="O20" s="89">
        <f t="shared" si="3"/>
        <v>0.93836194764987335</v>
      </c>
      <c r="P20" s="9">
        <f>SUM('[2]Shuttle America_Delta'!$DX$41:$DX$41)</f>
        <v>20661</v>
      </c>
      <c r="Q20" s="9">
        <f>SUM('[2]Shuttle America_Delta'!$DJ$41:$DJ$41)</f>
        <v>10659</v>
      </c>
      <c r="R20" s="89">
        <f t="shared" si="4"/>
        <v>0.93836194764987335</v>
      </c>
      <c r="T20" s="21"/>
    </row>
    <row r="21" spans="1:21" ht="14.1" customHeight="1" x14ac:dyDescent="0.2">
      <c r="A21" s="55"/>
      <c r="B21" s="381" t="s">
        <v>55</v>
      </c>
      <c r="C21" s="371">
        <f>'[2]Atlantic Southeast'!$DX$19</f>
        <v>1354</v>
      </c>
      <c r="D21" s="41">
        <f t="shared" si="0"/>
        <v>4.6791305249334759E-2</v>
      </c>
      <c r="E21" s="9">
        <f>'[2]Atlantic Southeast'!$DJ$19</f>
        <v>798</v>
      </c>
      <c r="F21" s="89">
        <f t="shared" si="1"/>
        <v>0.69674185463659144</v>
      </c>
      <c r="G21" s="9">
        <f>SUM('[2]Atlantic Southeast'!$DX$19:$DX$19)</f>
        <v>1354</v>
      </c>
      <c r="H21" s="9">
        <f>SUM('[2]Atlantic Southeast'!$DJ$19:$DJ$19)</f>
        <v>798</v>
      </c>
      <c r="I21" s="89">
        <f t="shared" si="5"/>
        <v>0.69674185463659144</v>
      </c>
      <c r="J21" s="55"/>
      <c r="K21" s="381" t="s">
        <v>55</v>
      </c>
      <c r="L21" s="371">
        <f>'[2]Atlantic Southeast'!$DX$41</f>
        <v>67601</v>
      </c>
      <c r="M21" s="41">
        <f t="shared" si="2"/>
        <v>2.697895273724565E-2</v>
      </c>
      <c r="N21" s="9">
        <f>'[2]Atlantic Southeast'!$DJ$41</f>
        <v>39177</v>
      </c>
      <c r="O21" s="89">
        <f t="shared" si="3"/>
        <v>0.72552773310871177</v>
      </c>
      <c r="P21" s="9">
        <f>SUM('[2]Atlantic Southeast'!$DX$41:$DX$41)</f>
        <v>67601</v>
      </c>
      <c r="Q21" s="9">
        <f>SUM('[2]Atlantic Southeast'!$DJ$41:$DJ$41)</f>
        <v>39177</v>
      </c>
      <c r="R21" s="89">
        <f t="shared" si="4"/>
        <v>0.72552773310871177</v>
      </c>
      <c r="T21" s="339"/>
    </row>
    <row r="22" spans="1:21" ht="14.1" customHeight="1" x14ac:dyDescent="0.2">
      <c r="A22" s="55"/>
      <c r="B22" s="381"/>
      <c r="C22" s="371"/>
      <c r="D22" s="41"/>
      <c r="E22" s="5"/>
      <c r="F22" s="89"/>
      <c r="G22" s="9"/>
      <c r="H22" s="9"/>
      <c r="I22" s="89"/>
      <c r="J22" s="55"/>
      <c r="K22" s="381"/>
      <c r="L22" s="371"/>
      <c r="M22" s="41"/>
      <c r="N22" s="9"/>
      <c r="O22" s="89"/>
      <c r="P22" s="9"/>
      <c r="Q22" s="9"/>
      <c r="R22" s="89"/>
      <c r="T22" s="339"/>
    </row>
    <row r="23" spans="1:21" s="7" customFormat="1" ht="14.1" customHeight="1" x14ac:dyDescent="0.2">
      <c r="A23" s="366" t="s">
        <v>51</v>
      </c>
      <c r="B23" s="382"/>
      <c r="C23" s="367">
        <f>[2]Frontier!$DX$19</f>
        <v>146</v>
      </c>
      <c r="D23" s="368">
        <f>C23/$C$54</f>
        <v>5.045443549780558E-3</v>
      </c>
      <c r="E23" s="369">
        <f>[2]Frontier!$DJ$19</f>
        <v>192</v>
      </c>
      <c r="F23" s="370">
        <f>(C23-E23)/E23</f>
        <v>-0.23958333333333334</v>
      </c>
      <c r="G23" s="369">
        <f>SUM([2]Frontier!$DX$19:$DX$19)</f>
        <v>146</v>
      </c>
      <c r="H23" s="369">
        <f>SUM([2]Frontier!$DJ$19:$DJ$19)</f>
        <v>192</v>
      </c>
      <c r="I23" s="370">
        <f>(G23-H23)/H23</f>
        <v>-0.23958333333333334</v>
      </c>
      <c r="J23" s="366" t="s">
        <v>51</v>
      </c>
      <c r="K23" s="382"/>
      <c r="L23" s="367">
        <f>[2]Frontier!$DX$41</f>
        <v>20515</v>
      </c>
      <c r="M23" s="368">
        <f>L23/$L$54</f>
        <v>8.1873524859779369E-3</v>
      </c>
      <c r="N23" s="369">
        <f>[2]Frontier!$DJ$41</f>
        <v>26918</v>
      </c>
      <c r="O23" s="370">
        <f>(L23-N23)/N23</f>
        <v>-0.23787056987889144</v>
      </c>
      <c r="P23" s="369">
        <f>SUM([2]Frontier!$DX$41:$DX$41)</f>
        <v>20515</v>
      </c>
      <c r="Q23" s="369">
        <f>SUM([2]Frontier!$DJ$41:$DJ$41)</f>
        <v>26918</v>
      </c>
      <c r="R23" s="370">
        <f>(P23-Q23)/Q23</f>
        <v>-0.23787056987889144</v>
      </c>
      <c r="T23" s="341"/>
      <c r="U23"/>
    </row>
    <row r="24" spans="1:21" s="7" customFormat="1" ht="14.1" customHeight="1" x14ac:dyDescent="0.2">
      <c r="A24" s="366"/>
      <c r="B24" s="382"/>
      <c r="C24" s="367"/>
      <c r="D24" s="368"/>
      <c r="E24" s="182"/>
      <c r="F24" s="370"/>
      <c r="G24" s="369"/>
      <c r="H24" s="369"/>
      <c r="I24" s="370"/>
      <c r="J24" s="366"/>
      <c r="K24" s="382"/>
      <c r="L24" s="371"/>
      <c r="M24" s="41"/>
      <c r="N24" s="9"/>
      <c r="O24" s="89"/>
      <c r="P24" s="9"/>
      <c r="Q24" s="9"/>
      <c r="R24" s="89"/>
      <c r="T24" s="341"/>
    </row>
    <row r="25" spans="1:21" s="7" customFormat="1" ht="14.1" customHeight="1" x14ac:dyDescent="0.2">
      <c r="A25" s="366" t="s">
        <v>179</v>
      </c>
      <c r="B25" s="382"/>
      <c r="C25" s="367">
        <f>'[2]Great Lakes'!$DX$19</f>
        <v>212</v>
      </c>
      <c r="D25" s="368">
        <f>C25/$C$54</f>
        <v>7.3262604969416322E-3</v>
      </c>
      <c r="E25" s="369">
        <f>'[2]Great Lakes'!$DJ$19</f>
        <v>510</v>
      </c>
      <c r="F25" s="370">
        <f>(C25-E25)/E25</f>
        <v>-0.58431372549019611</v>
      </c>
      <c r="G25" s="369">
        <f>SUM('[2]Great Lakes'!$DX$19:$DX$19)</f>
        <v>212</v>
      </c>
      <c r="H25" s="369">
        <f>SUM('[2]Great Lakes'!$DJ$19:$DJ$19)</f>
        <v>510</v>
      </c>
      <c r="I25" s="370">
        <f>(G25-H25)/H25</f>
        <v>-0.58431372549019611</v>
      </c>
      <c r="J25" s="366" t="s">
        <v>179</v>
      </c>
      <c r="K25" s="382"/>
      <c r="L25" s="367">
        <f>'[2]Great Lakes'!$DX$41</f>
        <v>765</v>
      </c>
      <c r="M25" s="368">
        <f>L25/$L$54</f>
        <v>3.0530463815613558E-4</v>
      </c>
      <c r="N25" s="369">
        <f>'[2]Great Lakes'!$DJ$41</f>
        <v>2766</v>
      </c>
      <c r="O25" s="370">
        <f>(L25-N25)/N25</f>
        <v>-0.72342733188720176</v>
      </c>
      <c r="P25" s="369">
        <f>SUM('[2]Great Lakes'!$DX$41:$DX$41)</f>
        <v>765</v>
      </c>
      <c r="Q25" s="369">
        <f>SUM('[2]Great Lakes'!$DJ$41:$DJ$41)</f>
        <v>2766</v>
      </c>
      <c r="R25" s="370">
        <f>(P25-Q25)/Q25</f>
        <v>-0.72342733188720176</v>
      </c>
      <c r="T25" s="341"/>
    </row>
    <row r="26" spans="1:21" s="7" customFormat="1" ht="14.1" customHeight="1" x14ac:dyDescent="0.2">
      <c r="A26" s="366"/>
      <c r="B26" s="382"/>
      <c r="C26" s="367"/>
      <c r="D26" s="368"/>
      <c r="E26" s="182"/>
      <c r="F26" s="370"/>
      <c r="G26" s="369"/>
      <c r="H26" s="369"/>
      <c r="I26" s="370"/>
      <c r="J26" s="366"/>
      <c r="K26" s="382"/>
      <c r="L26" s="371"/>
      <c r="M26" s="41"/>
      <c r="N26" s="9"/>
      <c r="O26" s="89"/>
      <c r="P26" s="9"/>
      <c r="Q26" s="9"/>
      <c r="R26" s="89"/>
      <c r="T26" s="341"/>
    </row>
    <row r="27" spans="1:21" s="7" customFormat="1" ht="14.1" customHeight="1" x14ac:dyDescent="0.2">
      <c r="A27" s="366" t="s">
        <v>52</v>
      </c>
      <c r="B27" s="382"/>
      <c r="C27" s="367">
        <f>[2]Icelandair!$DX$19</f>
        <v>0</v>
      </c>
      <c r="D27" s="368">
        <f>C27/$C$54</f>
        <v>0</v>
      </c>
      <c r="E27" s="369">
        <f>[2]Icelandair!$DJ$19</f>
        <v>0</v>
      </c>
      <c r="F27" s="370" t="e">
        <f>(C27-E27)/E27</f>
        <v>#DIV/0!</v>
      </c>
      <c r="G27" s="369">
        <f>SUM([2]Icelandair!$DX$19:$DX$19)</f>
        <v>0</v>
      </c>
      <c r="H27" s="369">
        <f>SUM([2]Icelandair!$DJ$19:$DJ$19)</f>
        <v>0</v>
      </c>
      <c r="I27" s="370" t="e">
        <f>(G27-H27)/H27</f>
        <v>#DIV/0!</v>
      </c>
      <c r="J27" s="366" t="s">
        <v>52</v>
      </c>
      <c r="K27" s="382"/>
      <c r="L27" s="367">
        <f>[2]Icelandair!$DX$41</f>
        <v>0</v>
      </c>
      <c r="M27" s="368">
        <f>L27/$L$54</f>
        <v>0</v>
      </c>
      <c r="N27" s="369">
        <f>[2]Icelandair!$DJ$41</f>
        <v>0</v>
      </c>
      <c r="O27" s="370" t="e">
        <f>(L27-N27)/N27</f>
        <v>#DIV/0!</v>
      </c>
      <c r="P27" s="369">
        <f>SUM([2]Icelandair!$DX$41:$DX$41)</f>
        <v>0</v>
      </c>
      <c r="Q27" s="369">
        <f>SUM([2]Icelandair!$DJ$41:$DJ$41)</f>
        <v>0</v>
      </c>
      <c r="R27" s="370" t="e">
        <f>(P27-Q27)/Q27</f>
        <v>#DIV/0!</v>
      </c>
      <c r="T27" s="21"/>
    </row>
    <row r="28" spans="1:21" s="7" customFormat="1" ht="14.1" customHeight="1" x14ac:dyDescent="0.2">
      <c r="A28" s="366"/>
      <c r="B28" s="382"/>
      <c r="C28" s="367"/>
      <c r="D28" s="368"/>
      <c r="E28" s="182"/>
      <c r="F28" s="370"/>
      <c r="G28" s="369"/>
      <c r="H28" s="369"/>
      <c r="I28" s="370"/>
      <c r="J28" s="366"/>
      <c r="K28" s="382"/>
      <c r="L28" s="371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8" t="s">
        <v>145</v>
      </c>
      <c r="B29" s="58"/>
      <c r="C29" s="367">
        <f>SUM(C30:C31)</f>
        <v>1280</v>
      </c>
      <c r="D29" s="368">
        <f>C29/$C$54</f>
        <v>4.4234025641911742E-2</v>
      </c>
      <c r="E29" s="369">
        <f>SUM(E30:E31)</f>
        <v>1360</v>
      </c>
      <c r="F29" s="370">
        <f>(C29-E29)/E29</f>
        <v>-5.8823529411764705E-2</v>
      </c>
      <c r="G29" s="367">
        <f>SUM(G30:G31)</f>
        <v>1280</v>
      </c>
      <c r="H29" s="369">
        <f>SUM(H30:H31)</f>
        <v>1360</v>
      </c>
      <c r="I29" s="370">
        <f>(G29-H29)/H29</f>
        <v>-5.8823529411764705E-2</v>
      </c>
      <c r="J29" s="366" t="s">
        <v>145</v>
      </c>
      <c r="K29" s="58"/>
      <c r="L29" s="367">
        <f>SUM(L30:L31)</f>
        <v>140746</v>
      </c>
      <c r="M29" s="368">
        <f>L29/$L$54</f>
        <v>5.6170466146305179E-2</v>
      </c>
      <c r="N29" s="369">
        <f>SUM(N30:N31)</f>
        <v>127620</v>
      </c>
      <c r="O29" s="370">
        <f>(L29-N29)/N29</f>
        <v>0.10285221752076477</v>
      </c>
      <c r="P29" s="367">
        <f>SUM(P30:P31)</f>
        <v>140746</v>
      </c>
      <c r="Q29" s="369">
        <f>SUM(Q30:Q31)</f>
        <v>127620</v>
      </c>
      <c r="R29" s="370">
        <f>(P29-Q29)/Q29</f>
        <v>0.10285221752076477</v>
      </c>
      <c r="T29" s="21"/>
    </row>
    <row r="30" spans="1:21" ht="14.1" customHeight="1" x14ac:dyDescent="0.2">
      <c r="A30" s="378"/>
      <c r="B30" s="58" t="s">
        <v>145</v>
      </c>
      <c r="C30" s="471">
        <f>[2]Southwest!$DX$19</f>
        <v>1280</v>
      </c>
      <c r="D30" s="472">
        <f>C30/$C$54</f>
        <v>4.4234025641911742E-2</v>
      </c>
      <c r="E30" s="307">
        <f>[2]Southwest!$DJ$19</f>
        <v>1136</v>
      </c>
      <c r="F30" s="473">
        <f>(C30-E30)/E30</f>
        <v>0.12676056338028169</v>
      </c>
      <c r="G30" s="307">
        <f>SUM([2]Southwest!$DX$19:$DX$19)</f>
        <v>1280</v>
      </c>
      <c r="H30" s="307">
        <f>SUM([2]Southwest!$DJ$19:$DJ$19)</f>
        <v>1136</v>
      </c>
      <c r="I30" s="473">
        <f>(G30-H30)/H30</f>
        <v>0.12676056338028169</v>
      </c>
      <c r="J30" s="366"/>
      <c r="K30" s="58" t="s">
        <v>145</v>
      </c>
      <c r="L30" s="471">
        <f>[2]Southwest!$DX$41</f>
        <v>140746</v>
      </c>
      <c r="M30" s="472">
        <f>L30/$L$54</f>
        <v>5.6170466146305179E-2</v>
      </c>
      <c r="N30" s="307">
        <f>[2]Southwest!$DJ$41</f>
        <v>106323</v>
      </c>
      <c r="O30" s="473">
        <f>(L30-N30)/N30</f>
        <v>0.32375873517489162</v>
      </c>
      <c r="P30" s="307">
        <f>SUM([2]Southwest!$DX$41:$DX$41)</f>
        <v>140746</v>
      </c>
      <c r="Q30" s="307">
        <f>SUM([2]Southwest!$DJ$41:$DJ$41)</f>
        <v>106323</v>
      </c>
      <c r="R30" s="473">
        <f>(P30-Q30)/Q30</f>
        <v>0.32375873517489162</v>
      </c>
      <c r="T30" s="21"/>
    </row>
    <row r="31" spans="1:21" ht="14.1" customHeight="1" x14ac:dyDescent="0.2">
      <c r="A31" s="378"/>
      <c r="B31" s="58" t="s">
        <v>194</v>
      </c>
      <c r="C31" s="471">
        <f>[2]AirTran!$DX$19</f>
        <v>0</v>
      </c>
      <c r="D31" s="472">
        <f>C31/$C$54</f>
        <v>0</v>
      </c>
      <c r="E31" s="307">
        <f>[2]AirTran!$DJ$19</f>
        <v>224</v>
      </c>
      <c r="F31" s="473">
        <f>(C31-E31)/E31</f>
        <v>-1</v>
      </c>
      <c r="G31" s="307">
        <f>SUM([2]AirTran!$DX$19:$DX$19)</f>
        <v>0</v>
      </c>
      <c r="H31" s="307">
        <f>SUM([2]AirTran!$DJ$19:$DJ$19)</f>
        <v>224</v>
      </c>
      <c r="I31" s="473">
        <f>(G31-H31)/H31</f>
        <v>-1</v>
      </c>
      <c r="J31" s="366"/>
      <c r="K31" s="58" t="s">
        <v>194</v>
      </c>
      <c r="L31" s="471">
        <f>[2]AirTran!$DX$41</f>
        <v>0</v>
      </c>
      <c r="M31" s="472">
        <f>L31/$L$54</f>
        <v>0</v>
      </c>
      <c r="N31" s="307">
        <f>[2]AirTran!$DJ$41</f>
        <v>21297</v>
      </c>
      <c r="O31" s="473">
        <f>(L31-N31)/N31</f>
        <v>-1</v>
      </c>
      <c r="P31" s="307">
        <f>SUM([2]AirTran!$DX$41:$DX$41)</f>
        <v>0</v>
      </c>
      <c r="Q31" s="307">
        <f>SUM([2]AirTran!$DJ$41:$DJ$41)</f>
        <v>21297</v>
      </c>
      <c r="R31" s="473">
        <f>(P31-Q31)/Q31</f>
        <v>-1</v>
      </c>
      <c r="T31" s="21"/>
    </row>
    <row r="32" spans="1:21" ht="14.1" customHeight="1" x14ac:dyDescent="0.2">
      <c r="A32" s="366"/>
      <c r="B32" s="58"/>
      <c r="C32" s="367"/>
      <c r="D32" s="368"/>
      <c r="E32" s="182"/>
      <c r="F32" s="370"/>
      <c r="G32" s="369"/>
      <c r="H32" s="369"/>
      <c r="I32" s="370"/>
      <c r="J32" s="366"/>
      <c r="K32" s="58"/>
      <c r="L32" s="371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6" t="s">
        <v>181</v>
      </c>
      <c r="B33" s="58"/>
      <c r="C33" s="367">
        <f>[2]Spirit!$DX$19</f>
        <v>680</v>
      </c>
      <c r="D33" s="368">
        <f>C33/$C$54</f>
        <v>2.3499326122265612E-2</v>
      </c>
      <c r="E33" s="369">
        <f>[2]Spirit!$DJ$19</f>
        <v>681</v>
      </c>
      <c r="F33" s="370">
        <f>(C33-E33)/E33</f>
        <v>-1.4684287812041115E-3</v>
      </c>
      <c r="G33" s="369">
        <f>SUM([2]Spirit!$DX$19:$DX$19)</f>
        <v>680</v>
      </c>
      <c r="H33" s="369">
        <f>SUM([2]Spirit!$DJ$19:$DJ$19)</f>
        <v>681</v>
      </c>
      <c r="I33" s="370">
        <f>(G33-H33)/H33</f>
        <v>-1.4684287812041115E-3</v>
      </c>
      <c r="J33" s="366" t="s">
        <v>181</v>
      </c>
      <c r="K33" s="58"/>
      <c r="L33" s="367">
        <f>[2]Spirit!$DX$41</f>
        <v>93217</v>
      </c>
      <c r="M33" s="368">
        <f>L33/$L$54</f>
        <v>3.7202068568628094E-2</v>
      </c>
      <c r="N33" s="369">
        <f>[2]Spirit!$DJ$41</f>
        <v>87200</v>
      </c>
      <c r="O33" s="370">
        <f>(L33-N33)/N33</f>
        <v>6.9002293577981655E-2</v>
      </c>
      <c r="P33" s="369">
        <f>SUM([2]Spirit!$DX$41:$DX$41)</f>
        <v>93217</v>
      </c>
      <c r="Q33" s="369">
        <f>SUM([2]Spirit!$DJ$41:$DJ$41)</f>
        <v>87200</v>
      </c>
      <c r="R33" s="370">
        <f>(P33-Q33)/Q33</f>
        <v>6.9002293577981655E-2</v>
      </c>
      <c r="T33" s="21"/>
      <c r="U33" s="7"/>
    </row>
    <row r="34" spans="1:21" ht="14.1" customHeight="1" x14ac:dyDescent="0.2">
      <c r="A34" s="366"/>
      <c r="B34" s="58"/>
      <c r="C34" s="367"/>
      <c r="D34" s="368"/>
      <c r="E34" s="182"/>
      <c r="F34" s="370"/>
      <c r="G34" s="369"/>
      <c r="H34" s="369"/>
      <c r="I34" s="370"/>
      <c r="J34" s="366"/>
      <c r="K34" s="58"/>
      <c r="L34" s="371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6" t="s">
        <v>53</v>
      </c>
      <c r="B35" s="382"/>
      <c r="C35" s="367">
        <f>'[2]Sun Country'!$DX$19</f>
        <v>1584</v>
      </c>
      <c r="D35" s="368">
        <f>C35/$C$54</f>
        <v>5.4739606731865779E-2</v>
      </c>
      <c r="E35" s="369">
        <f>'[2]Sun Country'!$DJ$19</f>
        <v>1549</v>
      </c>
      <c r="F35" s="370">
        <f>(C35-E35)/E35</f>
        <v>2.2595222724338282E-2</v>
      </c>
      <c r="G35" s="369">
        <f>SUM('[2]Sun Country'!$DX$19:$DX$19)</f>
        <v>1584</v>
      </c>
      <c r="H35" s="369">
        <f>SUM('[2]Sun Country'!$DJ$19:$DJ$19)</f>
        <v>1549</v>
      </c>
      <c r="I35" s="370">
        <f>(G35-H35)/H35</f>
        <v>2.2595222724338282E-2</v>
      </c>
      <c r="J35" s="366" t="s">
        <v>53</v>
      </c>
      <c r="K35" s="382"/>
      <c r="L35" s="367">
        <f>'[2]Sun Country'!$DX$41</f>
        <v>166221</v>
      </c>
      <c r="M35" s="368">
        <f>L35/$L$54</f>
        <v>6.6337310142419628E-2</v>
      </c>
      <c r="N35" s="369">
        <f>'[2]Sun Country'!$DJ$41</f>
        <v>145640</v>
      </c>
      <c r="O35" s="370">
        <f>(L35-N35)/N35</f>
        <v>0.14131419939577039</v>
      </c>
      <c r="P35" s="369">
        <f>SUM('[2]Sun Country'!$DX$41:$DX$41)</f>
        <v>166221</v>
      </c>
      <c r="Q35" s="369">
        <f>SUM('[2]Sun Country'!$DJ$41:$DJ$41)</f>
        <v>145640</v>
      </c>
      <c r="R35" s="370">
        <f>(P35-Q35)/Q35</f>
        <v>0.14131419939577039</v>
      </c>
      <c r="T35" s="21"/>
    </row>
    <row r="36" spans="1:21" s="7" customFormat="1" ht="14.1" customHeight="1" x14ac:dyDescent="0.2">
      <c r="A36" s="366"/>
      <c r="B36" s="382"/>
      <c r="C36" s="367"/>
      <c r="D36" s="368"/>
      <c r="E36" s="182"/>
      <c r="F36" s="370"/>
      <c r="G36" s="369"/>
      <c r="H36" s="369"/>
      <c r="I36" s="370"/>
      <c r="J36" s="366"/>
      <c r="K36" s="382"/>
      <c r="L36" s="371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6" t="s">
        <v>21</v>
      </c>
      <c r="B37" s="374"/>
      <c r="C37" s="367">
        <f>SUM(C38:C44)</f>
        <v>1400</v>
      </c>
      <c r="D37" s="368">
        <f>C37/$C$54</f>
        <v>4.8380965545840968E-2</v>
      </c>
      <c r="E37" s="182">
        <f>SUM(E38:E44)</f>
        <v>1372</v>
      </c>
      <c r="F37" s="370">
        <f t="shared" ref="F37:F44" si="6">(C37-E37)/E37</f>
        <v>2.0408163265306121E-2</v>
      </c>
      <c r="G37" s="369">
        <f>SUM(G38:G44)</f>
        <v>1400</v>
      </c>
      <c r="H37" s="369">
        <f>SUM(H38:H44)</f>
        <v>1372</v>
      </c>
      <c r="I37" s="370">
        <f t="shared" ref="I37:I44" si="7">(G37-H37)/H37</f>
        <v>2.0408163265306121E-2</v>
      </c>
      <c r="J37" s="366" t="s">
        <v>21</v>
      </c>
      <c r="K37" s="374"/>
      <c r="L37" s="367">
        <f>SUM(L38:L44)</f>
        <v>97137</v>
      </c>
      <c r="M37" s="368">
        <f>L37/$L$54</f>
        <v>3.8766505407284366E-2</v>
      </c>
      <c r="N37" s="369">
        <f>SUM(N38:N44)</f>
        <v>77829</v>
      </c>
      <c r="O37" s="370">
        <f t="shared" ref="O37:O44" si="8">(L37-N37)/N37</f>
        <v>0.24808233434837915</v>
      </c>
      <c r="P37" s="369">
        <f>SUM(P38:P44)</f>
        <v>97137</v>
      </c>
      <c r="Q37" s="369">
        <f>SUM(Q38:Q44)</f>
        <v>82712</v>
      </c>
      <c r="R37" s="370">
        <f t="shared" ref="R37:R44" si="9">(P37-Q37)/Q37</f>
        <v>0.17440032885191992</v>
      </c>
      <c r="T37" s="21"/>
      <c r="U37"/>
    </row>
    <row r="38" spans="1:21" s="7" customFormat="1" ht="14.1" customHeight="1" x14ac:dyDescent="0.2">
      <c r="A38" s="383"/>
      <c r="B38" s="476" t="s">
        <v>21</v>
      </c>
      <c r="C38" s="371">
        <f>[2]United!$DX$19</f>
        <v>320</v>
      </c>
      <c r="D38" s="41">
        <f>C38/$C$54</f>
        <v>1.1058506410477936E-2</v>
      </c>
      <c r="E38" s="9">
        <f>[2]United!$DJ$19+[2]Continental!$DJ$19</f>
        <v>342</v>
      </c>
      <c r="F38" s="89">
        <f t="shared" si="6"/>
        <v>-6.4327485380116955E-2</v>
      </c>
      <c r="G38" s="9">
        <f>SUM([2]United!$DX$19:$DX$19)</f>
        <v>320</v>
      </c>
      <c r="H38" s="9">
        <f>SUM([2]United!$DJ$19:$DJ$19)+SUM([2]Continental!$DJ$19:$DJ$19)</f>
        <v>342</v>
      </c>
      <c r="I38" s="89">
        <f t="shared" si="7"/>
        <v>-6.4327485380116955E-2</v>
      </c>
      <c r="J38" s="383"/>
      <c r="K38" s="476" t="s">
        <v>21</v>
      </c>
      <c r="L38" s="371">
        <f>[2]United!$DX$41</f>
        <v>36409</v>
      </c>
      <c r="M38" s="41">
        <f>L38/$L$54</f>
        <v>1.4530505321080706E-2</v>
      </c>
      <c r="N38" s="9">
        <f>[2]United!$DJ$41+[2]Continental!$DJ$41</f>
        <v>31165</v>
      </c>
      <c r="O38" s="89">
        <f t="shared" si="8"/>
        <v>0.16826568265682657</v>
      </c>
      <c r="P38" s="9">
        <f>SUM([2]United!$DX$41:$DX$41)</f>
        <v>36409</v>
      </c>
      <c r="Q38" s="9">
        <f>SUM([2]United!$DJ$41:$DJ$41)+SUM([2]Continental!$DJ$41:$DJ$41)</f>
        <v>31165</v>
      </c>
      <c r="R38" s="89">
        <f t="shared" si="9"/>
        <v>0.16826568265682657</v>
      </c>
      <c r="T38" s="21"/>
    </row>
    <row r="39" spans="1:21" s="7" customFormat="1" ht="14.1" customHeight="1" x14ac:dyDescent="0.2">
      <c r="A39" s="383"/>
      <c r="B39" s="375" t="s">
        <v>182</v>
      </c>
      <c r="C39" s="371">
        <f>[2]Chautaqua_Continental!$DX$19</f>
        <v>0</v>
      </c>
      <c r="D39" s="41">
        <f>C39/$C$54</f>
        <v>0</v>
      </c>
      <c r="E39" s="9">
        <f>[2]Chautaqua_Continental!$DJ$19</f>
        <v>36</v>
      </c>
      <c r="F39" s="89">
        <f t="shared" si="6"/>
        <v>-1</v>
      </c>
      <c r="G39" s="9">
        <f>SUM([2]Chautaqua_Continental!$DX$19:$DX$19)</f>
        <v>0</v>
      </c>
      <c r="H39" s="9">
        <f>SUM([2]Chautaqua_Continental!$DJ$19:$DJ$19)</f>
        <v>36</v>
      </c>
      <c r="I39" s="89">
        <f t="shared" si="7"/>
        <v>-1</v>
      </c>
      <c r="J39" s="55"/>
      <c r="K39" s="376" t="s">
        <v>131</v>
      </c>
      <c r="L39" s="371">
        <f>[2]Chautaqua_Continental!$DX$41</f>
        <v>0</v>
      </c>
      <c r="M39" s="41">
        <f>L39/$L$54</f>
        <v>0</v>
      </c>
      <c r="N39" s="9">
        <f>[2]Chautaqua_Continental!$DJ$41</f>
        <v>1257</v>
      </c>
      <c r="O39" s="89">
        <f t="shared" si="8"/>
        <v>-1</v>
      </c>
      <c r="P39" s="9">
        <f>SUM([2]Chautaqua_Continental!$DX$41:$DX$41)</f>
        <v>0</v>
      </c>
      <c r="Q39" s="9">
        <f>SUM([2]Chautaqua_Continental!$DJ$41:$DJ$41)</f>
        <v>1257</v>
      </c>
      <c r="R39" s="89">
        <f t="shared" si="9"/>
        <v>-1</v>
      </c>
      <c r="T39" s="21"/>
    </row>
    <row r="40" spans="1:21" s="7" customFormat="1" ht="14.1" customHeight="1" x14ac:dyDescent="0.2">
      <c r="A40" s="383"/>
      <c r="B40" s="375" t="s">
        <v>198</v>
      </c>
      <c r="C40" s="371">
        <f>'[2]Continental Express'!$DX$19</f>
        <v>270</v>
      </c>
      <c r="D40" s="41">
        <f>C40/$C$53</f>
        <v>1.9273324291526877E-2</v>
      </c>
      <c r="E40" s="9">
        <f>'[2]Continental Express'!$DJ$19</f>
        <v>422</v>
      </c>
      <c r="F40" s="89">
        <f t="shared" si="6"/>
        <v>-0.36018957345971564</v>
      </c>
      <c r="G40" s="9">
        <f>SUM('[2]Continental Express'!$DX$19:$DX$19)</f>
        <v>270</v>
      </c>
      <c r="H40" s="9">
        <f>SUM('[2]Continental Express'!$DJ$19:$DJ$19)</f>
        <v>422</v>
      </c>
      <c r="I40" s="89">
        <f t="shared" si="7"/>
        <v>-0.36018957345971564</v>
      </c>
      <c r="J40" s="55"/>
      <c r="K40" s="375" t="s">
        <v>198</v>
      </c>
      <c r="L40" s="371">
        <f>'[2]Continental Express'!$DX$41</f>
        <v>10500</v>
      </c>
      <c r="M40" s="41">
        <f>L40/$L$53</f>
        <v>1.5579490268753627E-2</v>
      </c>
      <c r="N40" s="9">
        <f>'[2]Continental Express'!$DJ$41</f>
        <v>14930</v>
      </c>
      <c r="O40" s="89">
        <f t="shared" si="8"/>
        <v>-0.29671801741460146</v>
      </c>
      <c r="P40" s="9">
        <f>SUM('[2]Continental Express'!$DX$41:$DX$41)</f>
        <v>10500</v>
      </c>
      <c r="Q40" s="9">
        <f>SUM('[2]Continental Express'!$BT$41)</f>
        <v>19813</v>
      </c>
      <c r="R40" s="89">
        <f t="shared" si="9"/>
        <v>-0.47004492000201886</v>
      </c>
      <c r="T40" s="21"/>
    </row>
    <row r="41" spans="1:21" s="7" customFormat="1" ht="14.1" customHeight="1" x14ac:dyDescent="0.2">
      <c r="A41" s="383"/>
      <c r="B41" s="375" t="s">
        <v>180</v>
      </c>
      <c r="C41" s="371">
        <f>'[2]Go Jet_UA'!$DX$19</f>
        <v>106</v>
      </c>
      <c r="D41" s="41">
        <f>C41/$C$54</f>
        <v>3.6631302484708161E-3</v>
      </c>
      <c r="E41" s="9">
        <f>'[2]Go Jet_UA'!$DJ$19</f>
        <v>296</v>
      </c>
      <c r="F41" s="89">
        <f t="shared" si="6"/>
        <v>-0.64189189189189189</v>
      </c>
      <c r="G41" s="9">
        <f>SUM('[2]Go Jet_UA'!$DX$19:$DX$19)</f>
        <v>106</v>
      </c>
      <c r="H41" s="9">
        <f>SUM('[2]Go Jet_UA'!$DJ$19:$DJ$19)</f>
        <v>296</v>
      </c>
      <c r="I41" s="89">
        <f t="shared" si="7"/>
        <v>-0.64189189189189189</v>
      </c>
      <c r="J41" s="383"/>
      <c r="K41" s="376" t="s">
        <v>180</v>
      </c>
      <c r="L41" s="371">
        <f>'[2]Go Jet_UA'!$DX$41</f>
        <v>6804</v>
      </c>
      <c r="M41" s="41">
        <f>L41/$L$54</f>
        <v>2.715415369953394E-3</v>
      </c>
      <c r="N41" s="9">
        <f>'[2]Go Jet_UA'!$DJ$41</f>
        <v>16078</v>
      </c>
      <c r="O41" s="89">
        <f t="shared" si="8"/>
        <v>-0.57681303644731929</v>
      </c>
      <c r="P41" s="9">
        <f>SUM('[2]Go Jet_UA'!$DX$41:$DX$41)</f>
        <v>6804</v>
      </c>
      <c r="Q41" s="9">
        <f>SUM('[2]Go Jet_UA'!$DJ$41:$DJ$41)</f>
        <v>16078</v>
      </c>
      <c r="R41" s="89">
        <f t="shared" si="9"/>
        <v>-0.57681303644731929</v>
      </c>
      <c r="T41" s="21"/>
    </row>
    <row r="42" spans="1:21" s="7" customFormat="1" ht="14.1" customHeight="1" x14ac:dyDescent="0.2">
      <c r="A42" s="383"/>
      <c r="B42" s="375" t="s">
        <v>57</v>
      </c>
      <c r="C42" s="371">
        <f>[2]MESA_UA!$DX$19</f>
        <v>150</v>
      </c>
      <c r="D42" s="41">
        <f>C42/$C$54</f>
        <v>5.1836748799115318E-3</v>
      </c>
      <c r="E42" s="9">
        <f>[2]MESA_UA!$DJ$19</f>
        <v>50</v>
      </c>
      <c r="F42" s="89">
        <f>(C42-E42)/E42</f>
        <v>2</v>
      </c>
      <c r="G42" s="9">
        <f>SUM([2]MESA_UA!$DX$19:$DX$19)</f>
        <v>150</v>
      </c>
      <c r="H42" s="9">
        <f>SUM([2]MESA_UA!$DJ$19:$DJ$19)</f>
        <v>50</v>
      </c>
      <c r="I42" s="89">
        <f>(G42-H42)/H42</f>
        <v>2</v>
      </c>
      <c r="J42" s="383"/>
      <c r="K42" s="376" t="s">
        <v>57</v>
      </c>
      <c r="L42" s="371">
        <f>[2]MESA_UA!$DX$41</f>
        <v>9460</v>
      </c>
      <c r="M42" s="41">
        <f>L42/$L$54</f>
        <v>3.7754011463490755E-3</v>
      </c>
      <c r="N42" s="9">
        <f>[2]MESA_UA!$DJ$41</f>
        <v>2641</v>
      </c>
      <c r="O42" s="89">
        <f>(L42-N42)/N42</f>
        <v>2.581976524043923</v>
      </c>
      <c r="P42" s="9">
        <f>SUM([2]MESA_UA!$DX$41:$DX$41)</f>
        <v>9460</v>
      </c>
      <c r="Q42" s="9">
        <f>SUM([2]MESA_UA!$DJ$41:$DJ$41)</f>
        <v>2641</v>
      </c>
      <c r="R42" s="89">
        <f t="shared" si="9"/>
        <v>2.581976524043923</v>
      </c>
      <c r="T42" s="21"/>
    </row>
    <row r="43" spans="1:21" s="7" customFormat="1" ht="14.1" customHeight="1" x14ac:dyDescent="0.2">
      <c r="A43" s="383"/>
      <c r="B43" s="375" t="s">
        <v>110</v>
      </c>
      <c r="C43" s="371">
        <f>'[2]Sky West_UA'!$DX$19</f>
        <v>290</v>
      </c>
      <c r="D43" s="41">
        <f>C43/$C$54</f>
        <v>1.0021771434495629E-2</v>
      </c>
      <c r="E43" s="9">
        <f>'[2]Sky West_UA'!$DJ$19+'[2]Sky West_CO'!$DJ$19</f>
        <v>60</v>
      </c>
      <c r="F43" s="89">
        <f t="shared" si="6"/>
        <v>3.8333333333333335</v>
      </c>
      <c r="G43" s="9">
        <f>SUM('[2]Sky West_UA'!$DX$19:$DX$19)</f>
        <v>290</v>
      </c>
      <c r="H43" s="9">
        <f>SUM('[2]Sky West_UA'!$DJ$19:$DJ$19)+SUM('[2]Sky West_CO'!$DJ$19:$DJ$19)</f>
        <v>60</v>
      </c>
      <c r="I43" s="89">
        <f t="shared" si="7"/>
        <v>3.8333333333333335</v>
      </c>
      <c r="J43" s="383"/>
      <c r="K43" s="375" t="s">
        <v>110</v>
      </c>
      <c r="L43" s="371">
        <f>'[2]Sky West_UA'!$DX$41</f>
        <v>18349</v>
      </c>
      <c r="M43" s="41">
        <f>L43/$L$54</f>
        <v>7.3229213144142902E-3</v>
      </c>
      <c r="N43" s="9">
        <f>'[2]Sky West_UA'!$DJ$41+'[2]Sky West_CO'!$DJ$41</f>
        <v>2970</v>
      </c>
      <c r="O43" s="89">
        <f t="shared" si="8"/>
        <v>5.1781144781144786</v>
      </c>
      <c r="P43" s="9">
        <f>SUM('[2]Sky West_UA'!$DX$41:$DX$41)</f>
        <v>18349</v>
      </c>
      <c r="Q43" s="9">
        <f>SUM('[2]Sky West_UA'!$DJ$41:$DJ$41)+SUM('[2]Sky West_CO'!$DJ$41:$DJ$41)</f>
        <v>2970</v>
      </c>
      <c r="R43" s="89">
        <f t="shared" si="9"/>
        <v>5.1781144781144786</v>
      </c>
      <c r="T43" s="21"/>
    </row>
    <row r="44" spans="1:21" s="7" customFormat="1" ht="14.1" customHeight="1" x14ac:dyDescent="0.2">
      <c r="A44" s="383"/>
      <c r="B44" s="377" t="s">
        <v>148</v>
      </c>
      <c r="C44" s="371">
        <f>'[2]Shuttle America'!$DX$19</f>
        <v>264</v>
      </c>
      <c r="D44" s="41">
        <f>C44/$C$54</f>
        <v>9.1232677886442966E-3</v>
      </c>
      <c r="E44" s="9">
        <f>'[2]Shuttle America'!$DJ$19</f>
        <v>166</v>
      </c>
      <c r="F44" s="89">
        <f t="shared" si="6"/>
        <v>0.59036144578313254</v>
      </c>
      <c r="G44" s="9">
        <f>SUM('[2]Shuttle America'!$DX$19:$DX$19)</f>
        <v>264</v>
      </c>
      <c r="H44" s="9">
        <f>SUM('[2]Shuttle America'!$DJ$19:$DJ$19)</f>
        <v>166</v>
      </c>
      <c r="I44" s="89">
        <f t="shared" si="7"/>
        <v>0.59036144578313254</v>
      </c>
      <c r="J44" s="383"/>
      <c r="K44" s="377" t="s">
        <v>148</v>
      </c>
      <c r="L44" s="371">
        <f>'[2]Shuttle America'!$DX$41</f>
        <v>15615</v>
      </c>
      <c r="M44" s="41">
        <f>L44/$L$54</f>
        <v>6.231806437657591E-3</v>
      </c>
      <c r="N44" s="9">
        <f>'[2]Shuttle America'!$DJ$41</f>
        <v>8788</v>
      </c>
      <c r="O44" s="89">
        <f t="shared" si="8"/>
        <v>0.77685480200273105</v>
      </c>
      <c r="P44" s="9">
        <f>SUM('[2]Shuttle America'!$DX$41:$DX$41)</f>
        <v>15615</v>
      </c>
      <c r="Q44" s="9">
        <f>SUM('[2]Shuttle America'!$DJ$41:$DJ$41)</f>
        <v>8788</v>
      </c>
      <c r="R44" s="89">
        <f t="shared" si="9"/>
        <v>0.77685480200273105</v>
      </c>
      <c r="T44" s="21"/>
    </row>
    <row r="45" spans="1:21" s="7" customFormat="1" ht="14.1" customHeight="1" x14ac:dyDescent="0.2">
      <c r="A45" s="383"/>
      <c r="B45" s="377"/>
      <c r="C45" s="371"/>
      <c r="D45" s="41"/>
      <c r="E45" s="5"/>
      <c r="F45" s="89"/>
      <c r="G45" s="9"/>
      <c r="H45" s="9"/>
      <c r="I45" s="89"/>
      <c r="J45" s="383"/>
      <c r="K45" s="377"/>
      <c r="L45" s="371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8" t="s">
        <v>22</v>
      </c>
      <c r="B46" s="379"/>
      <c r="C46" s="367">
        <f>SUM(C47:C50)</f>
        <v>787</v>
      </c>
      <c r="D46" s="368">
        <f>C46/$C$54</f>
        <v>2.7197014203269171E-2</v>
      </c>
      <c r="E46" s="369">
        <f>SUM(E47:E50)</f>
        <v>840</v>
      </c>
      <c r="F46" s="370">
        <f>(C46-E46)/E46</f>
        <v>-6.3095238095238093E-2</v>
      </c>
      <c r="G46" s="369">
        <f>SUM(G47:G50)</f>
        <v>787</v>
      </c>
      <c r="H46" s="369">
        <f>SUM(H47:H50)</f>
        <v>840</v>
      </c>
      <c r="I46" s="370">
        <f>(G46-H46)/H46</f>
        <v>-6.3095238095238093E-2</v>
      </c>
      <c r="J46" s="378" t="s">
        <v>22</v>
      </c>
      <c r="K46" s="379"/>
      <c r="L46" s="367">
        <f>SUM(L47:L50)</f>
        <v>96056</v>
      </c>
      <c r="M46" s="368">
        <f>L46/$L$54</f>
        <v>3.8335088003563084E-2</v>
      </c>
      <c r="N46" s="369">
        <f>SUM(N47:N50)</f>
        <v>100954</v>
      </c>
      <c r="O46" s="370">
        <f>(L46-N46)/N46</f>
        <v>-4.8517146423123401E-2</v>
      </c>
      <c r="P46" s="369">
        <f>SUM(P47:P50)</f>
        <v>96056</v>
      </c>
      <c r="Q46" s="369">
        <f>SUM(Q47:Q50)</f>
        <v>100954</v>
      </c>
      <c r="R46" s="370">
        <f>(P46-Q46)/Q46</f>
        <v>-4.8517146423123401E-2</v>
      </c>
      <c r="T46" s="21"/>
      <c r="U46"/>
    </row>
    <row r="47" spans="1:21" s="7" customFormat="1" ht="14.1" customHeight="1" x14ac:dyDescent="0.2">
      <c r="A47" s="383"/>
      <c r="B47" s="375" t="s">
        <v>22</v>
      </c>
      <c r="C47" s="371">
        <f>'[2]US Airways'!$DX$19</f>
        <v>725</v>
      </c>
      <c r="D47" s="41">
        <f>C47/$C$54</f>
        <v>2.5054428586239071E-2</v>
      </c>
      <c r="E47" s="9">
        <f>'[2]US Airways'!$DJ$19</f>
        <v>656</v>
      </c>
      <c r="F47" s="89">
        <f>(C47-E47)/E47</f>
        <v>0.10518292682926829</v>
      </c>
      <c r="G47" s="9">
        <f>SUM('[2]US Airways'!$DX$19:$DX$19)</f>
        <v>725</v>
      </c>
      <c r="H47" s="9">
        <f>SUM('[2]US Airways'!$DJ$19:$DJ$19)</f>
        <v>656</v>
      </c>
      <c r="I47" s="89">
        <f>(G47-H47)/H47</f>
        <v>0.10518292682926829</v>
      </c>
      <c r="J47" s="383"/>
      <c r="K47" s="375" t="s">
        <v>22</v>
      </c>
      <c r="L47" s="371">
        <f>'[2]US Airways'!$DX$41</f>
        <v>92276</v>
      </c>
      <c r="M47" s="41">
        <f>L47/$L$54</f>
        <v>3.682652390914453E-2</v>
      </c>
      <c r="N47" s="9">
        <f>'[2]US Airways'!$DJ$41</f>
        <v>89894</v>
      </c>
      <c r="O47" s="89">
        <f>(L47-N47)/N47</f>
        <v>2.6497875275324271E-2</v>
      </c>
      <c r="P47" s="9">
        <f>SUM('[2]US Airways'!$DX$41:$DX$41)</f>
        <v>92276</v>
      </c>
      <c r="Q47" s="9">
        <f>SUM('[2]US Airways'!$DJ$41:$DJ$41)</f>
        <v>89894</v>
      </c>
      <c r="R47" s="89">
        <f>(P47-Q47)/Q47</f>
        <v>2.6497875275324271E-2</v>
      </c>
      <c r="T47" s="342"/>
    </row>
    <row r="48" spans="1:21" s="7" customFormat="1" ht="14.1" customHeight="1" x14ac:dyDescent="0.2">
      <c r="A48" s="383"/>
      <c r="B48" s="377" t="s">
        <v>58</v>
      </c>
      <c r="C48" s="371">
        <f>[2]Republic!$DX$19</f>
        <v>52</v>
      </c>
      <c r="D48" s="41">
        <f>C48/$C$54</f>
        <v>1.7970072917026644E-3</v>
      </c>
      <c r="E48" s="9">
        <f>[2]Republic!$DJ$19</f>
        <v>181</v>
      </c>
      <c r="F48" s="89">
        <f>(C48-E48)/E48</f>
        <v>-0.71270718232044195</v>
      </c>
      <c r="G48" s="9">
        <f>SUM([2]Republic!$DX$19:$DX$19)</f>
        <v>52</v>
      </c>
      <c r="H48" s="9">
        <f>SUM([2]Republic!$DJ$19:$DJ$19)</f>
        <v>181</v>
      </c>
      <c r="I48" s="89">
        <f>(G48-H48)/H48</f>
        <v>-0.71270718232044195</v>
      </c>
      <c r="J48" s="383"/>
      <c r="K48" s="377" t="s">
        <v>58</v>
      </c>
      <c r="L48" s="371">
        <f>[2]Republic!$DX$41</f>
        <v>3192</v>
      </c>
      <c r="M48" s="41">
        <f>L48/$L$54</f>
        <v>1.2738985686201109E-3</v>
      </c>
      <c r="N48" s="9">
        <f>[2]Republic!$DJ$41</f>
        <v>10815</v>
      </c>
      <c r="O48" s="89">
        <f>(L48-N48)/N48</f>
        <v>-0.70485436893203879</v>
      </c>
      <c r="P48" s="9">
        <f>SUM([2]Republic!$DX$41:$DX$41)</f>
        <v>3192</v>
      </c>
      <c r="Q48" s="9">
        <f>SUM([2]Republic!$DJ$41:$DJ$41)</f>
        <v>10815</v>
      </c>
      <c r="R48" s="89">
        <f>(P48-Q48)/Q48</f>
        <v>-0.70485436893203879</v>
      </c>
      <c r="T48" s="339"/>
    </row>
    <row r="49" spans="1:21" s="7" customFormat="1" ht="14.1" customHeight="1" x14ac:dyDescent="0.2">
      <c r="A49" s="383"/>
      <c r="B49" s="376" t="s">
        <v>109</v>
      </c>
      <c r="C49" s="371">
        <f>[2]MESA!$DX$19</f>
        <v>10</v>
      </c>
      <c r="D49" s="41">
        <f>C49/$C$54</f>
        <v>3.4557832532743549E-4</v>
      </c>
      <c r="E49" s="9">
        <f>[2]MESA!$DJ$19</f>
        <v>0</v>
      </c>
      <c r="F49" s="89" t="e">
        <f>(C49-E49)/E49</f>
        <v>#DIV/0!</v>
      </c>
      <c r="G49" s="9">
        <f>SUM([2]MESA!$DX$19:$DX$19)</f>
        <v>10</v>
      </c>
      <c r="H49" s="9">
        <f>SUM([2]MESA!$DJ$19:$DJ$19)</f>
        <v>0</v>
      </c>
      <c r="I49" s="89" t="e">
        <f>(G49-H49)/H49</f>
        <v>#DIV/0!</v>
      </c>
      <c r="J49" s="383"/>
      <c r="K49" s="376" t="s">
        <v>109</v>
      </c>
      <c r="L49" s="371">
        <f>[2]MESA!$DX$41</f>
        <v>588</v>
      </c>
      <c r="M49" s="41">
        <f>L49/$L$54</f>
        <v>2.3466552579844147E-4</v>
      </c>
      <c r="N49" s="9">
        <f>[2]MESA!$DJ$41</f>
        <v>0</v>
      </c>
      <c r="O49" s="89" t="e">
        <f>(L49-N49)/N49</f>
        <v>#DIV/0!</v>
      </c>
      <c r="P49" s="9">
        <f>SUM([2]MESA!$DX$41:$DX$41)</f>
        <v>588</v>
      </c>
      <c r="Q49" s="9">
        <f>SUM([2]MESA!$DJ$41:$DJ$41)</f>
        <v>0</v>
      </c>
      <c r="R49" s="89" t="e">
        <f>(P49-Q49)/Q49</f>
        <v>#DIV/0!</v>
      </c>
      <c r="T49" s="339"/>
      <c r="U49"/>
    </row>
    <row r="50" spans="1:21" ht="14.1" customHeight="1" thickBot="1" x14ac:dyDescent="0.25">
      <c r="A50" s="384"/>
      <c r="B50" s="385" t="s">
        <v>54</v>
      </c>
      <c r="C50" s="386">
        <f>'[2]Air Wisconsin'!$DX$19</f>
        <v>0</v>
      </c>
      <c r="D50" s="387">
        <f>C50/$C$54</f>
        <v>0</v>
      </c>
      <c r="E50" s="388">
        <f>'[2]Air Wisconsin'!$DJ$19</f>
        <v>3</v>
      </c>
      <c r="F50" s="389">
        <f>(C50-E50)/E50</f>
        <v>-1</v>
      </c>
      <c r="G50" s="390">
        <f>SUM('[2]Air Wisconsin'!$DX$19:$DX$19)</f>
        <v>0</v>
      </c>
      <c r="H50" s="390">
        <f>SUM('[2]Air Wisconsin'!$DJ$19:$DJ$19)</f>
        <v>3</v>
      </c>
      <c r="I50" s="414">
        <f>(G50-H50)/H50</f>
        <v>-1</v>
      </c>
      <c r="J50" s="384"/>
      <c r="K50" s="385" t="s">
        <v>54</v>
      </c>
      <c r="L50" s="386">
        <f>'[2]Air Wisconsin'!$DX$41</f>
        <v>0</v>
      </c>
      <c r="M50" s="387">
        <f>L50/$L$54</f>
        <v>0</v>
      </c>
      <c r="N50" s="390">
        <f>'[2]Air Wisconsin'!$DJ$41</f>
        <v>245</v>
      </c>
      <c r="O50" s="389">
        <f>(L50-N50)/N50</f>
        <v>-1</v>
      </c>
      <c r="P50" s="390">
        <f>SUM('[2]Air Wisconsin'!$DX$41:$DX$41)</f>
        <v>0</v>
      </c>
      <c r="Q50" s="390">
        <f>SUM('[2]Air Wisconsin'!$DJ$41:$DJ$41)</f>
        <v>245</v>
      </c>
      <c r="R50" s="389">
        <f>(P50-Q50)/Q50</f>
        <v>-1</v>
      </c>
      <c r="T50" s="21"/>
      <c r="U50" s="230"/>
    </row>
    <row r="51" spans="1:21" s="233" customFormat="1" ht="14.1" customHeight="1" x14ac:dyDescent="0.2">
      <c r="B51" s="268"/>
      <c r="C51" s="391"/>
      <c r="D51" s="368"/>
      <c r="E51" s="369"/>
      <c r="F51" s="368"/>
      <c r="G51" s="392"/>
      <c r="H51" s="369"/>
      <c r="I51" s="393"/>
      <c r="J51" s="394"/>
      <c r="K51" s="268"/>
      <c r="L51" s="395"/>
      <c r="M51" s="394"/>
      <c r="N51" s="396"/>
      <c r="O51" s="394"/>
      <c r="P51" s="234"/>
      <c r="Q51" s="234"/>
      <c r="R51" s="234"/>
      <c r="T51" s="232"/>
      <c r="U51"/>
    </row>
    <row r="52" spans="1:21" ht="14.1" customHeight="1" x14ac:dyDescent="0.2">
      <c r="B52" s="397" t="s">
        <v>150</v>
      </c>
      <c r="C52" s="398">
        <f>+C54-C53</f>
        <v>14928</v>
      </c>
      <c r="D52" s="468">
        <f>C52/$C$54</f>
        <v>0.51587932404879566</v>
      </c>
      <c r="E52" s="398">
        <f>+E54-E53</f>
        <v>14961</v>
      </c>
      <c r="F52" s="400">
        <f>(C52-E52)/E52</f>
        <v>-2.2057349107679966E-3</v>
      </c>
      <c r="G52" s="398">
        <f>+G54-G53</f>
        <v>14928</v>
      </c>
      <c r="H52" s="398">
        <f>+H54-H53</f>
        <v>14961</v>
      </c>
      <c r="I52" s="401">
        <f>(G52-H52)/H52</f>
        <v>-2.2057349107679966E-3</v>
      </c>
      <c r="K52" s="397" t="s">
        <v>150</v>
      </c>
      <c r="L52" s="398">
        <f>+L54-L53</f>
        <v>1831731</v>
      </c>
      <c r="M52" s="399">
        <f>+L52/L54</f>
        <v>0.73102741196650511</v>
      </c>
      <c r="N52" s="398">
        <f>+N54-N53</f>
        <v>1765049</v>
      </c>
      <c r="O52" s="400">
        <f>(L52-N52)/N52</f>
        <v>3.7779121146211805E-2</v>
      </c>
      <c r="P52" s="398">
        <f>+P54-P53</f>
        <v>1831731</v>
      </c>
      <c r="Q52" s="398">
        <f>+Q54-Q53</f>
        <v>1765049</v>
      </c>
      <c r="R52" s="401">
        <f>(P52-Q52)/Q52</f>
        <v>3.7779121146211805E-2</v>
      </c>
    </row>
    <row r="53" spans="1:21" ht="14.1" customHeight="1" x14ac:dyDescent="0.2">
      <c r="B53" s="340" t="s">
        <v>151</v>
      </c>
      <c r="C53" s="402">
        <f>+C50+C49+C48+C44+C21+C19+C17+C16+C4+C20+C12+C43+C41+C18+C40+C39+C42</f>
        <v>14009</v>
      </c>
      <c r="D53" s="469">
        <f>C53/$C$54</f>
        <v>0.48412067595120434</v>
      </c>
      <c r="E53" s="402">
        <f>+E50+E49+E48+E44+E21+E19+E17+E16+E4+E20+E12+E43+E41+E18+E40+E39+E42</f>
        <v>15395</v>
      </c>
      <c r="F53" s="404">
        <f>(C53-E53)/E53</f>
        <v>-9.0029230269568036E-2</v>
      </c>
      <c r="G53" s="402">
        <f>+G50+G49+G48+G44+G21+G19+G17+G16+G4+G20+G12+G43+G41+G18+G40+G39+G42</f>
        <v>14009</v>
      </c>
      <c r="H53" s="402">
        <f>+H50+H49+H48+H44+H21+H19+H17+H16+H4+H20+H12+H43+H41+H18+H40+H39+H42</f>
        <v>15395</v>
      </c>
      <c r="I53" s="405">
        <f>(G53-H53)/H53</f>
        <v>-9.0029230269568036E-2</v>
      </c>
      <c r="K53" s="340" t="s">
        <v>151</v>
      </c>
      <c r="L53" s="402">
        <f>+L50+L49+L48+L44+L21+L19+L17+L16+L4+L20+L12+L43+L41+L18+L40+L39+L42</f>
        <v>673963</v>
      </c>
      <c r="M53" s="403">
        <f>+L53/L54</f>
        <v>0.26897258803349489</v>
      </c>
      <c r="N53" s="402">
        <f>+N50+N49+N48+N44+N21+N19+N17+N16+N4+N20+N12+N43+N41+N18+N40+N39+N42</f>
        <v>705057</v>
      </c>
      <c r="O53" s="404">
        <f>(L53-N53)/N53</f>
        <v>-4.4101398893990132E-2</v>
      </c>
      <c r="P53" s="402">
        <f>+P50+P49+P48+P44+P21+P19+P17+P16+P4+P20+P12+P43+P41+P18+P40+P39+P42</f>
        <v>673963</v>
      </c>
      <c r="Q53" s="402">
        <f>+Q50+Q49+Q48+Q44+Q21+Q19+Q17+Q16+Q4+Q20+Q12+Q43+Q41+Q18+Q40+Q39+Q42</f>
        <v>709940</v>
      </c>
      <c r="R53" s="405">
        <f>(P53-Q53)/Q53</f>
        <v>-5.0676113474378115E-2</v>
      </c>
    </row>
    <row r="54" spans="1:21" ht="14.1" customHeight="1" x14ac:dyDescent="0.2">
      <c r="B54" s="340" t="s">
        <v>152</v>
      </c>
      <c r="C54" s="406">
        <f>+C46+C37+C35+C29+C27+C23+C14+C10+C8+C4+C25+C33</f>
        <v>28937</v>
      </c>
      <c r="D54" s="470">
        <f>+C54/C54</f>
        <v>1</v>
      </c>
      <c r="E54" s="406">
        <f>+E46+E37+E35+E29+E27+E23+E14+E10+E8+E4+E25+E33</f>
        <v>30356</v>
      </c>
      <c r="F54" s="408">
        <f>(C54-E54)/E54</f>
        <v>-4.6745289234418237E-2</v>
      </c>
      <c r="G54" s="406">
        <f>+G46+G37+G35+G29+G27+G23+G14+G10+G8+G4+G25+G33</f>
        <v>28937</v>
      </c>
      <c r="H54" s="406">
        <f>+H46+H37+H35+H29+H27+H23+H14+H10+H8+H4+H25+H33</f>
        <v>30356</v>
      </c>
      <c r="I54" s="409">
        <f>(G54-H54)/H54</f>
        <v>-4.6745289234418237E-2</v>
      </c>
      <c r="K54" s="340" t="s">
        <v>152</v>
      </c>
      <c r="L54" s="406">
        <f>+L46+L37+L35+L29+L27+L23+L14+L10+L8+L4+L25+L33</f>
        <v>2505694</v>
      </c>
      <c r="M54" s="407">
        <f>+L54/L54</f>
        <v>1</v>
      </c>
      <c r="N54" s="406">
        <f>+N46+N37+N35+N29+N27+N23+N14+N10+N8+N4+N25+N33</f>
        <v>2470106</v>
      </c>
      <c r="O54" s="408">
        <f>(L54-N54)/N54</f>
        <v>1.4407478869327875E-2</v>
      </c>
      <c r="P54" s="406">
        <f>+P46+P37+P35+P29+P27+P23+P14+P10+P8+P4+P25+P33+P6</f>
        <v>2505694</v>
      </c>
      <c r="Q54" s="406">
        <f>+Q46+Q37+Q35+Q29+Q27+Q23+Q14+Q10+Q8+Q4+Q25+Q33</f>
        <v>2474989</v>
      </c>
      <c r="R54" s="409">
        <f>(P54-Q54)/Q54</f>
        <v>1.2406115744352804E-2</v>
      </c>
    </row>
    <row r="55" spans="1:21" x14ac:dyDescent="0.2">
      <c r="B55" s="340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8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40"/>
      <c r="D57" s="4"/>
      <c r="E57" s="458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8"/>
      <c r="D58" s="4"/>
      <c r="E58" s="458"/>
      <c r="F58" s="231"/>
      <c r="G58" s="4"/>
      <c r="H58" s="4"/>
      <c r="I58"/>
      <c r="J58"/>
      <c r="K58"/>
      <c r="L58"/>
      <c r="M58"/>
      <c r="O58"/>
      <c r="P58" s="453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January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Normal="100" zoomScaleSheetLayoutView="100" workbookViewId="0">
      <selection activeCell="B28" sqref="B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15">
        <v>42005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187</v>
      </c>
      <c r="I1" s="12" t="s">
        <v>23</v>
      </c>
      <c r="J1" s="282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90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[2]American!$DX$22</f>
        <v>41322</v>
      </c>
      <c r="C4" s="22">
        <f>[2]Delta!$DX$22+[2]Delta!$DX$32</f>
        <v>593121</v>
      </c>
      <c r="D4" s="22">
        <f>[2]United!$DX$22</f>
        <v>17773</v>
      </c>
      <c r="E4" s="22">
        <f>'[2]US Airways'!$DX$22</f>
        <v>44280</v>
      </c>
      <c r="F4" s="22">
        <f>[2]Spirit!$DX$22</f>
        <v>46173</v>
      </c>
      <c r="G4" s="22">
        <f>[2]Condor!$DX$22</f>
        <v>0</v>
      </c>
      <c r="H4" s="22">
        <f>'[2]Air France'!$DX$22</f>
        <v>0</v>
      </c>
      <c r="I4" s="22">
        <f>'Other Major Airline Stats'!I5</f>
        <v>164867</v>
      </c>
      <c r="J4" s="291">
        <f>SUM(B4:I4)</f>
        <v>907536</v>
      </c>
    </row>
    <row r="5" spans="1:19" x14ac:dyDescent="0.2">
      <c r="A5" s="65" t="s">
        <v>34</v>
      </c>
      <c r="B5" s="14">
        <f>[2]American!$DX$23</f>
        <v>39879</v>
      </c>
      <c r="C5" s="14">
        <f>[2]Delta!$DX$23+[2]Delta!$DX$33</f>
        <v>597475</v>
      </c>
      <c r="D5" s="14">
        <f>[2]United!$DX$23</f>
        <v>18636</v>
      </c>
      <c r="E5" s="14">
        <f>'[2]US Airways'!$DX$23</f>
        <v>47996</v>
      </c>
      <c r="F5" s="14">
        <f>[2]Spirit!$DX$23</f>
        <v>47044</v>
      </c>
      <c r="G5" s="14">
        <f>[2]Condor!$DX$23</f>
        <v>0</v>
      </c>
      <c r="H5" s="14">
        <f>'[2]Air France'!$DX$23</f>
        <v>0</v>
      </c>
      <c r="I5" s="14">
        <f>'Other Major Airline Stats'!I6</f>
        <v>173165</v>
      </c>
      <c r="J5" s="292">
        <f>SUM(B5:I5)</f>
        <v>924195</v>
      </c>
      <c r="L5" s="320"/>
      <c r="M5" s="320"/>
      <c r="N5" s="320"/>
      <c r="O5" s="320"/>
      <c r="P5" s="320"/>
      <c r="Q5" s="320"/>
      <c r="R5" s="320"/>
      <c r="S5" s="320"/>
    </row>
    <row r="6" spans="1:19" ht="15" x14ac:dyDescent="0.25">
      <c r="A6" s="63" t="s">
        <v>7</v>
      </c>
      <c r="B6" s="36">
        <f t="shared" ref="B6:I6" si="0">SUM(B4:B5)</f>
        <v>81201</v>
      </c>
      <c r="C6" s="36">
        <f t="shared" si="0"/>
        <v>1190596</v>
      </c>
      <c r="D6" s="36">
        <f t="shared" si="0"/>
        <v>36409</v>
      </c>
      <c r="E6" s="36">
        <f t="shared" si="0"/>
        <v>92276</v>
      </c>
      <c r="F6" s="36">
        <f t="shared" si="0"/>
        <v>93217</v>
      </c>
      <c r="G6" s="36">
        <f t="shared" ref="G6:H6" si="1">SUM(G4:G5)</f>
        <v>0</v>
      </c>
      <c r="H6" s="36">
        <f t="shared" si="1"/>
        <v>0</v>
      </c>
      <c r="I6" s="36">
        <f t="shared" si="0"/>
        <v>338032</v>
      </c>
      <c r="J6" s="293">
        <f>SUM(B6:I6)</f>
        <v>1831731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91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91">
        <f>SUM(B8:I8)</f>
        <v>0</v>
      </c>
    </row>
    <row r="9" spans="1:19" x14ac:dyDescent="0.2">
      <c r="A9" s="65" t="s">
        <v>33</v>
      </c>
      <c r="B9" s="22">
        <f>[2]American!$DX$27</f>
        <v>1625</v>
      </c>
      <c r="C9" s="22">
        <f>[2]Delta!$DX$27+[2]Delta!$DX$37</f>
        <v>24781</v>
      </c>
      <c r="D9" s="22">
        <f>[2]United!$DX$27</f>
        <v>621</v>
      </c>
      <c r="E9" s="22">
        <f>'[2]US Airways'!$DX$27</f>
        <v>1120</v>
      </c>
      <c r="F9" s="22">
        <f>[2]Spirit!$DX$27</f>
        <v>291</v>
      </c>
      <c r="G9" s="22">
        <f>[2]Condor!$DX$27</f>
        <v>0</v>
      </c>
      <c r="H9" s="22">
        <f>'[2]Air France'!$DX$27</f>
        <v>0</v>
      </c>
      <c r="I9" s="22">
        <f>'Other Major Airline Stats'!I10</f>
        <v>3245</v>
      </c>
      <c r="J9" s="291">
        <f>SUM(B9:I9)</f>
        <v>31683</v>
      </c>
    </row>
    <row r="10" spans="1:19" x14ac:dyDescent="0.2">
      <c r="A10" s="65" t="s">
        <v>36</v>
      </c>
      <c r="B10" s="14">
        <f>[2]American!$DX$28</f>
        <v>1735</v>
      </c>
      <c r="C10" s="14">
        <f>[2]Delta!$DX$28+[2]Delta!$DX$38</f>
        <v>24764</v>
      </c>
      <c r="D10" s="14">
        <f>[2]United!$DX$28</f>
        <v>656</v>
      </c>
      <c r="E10" s="14">
        <f>'[2]US Airways'!$DX$28</f>
        <v>1191</v>
      </c>
      <c r="F10" s="14">
        <f>[2]Spirit!$DX$28</f>
        <v>290</v>
      </c>
      <c r="G10" s="14">
        <f>[2]Condor!$DX$28</f>
        <v>0</v>
      </c>
      <c r="H10" s="14">
        <f>'[2]Air France'!$DX$28</f>
        <v>0</v>
      </c>
      <c r="I10" s="14">
        <f>'Other Major Airline Stats'!I11</f>
        <v>3360</v>
      </c>
      <c r="J10" s="292">
        <f>SUM(B10:I10)</f>
        <v>31996</v>
      </c>
    </row>
    <row r="11" spans="1:19" ht="15.75" thickBot="1" x14ac:dyDescent="0.3">
      <c r="A11" s="66" t="s">
        <v>37</v>
      </c>
      <c r="B11" s="294">
        <f t="shared" ref="B11:I11" si="2">SUM(B9:B10)</f>
        <v>3360</v>
      </c>
      <c r="C11" s="294">
        <f t="shared" si="2"/>
        <v>49545</v>
      </c>
      <c r="D11" s="294">
        <f t="shared" si="2"/>
        <v>1277</v>
      </c>
      <c r="E11" s="294">
        <f t="shared" si="2"/>
        <v>2311</v>
      </c>
      <c r="F11" s="294">
        <f t="shared" si="2"/>
        <v>581</v>
      </c>
      <c r="G11" s="294">
        <f t="shared" ref="G11:H11" si="3">SUM(G9:G10)</f>
        <v>0</v>
      </c>
      <c r="H11" s="294">
        <f t="shared" si="3"/>
        <v>0</v>
      </c>
      <c r="I11" s="294">
        <f t="shared" si="2"/>
        <v>6605</v>
      </c>
      <c r="J11" s="295">
        <f>SUM(B11:I11)</f>
        <v>63679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[2]American!$DX$4</f>
        <v>349</v>
      </c>
      <c r="C15" s="22">
        <f>[2]Delta!$DX$4+[2]Delta!$DX$15</f>
        <v>4606</v>
      </c>
      <c r="D15" s="22">
        <f>[2]United!$DX$4</f>
        <v>160</v>
      </c>
      <c r="E15" s="22">
        <f>'[2]US Airways'!$DX$4</f>
        <v>367</v>
      </c>
      <c r="F15" s="22">
        <f>[2]Spirit!$DX$4</f>
        <v>340</v>
      </c>
      <c r="G15" s="22">
        <f>[2]Condor!$DX$4</f>
        <v>0</v>
      </c>
      <c r="H15" s="22">
        <f>'[2]Air France'!$DX$4</f>
        <v>0</v>
      </c>
      <c r="I15" s="22">
        <f>'Other Major Airline Stats'!I16</f>
        <v>1579</v>
      </c>
      <c r="J15" s="29">
        <f>SUM(B15:I15)</f>
        <v>7401</v>
      </c>
    </row>
    <row r="16" spans="1:19" x14ac:dyDescent="0.2">
      <c r="A16" s="65" t="s">
        <v>26</v>
      </c>
      <c r="B16" s="14">
        <f>[2]American!$DX$5</f>
        <v>350</v>
      </c>
      <c r="C16" s="14">
        <f>[2]Delta!$DX$5+[2]Delta!$DX$16</f>
        <v>4603</v>
      </c>
      <c r="D16" s="14">
        <f>[2]United!$DX$5</f>
        <v>160</v>
      </c>
      <c r="E16" s="14">
        <f>'[2]US Airways'!$DX$5</f>
        <v>358</v>
      </c>
      <c r="F16" s="14">
        <f>[2]Spirit!$DX$5</f>
        <v>340</v>
      </c>
      <c r="G16" s="14">
        <f>[2]Condor!$DX$5</f>
        <v>0</v>
      </c>
      <c r="H16" s="14">
        <f>'[2]Air France'!$DX$5</f>
        <v>0</v>
      </c>
      <c r="I16" s="14">
        <f>'Other Major Airline Stats'!I17</f>
        <v>1581</v>
      </c>
      <c r="J16" s="35">
        <f>SUM(B16:I16)</f>
        <v>7392</v>
      </c>
    </row>
    <row r="17" spans="1:10" x14ac:dyDescent="0.2">
      <c r="A17" s="65" t="s">
        <v>27</v>
      </c>
      <c r="B17" s="298">
        <f t="shared" ref="B17:I17" si="4">SUM(B15:B16)</f>
        <v>699</v>
      </c>
      <c r="C17" s="296">
        <f t="shared" si="4"/>
        <v>9209</v>
      </c>
      <c r="D17" s="296">
        <f t="shared" si="4"/>
        <v>320</v>
      </c>
      <c r="E17" s="296">
        <f t="shared" si="4"/>
        <v>725</v>
      </c>
      <c r="F17" s="296">
        <f t="shared" si="4"/>
        <v>680</v>
      </c>
      <c r="G17" s="296">
        <f t="shared" ref="G17:H17" si="5">SUM(G15:G16)</f>
        <v>0</v>
      </c>
      <c r="H17" s="296">
        <f t="shared" si="5"/>
        <v>0</v>
      </c>
      <c r="I17" s="296">
        <f t="shared" si="4"/>
        <v>3160</v>
      </c>
      <c r="J17" s="297">
        <f>SUM(B17:I17)</f>
        <v>14793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[2]American!$DX$8</f>
        <v>0</v>
      </c>
      <c r="C19" s="22">
        <f>[2]Delta!$DX$8</f>
        <v>2</v>
      </c>
      <c r="D19" s="22">
        <f>[2]United!$DX$8</f>
        <v>0</v>
      </c>
      <c r="E19" s="22">
        <f>'[2]US Airways'!$DX$8</f>
        <v>0</v>
      </c>
      <c r="F19" s="22">
        <f>[2]Spirit!$DX$8</f>
        <v>0</v>
      </c>
      <c r="G19" s="22">
        <f>[2]Condor!$DX$8</f>
        <v>0</v>
      </c>
      <c r="H19" s="22">
        <f>'[2]Air France'!$DX$8</f>
        <v>0</v>
      </c>
      <c r="I19" s="22">
        <f>'Other Major Airline Stats'!I20</f>
        <v>69</v>
      </c>
      <c r="J19" s="29">
        <f>SUM(B19:I19)</f>
        <v>71</v>
      </c>
    </row>
    <row r="20" spans="1:10" x14ac:dyDescent="0.2">
      <c r="A20" s="65" t="s">
        <v>29</v>
      </c>
      <c r="B20" s="14">
        <f>[2]American!$DX$9</f>
        <v>0</v>
      </c>
      <c r="C20" s="14">
        <f>[2]Delta!$DX$9</f>
        <v>1</v>
      </c>
      <c r="D20" s="14">
        <f>[2]United!$DX$9</f>
        <v>0</v>
      </c>
      <c r="E20" s="14">
        <f>'[2]US Airways'!$DX$9</f>
        <v>0</v>
      </c>
      <c r="F20" s="14">
        <f>[2]Spirit!$DX$9</f>
        <v>0</v>
      </c>
      <c r="G20" s="14">
        <f>[2]Condor!$DX$9</f>
        <v>0</v>
      </c>
      <c r="H20" s="14">
        <f>'[2]Air France'!$DX$9</f>
        <v>0</v>
      </c>
      <c r="I20" s="14">
        <f>'Other Major Airline Stats'!I21</f>
        <v>63</v>
      </c>
      <c r="J20" s="35">
        <f>SUM(B20:I20)</f>
        <v>64</v>
      </c>
    </row>
    <row r="21" spans="1:10" x14ac:dyDescent="0.2">
      <c r="A21" s="65" t="s">
        <v>30</v>
      </c>
      <c r="B21" s="298">
        <f t="shared" ref="B21:I21" si="6">SUM(B19:B20)</f>
        <v>0</v>
      </c>
      <c r="C21" s="296">
        <f t="shared" si="6"/>
        <v>3</v>
      </c>
      <c r="D21" s="296">
        <f t="shared" si="6"/>
        <v>0</v>
      </c>
      <c r="E21" s="296">
        <f t="shared" si="6"/>
        <v>0</v>
      </c>
      <c r="F21" s="296">
        <f t="shared" si="6"/>
        <v>0</v>
      </c>
      <c r="G21" s="296">
        <f t="shared" ref="G21:H21" si="7">SUM(G19:G20)</f>
        <v>0</v>
      </c>
      <c r="H21" s="296">
        <f t="shared" si="7"/>
        <v>0</v>
      </c>
      <c r="I21" s="296">
        <f t="shared" si="6"/>
        <v>132</v>
      </c>
      <c r="J21" s="180">
        <f>SUM(B21:I21)</f>
        <v>135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8">B17+B21</f>
        <v>699</v>
      </c>
      <c r="C23" s="30">
        <f t="shared" si="8"/>
        <v>9212</v>
      </c>
      <c r="D23" s="30">
        <f t="shared" si="8"/>
        <v>320</v>
      </c>
      <c r="E23" s="30">
        <f t="shared" si="8"/>
        <v>725</v>
      </c>
      <c r="F23" s="30">
        <f>F17+F21</f>
        <v>680</v>
      </c>
      <c r="G23" s="30">
        <f t="shared" ref="G23:H23" si="9">G17+G21</f>
        <v>0</v>
      </c>
      <c r="H23" s="30">
        <f t="shared" si="9"/>
        <v>0</v>
      </c>
      <c r="I23" s="30">
        <f t="shared" si="8"/>
        <v>3292</v>
      </c>
      <c r="J23" s="31">
        <f>SUM(B23:I23)</f>
        <v>14928</v>
      </c>
    </row>
    <row r="25" spans="1:10" ht="13.5" thickBot="1" x14ac:dyDescent="0.25">
      <c r="B25" s="457"/>
      <c r="C25" s="457"/>
      <c r="D25" s="457"/>
      <c r="E25" s="457"/>
      <c r="F25" s="457"/>
      <c r="G25" s="457"/>
      <c r="H25" s="457"/>
      <c r="I25" s="457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[2]American!$DX$47</f>
        <v>20609</v>
      </c>
      <c r="C28" s="22">
        <f>[2]Delta!$DX$47</f>
        <v>3589179</v>
      </c>
      <c r="D28" s="22">
        <f>[2]United!$DX$47</f>
        <v>8494</v>
      </c>
      <c r="E28" s="22">
        <f>'[2]US Airways'!$DX$47</f>
        <v>8622</v>
      </c>
      <c r="F28" s="22">
        <f>[2]Spirit!$DX$47</f>
        <v>0</v>
      </c>
      <c r="G28" s="22">
        <f>[2]Condor!$DX$47</f>
        <v>0</v>
      </c>
      <c r="H28" s="22">
        <f>'[2]Air France'!$DX$47</f>
        <v>0</v>
      </c>
      <c r="I28" s="22">
        <f>'Other Major Airline Stats'!I28</f>
        <v>233471</v>
      </c>
      <c r="J28" s="29">
        <f>SUM(B28:I28)</f>
        <v>3860375</v>
      </c>
    </row>
    <row r="29" spans="1:10" x14ac:dyDescent="0.2">
      <c r="A29" s="65" t="s">
        <v>41</v>
      </c>
      <c r="B29" s="14">
        <f>[2]American!$DX$48</f>
        <v>0</v>
      </c>
      <c r="C29" s="14">
        <f>[2]Delta!$DX$48</f>
        <v>989361</v>
      </c>
      <c r="D29" s="14">
        <f>[2]United!$DX$48</f>
        <v>107887</v>
      </c>
      <c r="E29" s="14">
        <f>'[2]US Airways'!$DX$48</f>
        <v>48917</v>
      </c>
      <c r="F29" s="14">
        <f>[2]Spirit!$DX$48</f>
        <v>0</v>
      </c>
      <c r="G29" s="14">
        <f>[2]Condor!$DX$48</f>
        <v>0</v>
      </c>
      <c r="H29" s="14">
        <f>'[2]Air France'!$DX$48</f>
        <v>0</v>
      </c>
      <c r="I29" s="14">
        <f>'Other Major Airline Stats'!I29</f>
        <v>208273</v>
      </c>
      <c r="J29" s="35">
        <f>SUM(B29:I29)</f>
        <v>1354438</v>
      </c>
    </row>
    <row r="30" spans="1:10" x14ac:dyDescent="0.2">
      <c r="A30" s="69" t="s">
        <v>42</v>
      </c>
      <c r="B30" s="298">
        <f t="shared" ref="B30:I30" si="10">SUM(B28:B29)</f>
        <v>20609</v>
      </c>
      <c r="C30" s="298">
        <f t="shared" si="10"/>
        <v>4578540</v>
      </c>
      <c r="D30" s="298">
        <f t="shared" si="10"/>
        <v>116381</v>
      </c>
      <c r="E30" s="298">
        <f t="shared" si="10"/>
        <v>57539</v>
      </c>
      <c r="F30" s="298">
        <f t="shared" si="10"/>
        <v>0</v>
      </c>
      <c r="G30" s="298">
        <f t="shared" ref="G30:H30" si="11">SUM(G28:G29)</f>
        <v>0</v>
      </c>
      <c r="H30" s="298">
        <f t="shared" si="11"/>
        <v>0</v>
      </c>
      <c r="I30" s="298">
        <f t="shared" si="10"/>
        <v>441744</v>
      </c>
      <c r="J30" s="29">
        <f>SUM(B30:I30)</f>
        <v>5214813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12">SUM(B32:I32)</f>
        <v>0</v>
      </c>
    </row>
    <row r="33" spans="1:10" x14ac:dyDescent="0.2">
      <c r="A33" s="65" t="s">
        <v>40</v>
      </c>
      <c r="B33" s="22">
        <f>[2]American!$DX$52</f>
        <v>11080</v>
      </c>
      <c r="C33" s="22">
        <f>[2]Delta!$DX$52</f>
        <v>3804559</v>
      </c>
      <c r="D33" s="22">
        <f>[2]United!$DX$52</f>
        <v>4356</v>
      </c>
      <c r="E33" s="22">
        <f>'[2]US Airways'!$DX$52</f>
        <v>9882</v>
      </c>
      <c r="F33" s="22">
        <f>[2]Spirit!$DX$52</f>
        <v>0</v>
      </c>
      <c r="G33" s="22">
        <f>[2]Condor!$DX$52</f>
        <v>0</v>
      </c>
      <c r="H33" s="22">
        <f>'[2]Air France'!$DX$52</f>
        <v>0</v>
      </c>
      <c r="I33" s="22">
        <f>'Other Major Airline Stats'!I33</f>
        <v>179689</v>
      </c>
      <c r="J33" s="29">
        <f t="shared" si="12"/>
        <v>4009566</v>
      </c>
    </row>
    <row r="34" spans="1:10" x14ac:dyDescent="0.2">
      <c r="A34" s="65" t="s">
        <v>41</v>
      </c>
      <c r="B34" s="14">
        <f>[2]American!$DX$53</f>
        <v>0</v>
      </c>
      <c r="C34" s="14">
        <f>[2]Delta!$DX$53</f>
        <v>145860</v>
      </c>
      <c r="D34" s="14">
        <f>[2]United!$DX$53</f>
        <v>183063</v>
      </c>
      <c r="E34" s="14">
        <f>'[2]US Airways'!$DX$53</f>
        <v>94940</v>
      </c>
      <c r="F34" s="14">
        <f>[2]Spirit!$DX$53</f>
        <v>0</v>
      </c>
      <c r="G34" s="14">
        <f>[2]Condor!$DX$53</f>
        <v>0</v>
      </c>
      <c r="H34" s="14">
        <f>'[2]Air France'!$DX$53</f>
        <v>0</v>
      </c>
      <c r="I34" s="14">
        <f>'Other Major Airline Stats'!I34</f>
        <v>444246</v>
      </c>
      <c r="J34" s="35">
        <f t="shared" si="12"/>
        <v>868109</v>
      </c>
    </row>
    <row r="35" spans="1:10" x14ac:dyDescent="0.2">
      <c r="A35" s="69" t="s">
        <v>44</v>
      </c>
      <c r="B35" s="298">
        <f t="shared" ref="B35:I35" si="13">SUM(B33:B34)</f>
        <v>11080</v>
      </c>
      <c r="C35" s="298">
        <f t="shared" si="13"/>
        <v>3950419</v>
      </c>
      <c r="D35" s="298">
        <f t="shared" si="13"/>
        <v>187419</v>
      </c>
      <c r="E35" s="298">
        <f t="shared" si="13"/>
        <v>104822</v>
      </c>
      <c r="F35" s="298">
        <f t="shared" si="13"/>
        <v>0</v>
      </c>
      <c r="G35" s="298">
        <f t="shared" ref="G35:H35" si="14">SUM(G33:G34)</f>
        <v>0</v>
      </c>
      <c r="H35" s="298">
        <f t="shared" si="14"/>
        <v>0</v>
      </c>
      <c r="I35" s="298">
        <f t="shared" si="13"/>
        <v>623935</v>
      </c>
      <c r="J35" s="29">
        <f t="shared" si="12"/>
        <v>4877675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12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12"/>
        <v>0</v>
      </c>
    </row>
    <row r="38" spans="1:10" hidden="1" x14ac:dyDescent="0.2">
      <c r="A38" s="65" t="s">
        <v>40</v>
      </c>
      <c r="B38" s="22">
        <f>[2]American!$DX$57</f>
        <v>0</v>
      </c>
      <c r="C38" s="22">
        <f>[2]Delta!$DX$57</f>
        <v>0</v>
      </c>
      <c r="D38" s="22">
        <f>[2]United!$DX$57</f>
        <v>0</v>
      </c>
      <c r="E38" s="22">
        <f>'[2]US Airways'!$DX$57</f>
        <v>0</v>
      </c>
      <c r="F38" s="22">
        <f>[2]Spirit!$DX$57</f>
        <v>0</v>
      </c>
      <c r="G38" s="22">
        <f>[2]Condor!$DX$57</f>
        <v>0</v>
      </c>
      <c r="H38" s="22">
        <f>'[2]Air France'!$DX$57</f>
        <v>0</v>
      </c>
      <c r="I38" s="22">
        <f>'Other Major Airline Stats'!I38</f>
        <v>0</v>
      </c>
      <c r="J38" s="29">
        <f t="shared" si="12"/>
        <v>0</v>
      </c>
    </row>
    <row r="39" spans="1:10" hidden="1" x14ac:dyDescent="0.2">
      <c r="A39" s="65" t="s">
        <v>41</v>
      </c>
      <c r="B39" s="14">
        <f>[2]American!$DX$58</f>
        <v>0</v>
      </c>
      <c r="C39" s="14">
        <f>[2]Delta!$DX$58</f>
        <v>0</v>
      </c>
      <c r="D39" s="14">
        <f>[2]United!$DX$58</f>
        <v>0</v>
      </c>
      <c r="E39" s="14">
        <f>'[2]US Airways'!$DX$58</f>
        <v>0</v>
      </c>
      <c r="F39" s="14">
        <f>[2]Spirit!$DX$58</f>
        <v>0</v>
      </c>
      <c r="G39" s="14">
        <f>[2]Condor!$DX$58</f>
        <v>0</v>
      </c>
      <c r="H39" s="14">
        <f>'[2]Air France'!$DX$58</f>
        <v>0</v>
      </c>
      <c r="I39" s="14">
        <f>'Other Major Airline Stats'!I39</f>
        <v>0</v>
      </c>
      <c r="J39" s="35">
        <f t="shared" si="12"/>
        <v>0</v>
      </c>
    </row>
    <row r="40" spans="1:10" hidden="1" x14ac:dyDescent="0.2">
      <c r="A40" s="69" t="s">
        <v>46</v>
      </c>
      <c r="B40" s="298">
        <f t="shared" ref="B40:I40" si="15">SUM(B38:B39)</f>
        <v>0</v>
      </c>
      <c r="C40" s="298">
        <f t="shared" si="15"/>
        <v>0</v>
      </c>
      <c r="D40" s="298">
        <f t="shared" si="15"/>
        <v>0</v>
      </c>
      <c r="E40" s="298">
        <f t="shared" si="15"/>
        <v>0</v>
      </c>
      <c r="F40" s="298">
        <f t="shared" si="15"/>
        <v>0</v>
      </c>
      <c r="G40" s="298">
        <f t="shared" ref="G40:H40" si="16">SUM(G38:G39)</f>
        <v>0</v>
      </c>
      <c r="H40" s="298">
        <f t="shared" si="16"/>
        <v>0</v>
      </c>
      <c r="I40" s="298">
        <f t="shared" si="15"/>
        <v>0</v>
      </c>
      <c r="J40" s="29">
        <f t="shared" si="12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17">B28+B33+B38</f>
        <v>31689</v>
      </c>
      <c r="C43" s="22">
        <f t="shared" si="17"/>
        <v>7393738</v>
      </c>
      <c r="D43" s="22">
        <f t="shared" si="17"/>
        <v>12850</v>
      </c>
      <c r="E43" s="22">
        <f t="shared" si="17"/>
        <v>18504</v>
      </c>
      <c r="F43" s="22">
        <f>F28+F33+F38</f>
        <v>0</v>
      </c>
      <c r="G43" s="22">
        <f t="shared" ref="G43:H43" si="18">G28+G33+G38</f>
        <v>0</v>
      </c>
      <c r="H43" s="22">
        <f t="shared" si="18"/>
        <v>0</v>
      </c>
      <c r="I43" s="22">
        <f t="shared" si="17"/>
        <v>413160</v>
      </c>
      <c r="J43" s="29">
        <f>SUM(B43:I43)</f>
        <v>7869941</v>
      </c>
    </row>
    <row r="44" spans="1:10" x14ac:dyDescent="0.2">
      <c r="A44" s="65" t="s">
        <v>41</v>
      </c>
      <c r="B44" s="14">
        <f t="shared" si="17"/>
        <v>0</v>
      </c>
      <c r="C44" s="14">
        <f t="shared" si="17"/>
        <v>1135221</v>
      </c>
      <c r="D44" s="14">
        <f t="shared" si="17"/>
        <v>290950</v>
      </c>
      <c r="E44" s="14">
        <f t="shared" si="17"/>
        <v>143857</v>
      </c>
      <c r="F44" s="14">
        <f>F29+F34+F39</f>
        <v>0</v>
      </c>
      <c r="G44" s="14">
        <f t="shared" ref="G44:H44" si="19">G29+G34+G39</f>
        <v>0</v>
      </c>
      <c r="H44" s="14">
        <f t="shared" si="19"/>
        <v>0</v>
      </c>
      <c r="I44" s="14">
        <f t="shared" si="17"/>
        <v>652519</v>
      </c>
      <c r="J44" s="29">
        <f>SUM(B44:I44)</f>
        <v>2222547</v>
      </c>
    </row>
    <row r="45" spans="1:10" ht="15.75" thickBot="1" x14ac:dyDescent="0.3">
      <c r="A45" s="66" t="s">
        <v>49</v>
      </c>
      <c r="B45" s="299">
        <f t="shared" ref="B45:I45" si="20">SUM(B43:B44)</f>
        <v>31689</v>
      </c>
      <c r="C45" s="299">
        <f t="shared" si="20"/>
        <v>8528959</v>
      </c>
      <c r="D45" s="299">
        <f t="shared" si="20"/>
        <v>303800</v>
      </c>
      <c r="E45" s="299">
        <f t="shared" si="20"/>
        <v>162361</v>
      </c>
      <c r="F45" s="299">
        <f t="shared" si="20"/>
        <v>0</v>
      </c>
      <c r="G45" s="299">
        <f t="shared" ref="G45:H45" si="21">SUM(G43:G44)</f>
        <v>0</v>
      </c>
      <c r="H45" s="299">
        <f t="shared" si="21"/>
        <v>0</v>
      </c>
      <c r="I45" s="299">
        <f t="shared" si="20"/>
        <v>1065679</v>
      </c>
      <c r="J45" s="300">
        <f>SUM(B45:I45)</f>
        <v>10092488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10" t="s">
        <v>136</v>
      </c>
      <c r="C47" s="330">
        <f>[2]Delta!$DX$70+[2]Delta!$DX$73</f>
        <v>293178</v>
      </c>
      <c r="D47" s="317"/>
      <c r="E47" s="317"/>
      <c r="F47" s="317"/>
      <c r="G47" s="317"/>
      <c r="H47" s="317"/>
      <c r="I47" s="317"/>
      <c r="J47" s="318">
        <f>SUM(B47:I47)</f>
        <v>293178</v>
      </c>
    </row>
    <row r="48" spans="1:10" hidden="1" x14ac:dyDescent="0.2">
      <c r="A48" s="411" t="s">
        <v>137</v>
      </c>
      <c r="C48" s="330">
        <f>[2]Delta!$DX$71+[2]Delta!$DX$74</f>
        <v>304297</v>
      </c>
      <c r="D48" s="317"/>
      <c r="E48" s="317"/>
      <c r="F48" s="317"/>
      <c r="G48" s="317"/>
      <c r="H48" s="317"/>
      <c r="I48" s="317"/>
      <c r="J48" s="318">
        <f>SUM(B48:I48)</f>
        <v>304297</v>
      </c>
    </row>
    <row r="49" spans="1:10" hidden="1" x14ac:dyDescent="0.2">
      <c r="A49" s="412" t="s">
        <v>138</v>
      </c>
      <c r="C49" s="331">
        <f>SUM(C47:C48)</f>
        <v>597475</v>
      </c>
      <c r="J49" s="318">
        <f>SUM(B49:I49)</f>
        <v>597475</v>
      </c>
    </row>
    <row r="50" spans="1:10" x14ac:dyDescent="0.2">
      <c r="A50" s="410" t="s">
        <v>136</v>
      </c>
      <c r="B50" s="424"/>
      <c r="C50" s="333">
        <f>[2]Delta!$DX$70+[2]Delta!$DX$73</f>
        <v>293178</v>
      </c>
      <c r="D50" s="424"/>
      <c r="E50" s="424"/>
      <c r="F50" s="424"/>
      <c r="G50" s="424"/>
      <c r="H50" s="424"/>
      <c r="I50" s="332">
        <f>'Other Major Airline Stats'!I48</f>
        <v>153093</v>
      </c>
      <c r="J50" s="321">
        <f>SUM(B50:I50)</f>
        <v>446271</v>
      </c>
    </row>
    <row r="51" spans="1:10" x14ac:dyDescent="0.2">
      <c r="A51" s="426" t="s">
        <v>137</v>
      </c>
      <c r="B51" s="424"/>
      <c r="C51" s="333">
        <f>[2]Delta!$DX$71+[2]Delta!$DX$74</f>
        <v>304297</v>
      </c>
      <c r="D51" s="424"/>
      <c r="E51" s="424"/>
      <c r="F51" s="424"/>
      <c r="G51" s="424"/>
      <c r="H51" s="424"/>
      <c r="I51" s="332">
        <f>+'Other Major Airline Stats'!I49</f>
        <v>4697</v>
      </c>
      <c r="J51" s="321">
        <f>SUM(B51:I51)</f>
        <v>308994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D26" sqref="D26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15">
        <v>42005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82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[2]AirTran!$DX$22</f>
        <v>0</v>
      </c>
      <c r="C5" s="150">
        <f>[2]Frontier!$DX$22</f>
        <v>10342</v>
      </c>
      <c r="D5" s="150">
        <f>'[2]Great Lakes'!$DX$22</f>
        <v>396</v>
      </c>
      <c r="E5" s="150">
        <f>[2]Icelandair!$DX$32</f>
        <v>0</v>
      </c>
      <c r="F5" s="122">
        <f>[2]Southwest!$DX$22</f>
        <v>69023</v>
      </c>
      <c r="G5" s="122">
        <f>'[2]Sun Country'!$DX$22+'[2]Sun Country'!$DX$32</f>
        <v>80154</v>
      </c>
      <c r="H5" s="122">
        <f>[2]Alaska!$DX$22</f>
        <v>4952</v>
      </c>
      <c r="I5" s="151">
        <f>SUM(B5:H5)</f>
        <v>164867</v>
      </c>
      <c r="L5" s="134"/>
    </row>
    <row r="6" spans="1:12" x14ac:dyDescent="0.2">
      <c r="A6" s="65" t="s">
        <v>34</v>
      </c>
      <c r="B6" s="302">
        <f>[2]AirTran!$DX$23</f>
        <v>0</v>
      </c>
      <c r="C6" s="150">
        <f>[2]Frontier!$DX$23</f>
        <v>10173</v>
      </c>
      <c r="D6" s="150">
        <f>'[2]Great Lakes'!$DX$23</f>
        <v>369</v>
      </c>
      <c r="E6" s="150">
        <f>[2]Icelandair!$DX$33</f>
        <v>0</v>
      </c>
      <c r="F6" s="122">
        <f>[2]Southwest!$DX$23</f>
        <v>71723</v>
      </c>
      <c r="G6" s="122">
        <f>'[2]Sun Country'!$DX$23+'[2]Sun Country'!$DX$33</f>
        <v>86067</v>
      </c>
      <c r="H6" s="122">
        <f>[2]Alaska!$DX$23</f>
        <v>4833</v>
      </c>
      <c r="I6" s="151">
        <f>SUM(B6:H6)</f>
        <v>173165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20515</v>
      </c>
      <c r="D7" s="159">
        <f t="shared" si="0"/>
        <v>765</v>
      </c>
      <c r="E7" s="159">
        <f t="shared" si="0"/>
        <v>0</v>
      </c>
      <c r="F7" s="159">
        <f t="shared" si="0"/>
        <v>140746</v>
      </c>
      <c r="G7" s="159">
        <f>SUM(G5:G6)</f>
        <v>166221</v>
      </c>
      <c r="H7" s="159">
        <f t="shared" si="0"/>
        <v>9785</v>
      </c>
      <c r="I7" s="160">
        <f>SUM(B7:H7)</f>
        <v>338032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[2]AirTran!$DX$27</f>
        <v>0</v>
      </c>
      <c r="C10" s="158">
        <f>[2]Frontier!$DX$27</f>
        <v>73</v>
      </c>
      <c r="D10" s="158">
        <f>'[2]Great Lakes'!$DX$27</f>
        <v>58</v>
      </c>
      <c r="E10" s="158">
        <f>[2]Icelandair!$DX$37</f>
        <v>0</v>
      </c>
      <c r="F10" s="158">
        <f>[2]Southwest!$DX$27</f>
        <v>1266</v>
      </c>
      <c r="G10" s="158">
        <f>'[2]Sun Country'!$DX$27+'[2]Sun Country'!$DX$37</f>
        <v>1670</v>
      </c>
      <c r="H10" s="158">
        <f>[2]Alaska!$DX$27</f>
        <v>178</v>
      </c>
      <c r="I10" s="151">
        <f>SUM(B10:H10)</f>
        <v>3245</v>
      </c>
    </row>
    <row r="11" spans="1:12" x14ac:dyDescent="0.2">
      <c r="A11" s="65" t="s">
        <v>36</v>
      </c>
      <c r="B11" s="14">
        <f>[2]AirTran!$DX$28</f>
        <v>0</v>
      </c>
      <c r="C11" s="161">
        <f>[2]Frontier!$DX$28</f>
        <v>145</v>
      </c>
      <c r="D11" s="161">
        <f>'[2]Great Lakes'!$DX$28</f>
        <v>50</v>
      </c>
      <c r="E11" s="161">
        <f>[2]Icelandair!$DX$38</f>
        <v>0</v>
      </c>
      <c r="F11" s="161">
        <f>[2]Southwest!$DX$28</f>
        <v>1251</v>
      </c>
      <c r="G11" s="161">
        <f>'[2]Sun Country'!$DX$28+'[2]Sun Country'!$DX$38</f>
        <v>1671</v>
      </c>
      <c r="H11" s="161">
        <f>[2]Alaska!$DX$28</f>
        <v>243</v>
      </c>
      <c r="I11" s="151">
        <f>SUM(B11:H11)</f>
        <v>3360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218</v>
      </c>
      <c r="D12" s="154">
        <f t="shared" si="1"/>
        <v>108</v>
      </c>
      <c r="E12" s="154">
        <f t="shared" si="1"/>
        <v>0</v>
      </c>
      <c r="F12" s="154">
        <f t="shared" si="1"/>
        <v>2517</v>
      </c>
      <c r="G12" s="154">
        <f>SUM(G10:G11)</f>
        <v>3341</v>
      </c>
      <c r="H12" s="154">
        <f t="shared" si="1"/>
        <v>421</v>
      </c>
      <c r="I12" s="162">
        <f>SUM(B12:H12)</f>
        <v>6605</v>
      </c>
      <c r="L12" s="134"/>
    </row>
    <row r="13" spans="1:12" ht="15" x14ac:dyDescent="0.25">
      <c r="A13" s="62"/>
      <c r="B13" s="303"/>
      <c r="C13" s="303"/>
      <c r="D13" s="303"/>
      <c r="E13" s="303"/>
      <c r="F13" s="303"/>
      <c r="G13" s="303"/>
      <c r="H13" s="303"/>
      <c r="I13" s="304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[2]AirTran!$DX$4</f>
        <v>0</v>
      </c>
      <c r="C16" s="150">
        <f>[2]Frontier!$DX$4</f>
        <v>73</v>
      </c>
      <c r="D16" s="150">
        <f>'[2]Great Lakes'!$DX$4</f>
        <v>106</v>
      </c>
      <c r="E16" s="150">
        <f>[2]Icelandair!$DX$15</f>
        <v>0</v>
      </c>
      <c r="F16" s="109">
        <f>[2]Southwest!$DX$4</f>
        <v>642</v>
      </c>
      <c r="G16" s="122">
        <f>'[2]Sun Country'!$DX$4+'[2]Sun Country'!$DX$15</f>
        <v>723</v>
      </c>
      <c r="H16" s="122">
        <f>[2]Alaska!$DX$4</f>
        <v>35</v>
      </c>
      <c r="I16" s="151">
        <f>SUM(B16:H16)</f>
        <v>1579</v>
      </c>
    </row>
    <row r="17" spans="1:256" x14ac:dyDescent="0.2">
      <c r="A17" s="65" t="s">
        <v>26</v>
      </c>
      <c r="B17" s="14">
        <f>[2]AirTran!$DX$5</f>
        <v>0</v>
      </c>
      <c r="C17" s="150">
        <f>[2]Frontier!$DX$5</f>
        <v>73</v>
      </c>
      <c r="D17" s="150">
        <f>'[2]Great Lakes'!$DX$5</f>
        <v>106</v>
      </c>
      <c r="E17" s="150">
        <f>[2]Icelandair!$DX$16</f>
        <v>0</v>
      </c>
      <c r="F17" s="109">
        <f>[2]Southwest!$DX$5</f>
        <v>638</v>
      </c>
      <c r="G17" s="122">
        <f>'[2]Sun Country'!$DX$5+'[2]Sun Country'!$DX$16</f>
        <v>729</v>
      </c>
      <c r="H17" s="122">
        <f>[2]Alaska!$DX$5</f>
        <v>35</v>
      </c>
      <c r="I17" s="151">
        <f>SUM(B17:H17)</f>
        <v>1581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146</v>
      </c>
      <c r="D18" s="152">
        <f t="shared" si="2"/>
        <v>212</v>
      </c>
      <c r="E18" s="152">
        <f t="shared" si="2"/>
        <v>0</v>
      </c>
      <c r="F18" s="152">
        <f t="shared" si="2"/>
        <v>1280</v>
      </c>
      <c r="G18" s="152">
        <f t="shared" si="2"/>
        <v>1452</v>
      </c>
      <c r="H18" s="152">
        <f t="shared" si="2"/>
        <v>70</v>
      </c>
      <c r="I18" s="153">
        <f>SUM(B18:H18)</f>
        <v>3160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[2]AirTran!$DX$8</f>
        <v>0</v>
      </c>
      <c r="C20" s="150">
        <f>[2]Frontier!$DX$8</f>
        <v>0</v>
      </c>
      <c r="D20" s="150">
        <f>'[2]Great Lakes'!$DX$8</f>
        <v>0</v>
      </c>
      <c r="E20" s="150">
        <f>[2]Icelandair!$DX$8</f>
        <v>0</v>
      </c>
      <c r="F20" s="122">
        <f>[2]Southwest!$DX$8</f>
        <v>0</v>
      </c>
      <c r="G20" s="122">
        <f>'[2]Sun Country'!$DX$8</f>
        <v>69</v>
      </c>
      <c r="H20" s="122">
        <f>[2]Alaska!$DX$8</f>
        <v>0</v>
      </c>
      <c r="I20" s="151">
        <f>SUM(B20:H20)</f>
        <v>69</v>
      </c>
    </row>
    <row r="21" spans="1:256" x14ac:dyDescent="0.2">
      <c r="A21" s="65" t="s">
        <v>29</v>
      </c>
      <c r="B21" s="14">
        <f>[2]AirTran!$DX$9</f>
        <v>0</v>
      </c>
      <c r="C21" s="150">
        <f>[2]Frontier!$DX$9</f>
        <v>0</v>
      </c>
      <c r="D21" s="150">
        <f>'[2]Great Lakes'!$DX$9</f>
        <v>0</v>
      </c>
      <c r="E21" s="150">
        <f>[2]Icelandair!$DX$9</f>
        <v>0</v>
      </c>
      <c r="F21" s="122">
        <f>[2]Southwest!$DX$9</f>
        <v>0</v>
      </c>
      <c r="G21" s="122">
        <f>'[2]Sun Country'!$DX$9</f>
        <v>63</v>
      </c>
      <c r="H21" s="122">
        <f>[2]Alaska!$DX$9</f>
        <v>0</v>
      </c>
      <c r="I21" s="151">
        <f>SUM(B21:H21)</f>
        <v>63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132</v>
      </c>
      <c r="H22" s="152">
        <f t="shared" si="3"/>
        <v>0</v>
      </c>
      <c r="I22" s="153">
        <f>SUM(B22:H22)</f>
        <v>132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146</v>
      </c>
      <c r="D23" s="154">
        <f t="shared" si="4"/>
        <v>212</v>
      </c>
      <c r="E23" s="154">
        <f t="shared" si="4"/>
        <v>0</v>
      </c>
      <c r="F23" s="154">
        <f t="shared" si="4"/>
        <v>1280</v>
      </c>
      <c r="G23" s="154">
        <f t="shared" si="4"/>
        <v>1584</v>
      </c>
      <c r="H23" s="154">
        <f t="shared" si="4"/>
        <v>70</v>
      </c>
      <c r="I23" s="155">
        <f>SUM(B23:H23)</f>
        <v>3292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7"/>
      <c r="C25" s="457"/>
      <c r="D25" s="457"/>
      <c r="E25" s="457"/>
      <c r="F25" s="457"/>
      <c r="G25" s="457"/>
      <c r="H25" s="457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[2]AirTran!$DX$47</f>
        <v>0</v>
      </c>
      <c r="C28" s="150">
        <f>[2]Frontier!$DX$47</f>
        <v>0</v>
      </c>
      <c r="D28" s="150">
        <f>'[2]Great Lakes'!$DX$47</f>
        <v>13</v>
      </c>
      <c r="E28" s="150">
        <f>[2]Icelandair!$DX$47</f>
        <v>0</v>
      </c>
      <c r="F28" s="122">
        <f>[2]Southwest!$DX$47</f>
        <v>206060</v>
      </c>
      <c r="G28" s="122">
        <f>'[2]Sun Country'!$DX$47</f>
        <v>25012</v>
      </c>
      <c r="H28" s="122">
        <f>[2]Alaska!$DX$47</f>
        <v>2386</v>
      </c>
      <c r="I28" s="151">
        <f>SUM(B28:H28)</f>
        <v>233471</v>
      </c>
    </row>
    <row r="29" spans="1:256" x14ac:dyDescent="0.2">
      <c r="A29" s="65" t="s">
        <v>41</v>
      </c>
      <c r="B29" s="14">
        <f>[2]AirTran!$DX$48</f>
        <v>0</v>
      </c>
      <c r="C29" s="150">
        <f>[2]Frontier!$DX$48</f>
        <v>0</v>
      </c>
      <c r="D29" s="150">
        <f>'[2]Great Lakes'!$DX$48</f>
        <v>0</v>
      </c>
      <c r="E29" s="150">
        <f>[2]Icelandair!$DX$48</f>
        <v>0</v>
      </c>
      <c r="F29" s="122">
        <f>[2]Southwest!$DX$48</f>
        <v>0</v>
      </c>
      <c r="G29" s="122">
        <f>'[2]Sun Country'!$DX$48</f>
        <v>208273</v>
      </c>
      <c r="H29" s="122">
        <f>[2]Alaska!$DX$48</f>
        <v>0</v>
      </c>
      <c r="I29" s="151">
        <f>SUM(B29:H29)</f>
        <v>208273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13</v>
      </c>
      <c r="E30" s="166">
        <f t="shared" si="5"/>
        <v>0</v>
      </c>
      <c r="F30" s="166">
        <f t="shared" si="5"/>
        <v>206060</v>
      </c>
      <c r="G30" s="166">
        <f t="shared" si="5"/>
        <v>233285</v>
      </c>
      <c r="H30" s="166">
        <f t="shared" si="5"/>
        <v>2386</v>
      </c>
      <c r="I30" s="169">
        <f>SUM(B30:H30)</f>
        <v>441744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[2]AirTran!$DX$52</f>
        <v>0</v>
      </c>
      <c r="C33" s="150">
        <f>[2]Frontier!$DX$52</f>
        <v>0</v>
      </c>
      <c r="D33" s="150">
        <f>'[2]Great Lakes'!$DX$52</f>
        <v>0</v>
      </c>
      <c r="E33" s="150">
        <f>[2]Icelandair!$DX$52</f>
        <v>0</v>
      </c>
      <c r="F33" s="122">
        <f>[2]Southwest!$DX$52</f>
        <v>135795</v>
      </c>
      <c r="G33" s="122">
        <f>'[2]Sun Country'!$DX$52</f>
        <v>40501</v>
      </c>
      <c r="H33" s="122">
        <f>[2]Alaska!$DX$52</f>
        <v>3393</v>
      </c>
      <c r="I33" s="151">
        <f>SUM(B33:H33)</f>
        <v>179689</v>
      </c>
    </row>
    <row r="34" spans="1:9" x14ac:dyDescent="0.2">
      <c r="A34" s="65" t="s">
        <v>41</v>
      </c>
      <c r="B34" s="14">
        <f>[2]AirTran!$DX$53</f>
        <v>0</v>
      </c>
      <c r="C34" s="150">
        <f>[2]Frontier!$DX$53</f>
        <v>0</v>
      </c>
      <c r="D34" s="150">
        <f>'[2]Great Lakes'!$DX$53</f>
        <v>0</v>
      </c>
      <c r="E34" s="150">
        <f>[2]Icelandair!$DX$53</f>
        <v>0</v>
      </c>
      <c r="F34" s="122">
        <f>[2]Southwest!$DX$53</f>
        <v>0</v>
      </c>
      <c r="G34" s="122">
        <f>'[2]Sun Country'!$DX$53</f>
        <v>444246</v>
      </c>
      <c r="H34" s="122">
        <f>[2]Alaska!$DX$53</f>
        <v>0</v>
      </c>
      <c r="I34" s="167">
        <f>SUM(B34:H34)</f>
        <v>444246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135795</v>
      </c>
      <c r="G35" s="168">
        <f t="shared" si="6"/>
        <v>484747</v>
      </c>
      <c r="H35" s="168">
        <f t="shared" si="6"/>
        <v>3393</v>
      </c>
      <c r="I35" s="169">
        <f>SUM(B35:H35)</f>
        <v>623935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[2]AirTran!$DX$57</f>
        <v>0</v>
      </c>
      <c r="C38" s="158">
        <f>[2]Frontier!$DX$57</f>
        <v>0</v>
      </c>
      <c r="D38" s="158">
        <f>'[2]Great Lakes'!$DX$57</f>
        <v>0</v>
      </c>
      <c r="E38" s="158">
        <f>[2]Icelandair!$DX$57</f>
        <v>0</v>
      </c>
      <c r="F38" s="158">
        <f>[2]Southwest!$DX$57</f>
        <v>0</v>
      </c>
      <c r="G38" s="158">
        <f>'[2]Sun Country'!$DX$57</f>
        <v>0</v>
      </c>
      <c r="H38" s="158">
        <f>[2]Alaska!$DX$57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[2]AirTran!$DX$58</f>
        <v>0</v>
      </c>
      <c r="C39" s="161">
        <f>[2]Frontier!$DX$58</f>
        <v>0</v>
      </c>
      <c r="D39" s="161">
        <f>'[2]Great Lakes'!$DX$58</f>
        <v>0</v>
      </c>
      <c r="E39" s="161">
        <f>[2]Icelandair!$DX$58</f>
        <v>0</v>
      </c>
      <c r="F39" s="161">
        <f>[2]Southwest!$DX$58</f>
        <v>0</v>
      </c>
      <c r="G39" s="161">
        <f>'[2]Sun Country'!$DX$58</f>
        <v>0</v>
      </c>
      <c r="H39" s="161">
        <f>[2]Alaska!$DX$58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13</v>
      </c>
      <c r="E43" s="158">
        <f t="shared" si="8"/>
        <v>0</v>
      </c>
      <c r="F43" s="158">
        <f t="shared" si="8"/>
        <v>341855</v>
      </c>
      <c r="G43" s="158">
        <f t="shared" si="8"/>
        <v>65513</v>
      </c>
      <c r="H43" s="158">
        <f t="shared" si="8"/>
        <v>5779</v>
      </c>
      <c r="I43" s="151">
        <f>SUM(B43:H43)</f>
        <v>413160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652519</v>
      </c>
      <c r="H44" s="161">
        <f t="shared" si="9"/>
        <v>0</v>
      </c>
      <c r="I44" s="151">
        <f>SUM(B44:H44)</f>
        <v>652519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13</v>
      </c>
      <c r="E45" s="171">
        <f t="shared" si="10"/>
        <v>0</v>
      </c>
      <c r="F45" s="171">
        <f t="shared" si="10"/>
        <v>341855</v>
      </c>
      <c r="G45" s="171">
        <f t="shared" si="10"/>
        <v>718032</v>
      </c>
      <c r="H45" s="171">
        <f t="shared" si="10"/>
        <v>5779</v>
      </c>
      <c r="I45" s="172">
        <f>SUM(B45:H45)</f>
        <v>1065679</v>
      </c>
    </row>
    <row r="48" spans="1:9" x14ac:dyDescent="0.2">
      <c r="A48" s="410" t="s">
        <v>136</v>
      </c>
      <c r="B48" s="424"/>
      <c r="C48" s="424"/>
      <c r="D48" s="424"/>
      <c r="F48" s="333">
        <f>[2]Southwest!$DX$70+[2]Southwest!$DX$73</f>
        <v>71171</v>
      </c>
      <c r="G48" s="333">
        <f>'[2]Sun Country'!$DX$70+'[2]Sun Country'!$DX$73</f>
        <v>81922</v>
      </c>
      <c r="H48" s="424"/>
      <c r="I48" s="321">
        <f>SUM(B48:H48)</f>
        <v>153093</v>
      </c>
    </row>
    <row r="49" spans="1:9" x14ac:dyDescent="0.2">
      <c r="A49" s="426" t="s">
        <v>137</v>
      </c>
      <c r="B49" s="424"/>
      <c r="C49" s="424"/>
      <c r="D49" s="424"/>
      <c r="F49" s="333">
        <f>[2]Southwest!$DX$71+[2]Southwest!$DX$74</f>
        <v>552</v>
      </c>
      <c r="G49" s="333">
        <f>'[2]Sun Country'!$DX$71+'[2]Sun Country'!$DX$74</f>
        <v>4145</v>
      </c>
      <c r="H49" s="424"/>
      <c r="I49" s="321">
        <f>SUM(B49:H49)</f>
        <v>4697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activeCell="C18" sqref="C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22"/>
    </row>
    <row r="2" spans="1:11" s="7" customFormat="1" ht="39" thickBot="1" x14ac:dyDescent="0.25">
      <c r="A2" s="415">
        <v>42005</v>
      </c>
      <c r="B2" s="19" t="s">
        <v>192</v>
      </c>
      <c r="C2" s="19" t="s">
        <v>197</v>
      </c>
      <c r="D2" s="19" t="s">
        <v>212</v>
      </c>
      <c r="E2" s="19" t="s">
        <v>196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9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[2]Pinnacle!$DX$22+[2]Pinnacle!$DX$32</f>
        <v>147052</v>
      </c>
      <c r="C5" s="136">
        <f>[2]Chautaqua_Continental!$DX$22</f>
        <v>0</v>
      </c>
      <c r="D5" s="136">
        <f>[2]Chautaqua_AA!$DX$22</f>
        <v>0</v>
      </c>
      <c r="E5" s="136">
        <f>[2]MESA_UA!$DX$22</f>
        <v>4768</v>
      </c>
      <c r="F5" s="134">
        <f>'[2]Sky West'!$DX$22+'[2]Sky West'!$DX$32</f>
        <v>72194</v>
      </c>
      <c r="G5" s="134">
        <f>'[2]Sky West_UA'!$DX$22</f>
        <v>9053</v>
      </c>
      <c r="H5" s="134">
        <f>[2]Republic!$DX$22</f>
        <v>1624</v>
      </c>
      <c r="I5" s="134">
        <f>'[2]American Eagle'!$DX$22</f>
        <v>6242</v>
      </c>
      <c r="J5" s="134">
        <f>'Other Regional'!L5</f>
        <v>95777</v>
      </c>
      <c r="K5" s="113">
        <f>SUM(B5:J5)</f>
        <v>336710</v>
      </c>
    </row>
    <row r="6" spans="1:11" s="10" customFormat="1" x14ac:dyDescent="0.2">
      <c r="A6" s="65" t="s">
        <v>34</v>
      </c>
      <c r="B6" s="135">
        <f>[2]Pinnacle!$DX$23+[2]Pinnacle!$DX$33</f>
        <v>144651</v>
      </c>
      <c r="C6" s="136">
        <f>[2]Chautaqua_Continental!$DX$23</f>
        <v>0</v>
      </c>
      <c r="D6" s="136">
        <f>[2]Chautaqua_AA!$DX$23</f>
        <v>0</v>
      </c>
      <c r="E6" s="136">
        <f>[2]MESA_UA!$DX$23</f>
        <v>4692</v>
      </c>
      <c r="F6" s="134">
        <f>'[2]Sky West'!$DX$23+'[2]Sky West'!$DX$33</f>
        <v>71682</v>
      </c>
      <c r="G6" s="134">
        <f>'[2]Sky West_UA'!$DX$23</f>
        <v>9296</v>
      </c>
      <c r="H6" s="134">
        <f>[2]Republic!$DX$23</f>
        <v>1568</v>
      </c>
      <c r="I6" s="134">
        <f>'[2]American Eagle'!$DX$23</f>
        <v>6199</v>
      </c>
      <c r="J6" s="134">
        <f>'Other Regional'!L6</f>
        <v>99165</v>
      </c>
      <c r="K6" s="119">
        <f>SUM(B6:J6)</f>
        <v>337253</v>
      </c>
    </row>
    <row r="7" spans="1:11" ht="15" thickBot="1" x14ac:dyDescent="0.25">
      <c r="A7" s="76" t="s">
        <v>7</v>
      </c>
      <c r="B7" s="137">
        <f>SUM(B5:B6)</f>
        <v>291703</v>
      </c>
      <c r="C7" s="137">
        <f t="shared" ref="C7:J7" si="0">SUM(C5:C6)</f>
        <v>0</v>
      </c>
      <c r="D7" s="137">
        <f t="shared" ref="D7" si="1">SUM(D5:D6)</f>
        <v>0</v>
      </c>
      <c r="E7" s="137">
        <f t="shared" si="0"/>
        <v>9460</v>
      </c>
      <c r="F7" s="137">
        <f t="shared" si="0"/>
        <v>143876</v>
      </c>
      <c r="G7" s="137">
        <f t="shared" si="0"/>
        <v>18349</v>
      </c>
      <c r="H7" s="137">
        <f t="shared" si="0"/>
        <v>3192</v>
      </c>
      <c r="I7" s="137">
        <f t="shared" si="0"/>
        <v>12441</v>
      </c>
      <c r="J7" s="137">
        <f t="shared" si="0"/>
        <v>194942</v>
      </c>
      <c r="K7" s="138">
        <f>SUM(B7:J7)</f>
        <v>673963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[2]Pinnacle!$DX$27+[2]Pinnacle!$DX$37</f>
        <v>5153</v>
      </c>
      <c r="C10" s="136">
        <f>[2]Chautaqua_Continental!$DX$27</f>
        <v>0</v>
      </c>
      <c r="D10" s="136">
        <f>[2]Chautaqua_AA!$DX$27</f>
        <v>0</v>
      </c>
      <c r="E10" s="136">
        <f>[2]MESA_UA!$DX$27</f>
        <v>149</v>
      </c>
      <c r="F10" s="134">
        <f>'[2]Sky West'!$DX$27+'[2]Sky West'!$DX$37</f>
        <v>3050</v>
      </c>
      <c r="G10" s="134">
        <f>'[2]Sky West_UA'!$DX$27</f>
        <v>265</v>
      </c>
      <c r="H10" s="134">
        <f>[2]Republic!$DX$27</f>
        <v>0</v>
      </c>
      <c r="I10" s="134">
        <f>'[2]American Eagle'!$DX$27</f>
        <v>131</v>
      </c>
      <c r="J10" s="134">
        <f>'Other Regional'!L10</f>
        <v>3145</v>
      </c>
      <c r="K10" s="113">
        <f>SUM(B10:J10)</f>
        <v>11893</v>
      </c>
    </row>
    <row r="11" spans="1:11" x14ac:dyDescent="0.2">
      <c r="A11" s="65" t="s">
        <v>36</v>
      </c>
      <c r="B11" s="135">
        <f>[2]Pinnacle!$DX$28+[2]Pinnacle!$DX$38</f>
        <v>5351</v>
      </c>
      <c r="C11" s="136">
        <f>[2]Chautaqua_Continental!$DX$28</f>
        <v>0</v>
      </c>
      <c r="D11" s="136">
        <f>[2]Chautaqua_AA!$DX$28</f>
        <v>0</v>
      </c>
      <c r="E11" s="136">
        <f>[2]MESA_UA!$DX$28</f>
        <v>188</v>
      </c>
      <c r="F11" s="134">
        <f>'[2]Sky West'!$DX$28+'[2]Sky West'!$DX$38</f>
        <v>3023</v>
      </c>
      <c r="G11" s="134">
        <f>'[2]Sky West_UA'!$DX$28</f>
        <v>274</v>
      </c>
      <c r="H11" s="134">
        <f>[2]Republic!$DX$28</f>
        <v>0</v>
      </c>
      <c r="I11" s="134">
        <f>'[2]American Eagle'!$DX$28</f>
        <v>90</v>
      </c>
      <c r="J11" s="134">
        <f>'Other Regional'!L11</f>
        <v>2961</v>
      </c>
      <c r="K11" s="119">
        <f>SUM(B11:J11)</f>
        <v>11887</v>
      </c>
    </row>
    <row r="12" spans="1:11" ht="15" thickBot="1" x14ac:dyDescent="0.25">
      <c r="A12" s="77" t="s">
        <v>37</v>
      </c>
      <c r="B12" s="140">
        <f t="shared" ref="B12:J12" si="2">SUM(B10:B11)</f>
        <v>10504</v>
      </c>
      <c r="C12" s="140">
        <f t="shared" si="2"/>
        <v>0</v>
      </c>
      <c r="D12" s="140">
        <f t="shared" ref="D12" si="3">SUM(D10:D11)</f>
        <v>0</v>
      </c>
      <c r="E12" s="140">
        <f t="shared" si="2"/>
        <v>337</v>
      </c>
      <c r="F12" s="140">
        <f t="shared" si="2"/>
        <v>6073</v>
      </c>
      <c r="G12" s="140">
        <f t="shared" si="2"/>
        <v>539</v>
      </c>
      <c r="H12" s="140">
        <f t="shared" si="2"/>
        <v>0</v>
      </c>
      <c r="I12" s="140">
        <f t="shared" si="2"/>
        <v>221</v>
      </c>
      <c r="J12" s="140">
        <f t="shared" si="2"/>
        <v>6106</v>
      </c>
      <c r="K12" s="141">
        <f>SUM(B12:J12)</f>
        <v>23780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4">SUM(B14:J14)</f>
        <v>0</v>
      </c>
    </row>
    <row r="15" spans="1:11" x14ac:dyDescent="0.2">
      <c r="A15" s="65" t="s">
        <v>59</v>
      </c>
      <c r="B15" s="22">
        <f>[2]Pinnacle!$DX$4+[2]Pinnacle!$DX$15</f>
        <v>2894</v>
      </c>
      <c r="C15" s="111">
        <f>[2]Chautaqua_Continental!$DX$4</f>
        <v>0</v>
      </c>
      <c r="D15" s="111">
        <f>[2]Chautaqua_AA!$DX$4</f>
        <v>0</v>
      </c>
      <c r="E15" s="111">
        <f>[2]MESA_UA!$DX$4</f>
        <v>75</v>
      </c>
      <c r="F15" s="109">
        <f>'[2]Sky West'!$DX$4+'[2]Sky West'!$DX$15</f>
        <v>1852</v>
      </c>
      <c r="G15" s="109">
        <f>'[2]Sky West_UA'!$DX$4</f>
        <v>145</v>
      </c>
      <c r="H15" s="112">
        <f>[2]Republic!$DX$4</f>
        <v>26</v>
      </c>
      <c r="I15" s="112">
        <f>'[2]American Eagle'!$DX$4</f>
        <v>105</v>
      </c>
      <c r="J15" s="110">
        <f>'Other Regional'!L15</f>
        <v>1908</v>
      </c>
      <c r="K15" s="113">
        <f t="shared" si="4"/>
        <v>7005</v>
      </c>
    </row>
    <row r="16" spans="1:11" x14ac:dyDescent="0.2">
      <c r="A16" s="65" t="s">
        <v>60</v>
      </c>
      <c r="B16" s="14">
        <f>[2]Pinnacle!$DX$5+[2]Pinnacle!$DX$16</f>
        <v>2888</v>
      </c>
      <c r="C16" s="116">
        <f>[2]Chautaqua_Continental!$DX$5</f>
        <v>0</v>
      </c>
      <c r="D16" s="116">
        <f>[2]Chautaqua_AA!$DX$5</f>
        <v>0</v>
      </c>
      <c r="E16" s="116">
        <f>[2]MESA_UA!$DX$5</f>
        <v>75</v>
      </c>
      <c r="F16" s="114">
        <f>'[2]Sky West'!$DX$5+'[2]Sky West'!$DX$16</f>
        <v>1847</v>
      </c>
      <c r="G16" s="114">
        <f>'[2]Sky West_UA'!$DX$5</f>
        <v>145</v>
      </c>
      <c r="H16" s="117">
        <f>[2]Republic!$DX$5</f>
        <v>26</v>
      </c>
      <c r="I16" s="117">
        <f>'[2]American Eagle'!$DX$5</f>
        <v>106</v>
      </c>
      <c r="J16" s="115">
        <f>'Other Regional'!L16</f>
        <v>1906</v>
      </c>
      <c r="K16" s="119">
        <f t="shared" si="4"/>
        <v>6993</v>
      </c>
    </row>
    <row r="17" spans="1:11" x14ac:dyDescent="0.2">
      <c r="A17" s="74" t="s">
        <v>61</v>
      </c>
      <c r="B17" s="120">
        <f t="shared" ref="B17:I17" si="5">SUM(B15:B16)</f>
        <v>5782</v>
      </c>
      <c r="C17" s="120">
        <f>SUM(C15:C16)</f>
        <v>0</v>
      </c>
      <c r="D17" s="120">
        <f>SUM(D15:D16)</f>
        <v>0</v>
      </c>
      <c r="E17" s="120">
        <f t="shared" si="5"/>
        <v>150</v>
      </c>
      <c r="F17" s="120">
        <f t="shared" si="5"/>
        <v>3699</v>
      </c>
      <c r="G17" s="120">
        <f t="shared" si="5"/>
        <v>290</v>
      </c>
      <c r="H17" s="120">
        <f t="shared" si="5"/>
        <v>52</v>
      </c>
      <c r="I17" s="120">
        <f t="shared" si="5"/>
        <v>211</v>
      </c>
      <c r="J17" s="120">
        <f>SUM(J15:J16)</f>
        <v>3814</v>
      </c>
      <c r="K17" s="121">
        <f t="shared" si="4"/>
        <v>13998</v>
      </c>
    </row>
    <row r="18" spans="1:11" x14ac:dyDescent="0.2">
      <c r="A18" s="65" t="s">
        <v>62</v>
      </c>
      <c r="B18" s="122">
        <f>[2]Pinnacle!$DX$8</f>
        <v>0</v>
      </c>
      <c r="C18" s="123">
        <f>[2]Chautaqua_Continental!$DX$8</f>
        <v>0</v>
      </c>
      <c r="D18" s="123">
        <f>[2]Chautaqua_AA!$DX$8</f>
        <v>0</v>
      </c>
      <c r="E18" s="123">
        <f>[2]MESA_UA!$DX$8</f>
        <v>0</v>
      </c>
      <c r="F18" s="122">
        <f>'[2]Sky West'!$DX$8</f>
        <v>0</v>
      </c>
      <c r="G18" s="122">
        <f>'[2]Sky West_UA'!$DX$8</f>
        <v>0</v>
      </c>
      <c r="H18" s="122">
        <f>[2]Republic!$DX$8</f>
        <v>0</v>
      </c>
      <c r="I18" s="122">
        <f>'[2]American Eagle'!$DX$8</f>
        <v>0</v>
      </c>
      <c r="J18" s="122">
        <f>'Other Regional'!L18</f>
        <v>0</v>
      </c>
      <c r="K18" s="113">
        <f t="shared" si="4"/>
        <v>0</v>
      </c>
    </row>
    <row r="19" spans="1:11" x14ac:dyDescent="0.2">
      <c r="A19" s="65" t="s">
        <v>63</v>
      </c>
      <c r="B19" s="124">
        <f>[2]Pinnacle!$DX$9</f>
        <v>4</v>
      </c>
      <c r="C19" s="125">
        <f>[2]Chautaqua_Continental!$DX$9</f>
        <v>0</v>
      </c>
      <c r="D19" s="125">
        <f>[2]Chautaqua_AA!$DX$9</f>
        <v>0</v>
      </c>
      <c r="E19" s="125">
        <f>[2]MESA_UA!$DX$9</f>
        <v>0</v>
      </c>
      <c r="F19" s="124">
        <f>'[2]Sky West'!$DX$9</f>
        <v>4</v>
      </c>
      <c r="G19" s="124">
        <f>'[2]Sky West_UA'!$DX$9</f>
        <v>0</v>
      </c>
      <c r="H19" s="124">
        <f>[2]Republic!$DX$9</f>
        <v>0</v>
      </c>
      <c r="I19" s="124">
        <f>'[2]American Eagle'!$DX$9</f>
        <v>0</v>
      </c>
      <c r="J19" s="124">
        <f>'Other Regional'!L19</f>
        <v>3</v>
      </c>
      <c r="K19" s="119">
        <f t="shared" si="4"/>
        <v>11</v>
      </c>
    </row>
    <row r="20" spans="1:11" x14ac:dyDescent="0.2">
      <c r="A20" s="74" t="s">
        <v>64</v>
      </c>
      <c r="B20" s="120">
        <f t="shared" ref="B20:J20" si="6">SUM(B18:B19)</f>
        <v>4</v>
      </c>
      <c r="C20" s="120">
        <f t="shared" si="6"/>
        <v>0</v>
      </c>
      <c r="D20" s="120">
        <f t="shared" ref="D20" si="7">SUM(D18:D19)</f>
        <v>0</v>
      </c>
      <c r="E20" s="120">
        <f t="shared" si="6"/>
        <v>0</v>
      </c>
      <c r="F20" s="120">
        <f t="shared" si="6"/>
        <v>4</v>
      </c>
      <c r="G20" s="120">
        <f t="shared" si="6"/>
        <v>0</v>
      </c>
      <c r="H20" s="120">
        <f t="shared" si="6"/>
        <v>0</v>
      </c>
      <c r="I20" s="120">
        <f t="shared" si="6"/>
        <v>0</v>
      </c>
      <c r="J20" s="120">
        <f t="shared" si="6"/>
        <v>3</v>
      </c>
      <c r="K20" s="121">
        <f t="shared" si="4"/>
        <v>11</v>
      </c>
    </row>
    <row r="21" spans="1:11" ht="15.75" thickBot="1" x14ac:dyDescent="0.3">
      <c r="A21" s="75" t="s">
        <v>31</v>
      </c>
      <c r="B21" s="126">
        <f t="shared" ref="B21:I21" si="8">SUM(B20,B17)</f>
        <v>5786</v>
      </c>
      <c r="C21" s="126">
        <f t="shared" si="8"/>
        <v>0</v>
      </c>
      <c r="D21" s="126">
        <f t="shared" ref="D21" si="9">SUM(D20,D17)</f>
        <v>0</v>
      </c>
      <c r="E21" s="126">
        <f t="shared" si="8"/>
        <v>150</v>
      </c>
      <c r="F21" s="126">
        <f t="shared" si="8"/>
        <v>3703</v>
      </c>
      <c r="G21" s="126">
        <f t="shared" si="8"/>
        <v>290</v>
      </c>
      <c r="H21" s="126">
        <f t="shared" si="8"/>
        <v>52</v>
      </c>
      <c r="I21" s="126">
        <f t="shared" si="8"/>
        <v>211</v>
      </c>
      <c r="J21" s="126">
        <f>SUM(J20,J17)</f>
        <v>3817</v>
      </c>
      <c r="K21" s="127">
        <f t="shared" si="4"/>
        <v>14009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[2]Pinnacle!$DX$47</f>
        <v>0</v>
      </c>
      <c r="C25" s="136">
        <f>[2]Chautaqua_Continental!$DX$47</f>
        <v>0</v>
      </c>
      <c r="D25" s="136">
        <f>[2]Chautaqua_AA!$DX$47</f>
        <v>0</v>
      </c>
      <c r="E25" s="136">
        <f>[2]MESA_UA!$DX$47</f>
        <v>0</v>
      </c>
      <c r="F25" s="134">
        <f>'[2]Sky West'!$DX$47</f>
        <v>0</v>
      </c>
      <c r="G25" s="134">
        <f>'[2]Sky West_UA'!$DX$47</f>
        <v>0</v>
      </c>
      <c r="H25" s="134">
        <f>[2]Republic!$DX$47</f>
        <v>0</v>
      </c>
      <c r="I25" s="134">
        <f>'[2]American Eagle'!$DX$47</f>
        <v>78</v>
      </c>
      <c r="J25" s="134">
        <f>'Other Regional'!L25</f>
        <v>0</v>
      </c>
      <c r="K25" s="113">
        <f>SUM(B25:J25)</f>
        <v>78</v>
      </c>
    </row>
    <row r="26" spans="1:11" x14ac:dyDescent="0.2">
      <c r="A26" s="78" t="s">
        <v>41</v>
      </c>
      <c r="B26" s="134">
        <f>[2]Pinnacle!$DX$48</f>
        <v>0</v>
      </c>
      <c r="C26" s="136">
        <f>[2]Chautaqua_Continental!$DX$48</f>
        <v>0</v>
      </c>
      <c r="D26" s="136">
        <f>[2]Chautaqua_AA!$DX$48</f>
        <v>0</v>
      </c>
      <c r="E26" s="136">
        <f>[2]MESA_UA!$DX$48</f>
        <v>0</v>
      </c>
      <c r="F26" s="134">
        <f>'[2]Sky West'!$DX$48</f>
        <v>0</v>
      </c>
      <c r="G26" s="134">
        <f>'[2]Sky West_UA'!$DX$48</f>
        <v>0</v>
      </c>
      <c r="H26" s="134">
        <f>[2]Republic!$DX$48</f>
        <v>0</v>
      </c>
      <c r="I26" s="134">
        <f>'[2]American Eagle'!$DX$48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10">SUM(B25:B26)</f>
        <v>0</v>
      </c>
      <c r="C27" s="137">
        <f t="shared" si="10"/>
        <v>0</v>
      </c>
      <c r="D27" s="137">
        <f t="shared" ref="D27" si="11">SUM(D25:D26)</f>
        <v>0</v>
      </c>
      <c r="E27" s="137">
        <f t="shared" si="10"/>
        <v>0</v>
      </c>
      <c r="F27" s="137">
        <f t="shared" si="10"/>
        <v>0</v>
      </c>
      <c r="G27" s="137">
        <f t="shared" si="10"/>
        <v>0</v>
      </c>
      <c r="H27" s="137">
        <f t="shared" si="10"/>
        <v>0</v>
      </c>
      <c r="I27" s="137">
        <f t="shared" si="10"/>
        <v>78</v>
      </c>
      <c r="J27" s="137">
        <f t="shared" si="10"/>
        <v>0</v>
      </c>
      <c r="K27" s="138">
        <f>SUM(B27:J27)</f>
        <v>78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[2]Pinnacle!$DX$52</f>
        <v>0</v>
      </c>
      <c r="C30" s="136">
        <f>[2]Chautaqua_Continental!$DX$52</f>
        <v>0</v>
      </c>
      <c r="D30" s="136">
        <f>[2]Chautaqua_AA!$DX$52</f>
        <v>0</v>
      </c>
      <c r="E30" s="136">
        <f>[2]MESA_UA!$DX$52</f>
        <v>0</v>
      </c>
      <c r="F30" s="134">
        <f>'[2]Sky West'!$DX$52</f>
        <v>0</v>
      </c>
      <c r="G30" s="134">
        <f>'[2]Sky West_UA'!$DX$52</f>
        <v>0</v>
      </c>
      <c r="H30" s="134">
        <f>[2]Republic!$DX$52</f>
        <v>0</v>
      </c>
      <c r="I30" s="134">
        <f>'[2]American Eagle'!$DX$52</f>
        <v>0</v>
      </c>
      <c r="J30" s="134">
        <f>'Other Regional'!L30</f>
        <v>0</v>
      </c>
      <c r="K30" s="113">
        <f t="shared" ref="K30:K37" si="12">SUM(B30:J30)</f>
        <v>0</v>
      </c>
    </row>
    <row r="31" spans="1:11" x14ac:dyDescent="0.2">
      <c r="A31" s="78" t="s">
        <v>66</v>
      </c>
      <c r="B31" s="134">
        <f>[2]Pinnacle!$DX$53</f>
        <v>0</v>
      </c>
      <c r="C31" s="136">
        <f>[2]Chautaqua_Continental!$DX$53</f>
        <v>0</v>
      </c>
      <c r="D31" s="136">
        <f>[2]Chautaqua_AA!$DX$53</f>
        <v>0</v>
      </c>
      <c r="E31" s="136">
        <f>[2]MESA_UA!$DX$53</f>
        <v>0</v>
      </c>
      <c r="F31" s="134">
        <f>'[2]Sky West'!$DX$53</f>
        <v>0</v>
      </c>
      <c r="G31" s="134">
        <f>'[2]Sky West_UA'!$DX$53</f>
        <v>0</v>
      </c>
      <c r="H31" s="134">
        <f>[2]Republic!$DX$53</f>
        <v>0</v>
      </c>
      <c r="I31" s="134">
        <f>'[2]American Eagle'!$DX$53</f>
        <v>0</v>
      </c>
      <c r="J31" s="134">
        <f>'Other Regional'!L31</f>
        <v>0</v>
      </c>
      <c r="K31" s="113">
        <f t="shared" si="12"/>
        <v>0</v>
      </c>
    </row>
    <row r="32" spans="1:11" ht="15" thickBot="1" x14ac:dyDescent="0.25">
      <c r="A32" s="76" t="s">
        <v>44</v>
      </c>
      <c r="B32" s="137">
        <f t="shared" ref="B32:I32" si="13">SUM(B30:B31)</f>
        <v>0</v>
      </c>
      <c r="C32" s="137">
        <f t="shared" si="13"/>
        <v>0</v>
      </c>
      <c r="D32" s="137">
        <f t="shared" ref="D32" si="14">SUM(D30:D31)</f>
        <v>0</v>
      </c>
      <c r="E32" s="137">
        <f t="shared" si="13"/>
        <v>0</v>
      </c>
      <c r="F32" s="137">
        <f t="shared" si="13"/>
        <v>0</v>
      </c>
      <c r="G32" s="137">
        <f t="shared" si="13"/>
        <v>0</v>
      </c>
      <c r="H32" s="137">
        <f t="shared" si="13"/>
        <v>0</v>
      </c>
      <c r="I32" s="137">
        <f t="shared" si="13"/>
        <v>0</v>
      </c>
      <c r="J32" s="137">
        <f>SUM(J30:J31)</f>
        <v>0</v>
      </c>
      <c r="K32" s="138">
        <f t="shared" si="12"/>
        <v>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12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12"/>
        <v>0</v>
      </c>
    </row>
    <row r="35" spans="1:11" ht="13.5" hidden="1" thickTop="1" x14ac:dyDescent="0.2">
      <c r="A35" s="78" t="s">
        <v>40</v>
      </c>
      <c r="B35" s="134">
        <f>[2]Pinnacle!$DX$57</f>
        <v>0</v>
      </c>
      <c r="C35" s="136">
        <f>[2]Chautaqua_Continental!$DX$57</f>
        <v>0</v>
      </c>
      <c r="D35" s="136">
        <f>[2]Chautaqua_AA!$DX$57</f>
        <v>0</v>
      </c>
      <c r="E35" s="136">
        <f>[2]MESA_UA!$DX$57</f>
        <v>0</v>
      </c>
      <c r="F35" s="134">
        <f>'[2]Sky West'!$DX$57</f>
        <v>0</v>
      </c>
      <c r="G35" s="134">
        <f>'[2]Sky West_UA'!$DX$57</f>
        <v>0</v>
      </c>
      <c r="H35" s="134">
        <f>[2]Republic!$DX$57</f>
        <v>0</v>
      </c>
      <c r="I35" s="134">
        <f>'[2]American Eagle'!$DX$57</f>
        <v>0</v>
      </c>
      <c r="J35" s="134">
        <f>'Other Regional'!L35</f>
        <v>0</v>
      </c>
      <c r="K35" s="113">
        <f t="shared" si="12"/>
        <v>0</v>
      </c>
    </row>
    <row r="36" spans="1:11" ht="13.5" hidden="1" thickTop="1" x14ac:dyDescent="0.2">
      <c r="A36" s="78" t="s">
        <v>41</v>
      </c>
      <c r="B36" s="134">
        <f>[2]Pinnacle!$DX$58</f>
        <v>0</v>
      </c>
      <c r="C36" s="136">
        <f>[2]Chautaqua_Continental!$DX$58</f>
        <v>0</v>
      </c>
      <c r="D36" s="136">
        <f>[2]Chautaqua_AA!$DX$58</f>
        <v>0</v>
      </c>
      <c r="E36" s="136">
        <f>[2]MESA_UA!$DX$58</f>
        <v>0</v>
      </c>
      <c r="F36" s="134">
        <f>'[2]Sky West'!$DX$58</f>
        <v>0</v>
      </c>
      <c r="G36" s="134">
        <f>'[2]Sky West_UA'!$DX$58</f>
        <v>0</v>
      </c>
      <c r="H36" s="134">
        <f>[2]Republic!$DX$58</f>
        <v>0</v>
      </c>
      <c r="I36" s="134">
        <f>'[2]American Eagle'!$DX$58</f>
        <v>0</v>
      </c>
      <c r="J36" s="134">
        <f>'Other Regional'!L36</f>
        <v>0</v>
      </c>
      <c r="K36" s="113">
        <f t="shared" si="12"/>
        <v>0</v>
      </c>
    </row>
    <row r="37" spans="1:11" ht="13.5" hidden="1" thickTop="1" x14ac:dyDescent="0.2">
      <c r="A37" s="79" t="s">
        <v>46</v>
      </c>
      <c r="B37" s="145">
        <f t="shared" ref="B37:I37" si="15">SUM(B35:B36)</f>
        <v>0</v>
      </c>
      <c r="C37" s="145">
        <f t="shared" si="15"/>
        <v>0</v>
      </c>
      <c r="D37" s="145">
        <f t="shared" ref="D37" si="16">SUM(D35:D36)</f>
        <v>0</v>
      </c>
      <c r="E37" s="145">
        <f t="shared" si="15"/>
        <v>0</v>
      </c>
      <c r="F37" s="145">
        <f t="shared" si="15"/>
        <v>0</v>
      </c>
      <c r="G37" s="145">
        <f t="shared" si="15"/>
        <v>0</v>
      </c>
      <c r="H37" s="145">
        <f t="shared" si="15"/>
        <v>0</v>
      </c>
      <c r="I37" s="145">
        <f t="shared" si="15"/>
        <v>0</v>
      </c>
      <c r="J37" s="145">
        <f>SUM(J35:J36)</f>
        <v>0</v>
      </c>
      <c r="K37" s="147">
        <f t="shared" si="12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7">SUM(B35,B30,B25)</f>
        <v>0</v>
      </c>
      <c r="C40" s="134">
        <f t="shared" si="17"/>
        <v>0</v>
      </c>
      <c r="D40" s="134">
        <f t="shared" ref="D40" si="18">SUM(D35,D30,D25)</f>
        <v>0</v>
      </c>
      <c r="E40" s="134">
        <f>SUM(E35,E30,E25)</f>
        <v>0</v>
      </c>
      <c r="F40" s="134">
        <f t="shared" si="17"/>
        <v>0</v>
      </c>
      <c r="G40" s="134">
        <f>SUM(G35,G30,G25)</f>
        <v>0</v>
      </c>
      <c r="H40" s="134">
        <f t="shared" si="17"/>
        <v>0</v>
      </c>
      <c r="I40" s="134">
        <f>SUM(I35,I30,I25)</f>
        <v>78</v>
      </c>
      <c r="J40" s="134">
        <f>J35+J30+J25</f>
        <v>0</v>
      </c>
      <c r="K40" s="113">
        <f>SUM(B40:J40)</f>
        <v>78</v>
      </c>
    </row>
    <row r="41" spans="1:11" x14ac:dyDescent="0.2">
      <c r="A41" s="78" t="s">
        <v>41</v>
      </c>
      <c r="B41" s="134">
        <f t="shared" si="17"/>
        <v>0</v>
      </c>
      <c r="C41" s="134">
        <f t="shared" si="17"/>
        <v>0</v>
      </c>
      <c r="D41" s="134">
        <f t="shared" ref="D41" si="19">SUM(D36,D31,D26)</f>
        <v>0</v>
      </c>
      <c r="E41" s="134">
        <f>SUM(E36,E31,E26)</f>
        <v>0</v>
      </c>
      <c r="F41" s="134">
        <f t="shared" si="17"/>
        <v>0</v>
      </c>
      <c r="G41" s="134">
        <f>SUM(G36,G31,G26)</f>
        <v>0</v>
      </c>
      <c r="H41" s="134">
        <f t="shared" si="17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7"/>
        <v>0</v>
      </c>
      <c r="C42" s="140">
        <f t="shared" si="17"/>
        <v>0</v>
      </c>
      <c r="D42" s="140">
        <f t="shared" ref="D42" si="20">SUM(D37,D32,D27)</f>
        <v>0</v>
      </c>
      <c r="E42" s="140">
        <f>SUM(E37,E32,E27)</f>
        <v>0</v>
      </c>
      <c r="F42" s="140">
        <f t="shared" si="17"/>
        <v>0</v>
      </c>
      <c r="G42" s="140">
        <f>SUM(G37,G32,G27)</f>
        <v>0</v>
      </c>
      <c r="H42" s="140">
        <f t="shared" si="17"/>
        <v>0</v>
      </c>
      <c r="I42" s="140">
        <f>SUM(I37,I32,I27)</f>
        <v>78</v>
      </c>
      <c r="J42" s="140">
        <f>SUM(J37,J32,J27)</f>
        <v>0</v>
      </c>
      <c r="K42" s="141">
        <f>SUM(B42:J42)</f>
        <v>78</v>
      </c>
    </row>
    <row r="44" spans="1:11" x14ac:dyDescent="0.2">
      <c r="A44" s="410" t="s">
        <v>136</v>
      </c>
      <c r="B44" s="332">
        <f>[2]Pinnacle!$DX$70+[2]Pinnacle!$DX$73</f>
        <v>40321</v>
      </c>
      <c r="F44" s="333">
        <f>'[2]Sky West'!$DX$70+'[2]Sky West'!$DX$73</f>
        <v>15786</v>
      </c>
      <c r="G44" s="333">
        <f>'[2]Sky West_UA'!$DX$70+'[2]Sky West_UA'!$DX$73</f>
        <v>0</v>
      </c>
      <c r="J44" s="5">
        <f>+'Other Regional'!L46</f>
        <v>29293</v>
      </c>
      <c r="K44" s="321">
        <f>SUM(B44:J44)</f>
        <v>85400</v>
      </c>
    </row>
    <row r="45" spans="1:11" x14ac:dyDescent="0.2">
      <c r="A45" s="426" t="s">
        <v>137</v>
      </c>
      <c r="B45" s="332">
        <f>[2]Pinnacle!$DX$71+[2]Pinnacle!$DX$74</f>
        <v>104330</v>
      </c>
      <c r="F45" s="333">
        <f>'[2]Sky West'!$DX$71+'[2]Sky West'!$DX$74</f>
        <v>55896</v>
      </c>
      <c r="G45" s="333">
        <f>'[2]Sky West_UA'!$DX$71+'[2]Sky West_UA'!$DX$74</f>
        <v>0</v>
      </c>
      <c r="J45" s="5">
        <f>+'Other Regional'!L47</f>
        <v>49945</v>
      </c>
      <c r="K45" s="321">
        <f>SUM(B45:J45)</f>
        <v>210171</v>
      </c>
    </row>
    <row r="46" spans="1:11" x14ac:dyDescent="0.2">
      <c r="A46" s="323" t="s">
        <v>138</v>
      </c>
      <c r="B46" s="324">
        <f>SUM(B44:B45)</f>
        <v>144651</v>
      </c>
      <c r="J46" s="2"/>
      <c r="K46" s="322"/>
    </row>
    <row r="47" spans="1:11" x14ac:dyDescent="0.2">
      <c r="A47" s="325"/>
      <c r="B47" s="326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January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A47" sqref="A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22"/>
    </row>
    <row r="2" spans="1:12" s="7" customFormat="1" ht="55.5" customHeight="1" thickBot="1" x14ac:dyDescent="0.25">
      <c r="A2" s="415">
        <v>42005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198</v>
      </c>
      <c r="H2" s="19" t="s">
        <v>195</v>
      </c>
      <c r="I2" s="19" t="s">
        <v>213</v>
      </c>
      <c r="J2" s="19" t="s">
        <v>129</v>
      </c>
      <c r="K2" s="19" t="s">
        <v>199</v>
      </c>
      <c r="L2" s="301" t="s">
        <v>24</v>
      </c>
    </row>
    <row r="3" spans="1:12" ht="15.75" thickTop="1" x14ac:dyDescent="0.25">
      <c r="A3" s="289" t="s">
        <v>3</v>
      </c>
      <c r="B3" s="438"/>
      <c r="C3" s="438"/>
      <c r="D3" s="438"/>
      <c r="E3" s="438"/>
      <c r="F3" s="439"/>
      <c r="G3" s="439"/>
      <c r="H3" s="439"/>
      <c r="I3" s="439"/>
      <c r="J3" s="439"/>
      <c r="K3" s="438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'[2]Shuttle America'!$DX$22</f>
        <v>7856</v>
      </c>
      <c r="C5" s="135">
        <f>'[2]Shuttle America_Delta'!$DX$22</f>
        <v>10441</v>
      </c>
      <c r="D5" s="135">
        <f>[2]AirCanada!$DX$32</f>
        <v>3250</v>
      </c>
      <c r="E5" s="22">
        <f>[2]Compass!$DX$22+[2]Compass!$DX$32</f>
        <v>32278</v>
      </c>
      <c r="F5" s="135">
        <f>'[2]Atlantic Southeast'!$DX$22+'[2]Atlantic Southeast'!$DX$32</f>
        <v>33082</v>
      </c>
      <c r="G5" s="135">
        <f>'[2]Continental Express'!$DX$22</f>
        <v>5246</v>
      </c>
      <c r="H5" s="134">
        <f>'[2]Go Jet_UA'!$DX$22</f>
        <v>3386</v>
      </c>
      <c r="I5" s="134">
        <f>'[2]Go Jet'!$DX$22</f>
        <v>0</v>
      </c>
      <c r="J5" s="136">
        <f>'[2]Air Wisconsin'!$DX$22</f>
        <v>0</v>
      </c>
      <c r="K5" s="134">
        <f>[2]MESA!$DX$22</f>
        <v>238</v>
      </c>
      <c r="L5" s="113">
        <f>SUM(B5:K5)</f>
        <v>95777</v>
      </c>
    </row>
    <row r="6" spans="1:12" s="10" customFormat="1" x14ac:dyDescent="0.2">
      <c r="A6" s="65" t="s">
        <v>34</v>
      </c>
      <c r="B6" s="135">
        <f>'[2]Shuttle America'!$DX$23</f>
        <v>7759</v>
      </c>
      <c r="C6" s="135">
        <f>'[2]Shuttle America_Delta'!$DX$23</f>
        <v>10220</v>
      </c>
      <c r="D6" s="135">
        <f>[2]AirCanada!$DX$33</f>
        <v>3146</v>
      </c>
      <c r="E6" s="14">
        <f>[2]Compass!$DX$23+[2]Compass!$DX$33</f>
        <v>34499</v>
      </c>
      <c r="F6" s="135">
        <f>'[2]Atlantic Southeast'!$DX$23+'[2]Atlantic Southeast'!$DX$33</f>
        <v>34519</v>
      </c>
      <c r="G6" s="135">
        <f>'[2]Continental Express'!$DX$23</f>
        <v>5254</v>
      </c>
      <c r="H6" s="134">
        <f>'[2]Go Jet_UA'!$DX$23</f>
        <v>3418</v>
      </c>
      <c r="I6" s="134">
        <f>'[2]Go Jet'!$DX$23</f>
        <v>0</v>
      </c>
      <c r="J6" s="136">
        <f>'[2]Air Wisconsin'!$DX$23</f>
        <v>0</v>
      </c>
      <c r="K6" s="134">
        <f>[2]MESA!$DX$23</f>
        <v>350</v>
      </c>
      <c r="L6" s="119">
        <f>SUM(B6:K6)</f>
        <v>99165</v>
      </c>
    </row>
    <row r="7" spans="1:12" ht="15" thickBot="1" x14ac:dyDescent="0.25">
      <c r="A7" s="76" t="s">
        <v>7</v>
      </c>
      <c r="B7" s="137">
        <f t="shared" ref="B7:K7" si="0">SUM(B5:B6)</f>
        <v>15615</v>
      </c>
      <c r="C7" s="137">
        <f t="shared" si="0"/>
        <v>20661</v>
      </c>
      <c r="D7" s="137">
        <f t="shared" si="0"/>
        <v>6396</v>
      </c>
      <c r="E7" s="137">
        <f>SUM(E5:E6)</f>
        <v>66777</v>
      </c>
      <c r="F7" s="137">
        <f t="shared" si="0"/>
        <v>67601</v>
      </c>
      <c r="G7" s="137">
        <f t="shared" si="0"/>
        <v>10500</v>
      </c>
      <c r="H7" s="137">
        <f t="shared" si="0"/>
        <v>6804</v>
      </c>
      <c r="I7" s="137">
        <f t="shared" ref="I7" si="1">SUM(I5:I6)</f>
        <v>0</v>
      </c>
      <c r="J7" s="137">
        <f t="shared" si="0"/>
        <v>0</v>
      </c>
      <c r="K7" s="137">
        <f t="shared" si="0"/>
        <v>588</v>
      </c>
      <c r="L7" s="138">
        <f>SUM(L5:L6)</f>
        <v>194942</v>
      </c>
    </row>
    <row r="8" spans="1:12" ht="13.5" thickTop="1" x14ac:dyDescent="0.2">
      <c r="A8" s="65"/>
      <c r="B8" s="135"/>
      <c r="C8" s="135"/>
      <c r="D8" s="135"/>
      <c r="E8" s="356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'[2]Shuttle America'!$DX$27</f>
        <v>0</v>
      </c>
      <c r="C10" s="135">
        <f>'[2]Shuttle America_Delta'!$DX$27</f>
        <v>339</v>
      </c>
      <c r="D10" s="135">
        <f>[2]AirCanada!$DX$37</f>
        <v>46</v>
      </c>
      <c r="E10" s="22">
        <f>[2]Compass!$DX$27+[2]Compass!$DX$37</f>
        <v>1288</v>
      </c>
      <c r="F10" s="22">
        <f>'[2]Atlantic Southeast'!$DX$27+'[2]Atlantic Southeast'!$DX$37</f>
        <v>1176</v>
      </c>
      <c r="G10" s="135">
        <f>'[2]Continental Express'!$DX$27</f>
        <v>209</v>
      </c>
      <c r="H10" s="134">
        <f>'[2]Go Jet_UA'!$DX$27</f>
        <v>72</v>
      </c>
      <c r="I10" s="134">
        <f>'[2]Go Jet'!$DX$27</f>
        <v>0</v>
      </c>
      <c r="J10" s="136">
        <f>'[2]Air Wisconsin'!$DX$27</f>
        <v>0</v>
      </c>
      <c r="K10" s="134">
        <f>[2]MESA!$DX$27</f>
        <v>15</v>
      </c>
      <c r="L10" s="113">
        <f>SUM(B10:K10)</f>
        <v>3145</v>
      </c>
    </row>
    <row r="11" spans="1:12" x14ac:dyDescent="0.2">
      <c r="A11" s="65" t="s">
        <v>36</v>
      </c>
      <c r="B11" s="135">
        <f>'[2]Shuttle America'!$DX$28</f>
        <v>0</v>
      </c>
      <c r="C11" s="135">
        <f>'[2]Shuttle America_Delta'!$DX$28</f>
        <v>332</v>
      </c>
      <c r="D11" s="135">
        <f>[2]AirCanada!$DX$38</f>
        <v>35</v>
      </c>
      <c r="E11" s="14">
        <f>[2]Compass!$DX$28+[2]Compass!$DX$38</f>
        <v>1241</v>
      </c>
      <c r="F11" s="14">
        <f>'[2]Atlantic Southeast'!$DX$28+'[2]Atlantic Southeast'!$DX$38</f>
        <v>1119</v>
      </c>
      <c r="G11" s="135">
        <f>'[2]Continental Express'!$DX$28</f>
        <v>174</v>
      </c>
      <c r="H11" s="134">
        <f>'[2]Go Jet_UA'!$DX$28</f>
        <v>55</v>
      </c>
      <c r="I11" s="134">
        <f>'[2]Go Jet'!$DX$28</f>
        <v>0</v>
      </c>
      <c r="J11" s="136">
        <f>'[2]Air Wisconsin'!$DX$28</f>
        <v>0</v>
      </c>
      <c r="K11" s="134">
        <f>[2]MESA!$DX$28</f>
        <v>5</v>
      </c>
      <c r="L11" s="119">
        <f>SUM(B11:K11)</f>
        <v>2961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671</v>
      </c>
      <c r="D12" s="140">
        <f t="shared" ref="D12:K12" si="2">SUM(D10:D11)</f>
        <v>81</v>
      </c>
      <c r="E12" s="140">
        <f t="shared" si="2"/>
        <v>2529</v>
      </c>
      <c r="F12" s="140">
        <f t="shared" si="2"/>
        <v>2295</v>
      </c>
      <c r="G12" s="140">
        <f t="shared" si="2"/>
        <v>383</v>
      </c>
      <c r="H12" s="140">
        <f t="shared" si="2"/>
        <v>127</v>
      </c>
      <c r="I12" s="140">
        <f t="shared" ref="I12" si="3">SUM(I10:I11)</f>
        <v>0</v>
      </c>
      <c r="J12" s="140">
        <f t="shared" si="2"/>
        <v>0</v>
      </c>
      <c r="K12" s="140">
        <f t="shared" si="2"/>
        <v>20</v>
      </c>
      <c r="L12" s="141">
        <f>SUM(B12:K12)</f>
        <v>6106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'[2]Shuttle America'!$DX$4</f>
        <v>132</v>
      </c>
      <c r="C15" s="109">
        <f>'[2]Shuttle America_Delta'!$DX$4+'[2]Shuttle America_Delta'!$DX$15</f>
        <v>208</v>
      </c>
      <c r="D15" s="110">
        <f>[2]AirCanada!$DX$15</f>
        <v>89</v>
      </c>
      <c r="E15" s="22">
        <f>[2]Compass!$DX$4+[2]Compass!$DX$15</f>
        <v>609</v>
      </c>
      <c r="F15" s="110">
        <f>'[2]Atlantic Southeast'!$DX$4+'[2]Atlantic Southeast'!$DX$15</f>
        <v>677</v>
      </c>
      <c r="G15" s="110">
        <f>'[2]Continental Express'!$DX$4</f>
        <v>135</v>
      </c>
      <c r="H15" s="109">
        <f>'[2]Go Jet_UA'!$DX$4</f>
        <v>53</v>
      </c>
      <c r="I15" s="109">
        <f>'[2]Go Jet'!$DX$4</f>
        <v>0</v>
      </c>
      <c r="J15" s="111">
        <f>'[2]Air Wisconsin'!$DX$4</f>
        <v>0</v>
      </c>
      <c r="K15" s="109">
        <f>[2]MESA!$DX$4</f>
        <v>5</v>
      </c>
      <c r="L15" s="113">
        <f t="shared" ref="L15:L21" si="4">SUM(B15:K15)</f>
        <v>1908</v>
      </c>
    </row>
    <row r="16" spans="1:12" x14ac:dyDescent="0.2">
      <c r="A16" s="65" t="s">
        <v>60</v>
      </c>
      <c r="B16" s="114">
        <f>'[2]Shuttle America'!$DX$5</f>
        <v>132</v>
      </c>
      <c r="C16" s="114">
        <f>'[2]Shuttle America_Delta'!$DX$5+'[2]Shuttle America_Delta'!$DX$16</f>
        <v>206</v>
      </c>
      <c r="D16" s="115">
        <f>[2]AirCanada!$DX$16</f>
        <v>89</v>
      </c>
      <c r="E16" s="14">
        <f>[2]Compass!$DX$5+[2]Compass!$DX$16</f>
        <v>609</v>
      </c>
      <c r="F16" s="115">
        <f>'[2]Atlantic Southeast'!$DX$5+'[2]Atlantic Southeast'!$DX$16</f>
        <v>677</v>
      </c>
      <c r="G16" s="115">
        <f>'[2]Continental Express'!$DX$5</f>
        <v>135</v>
      </c>
      <c r="H16" s="114">
        <f>'[2]Go Jet_UA'!$DX$5</f>
        <v>53</v>
      </c>
      <c r="I16" s="114">
        <f>'[2]Go Jet'!$DX$5</f>
        <v>0</v>
      </c>
      <c r="J16" s="116">
        <f>'[2]Air Wisconsin'!$DX$5</f>
        <v>0</v>
      </c>
      <c r="K16" s="114">
        <f>[2]MESA!$DX$5</f>
        <v>5</v>
      </c>
      <c r="L16" s="119">
        <f t="shared" si="4"/>
        <v>1906</v>
      </c>
    </row>
    <row r="17" spans="1:12" x14ac:dyDescent="0.2">
      <c r="A17" s="74" t="s">
        <v>61</v>
      </c>
      <c r="B17" s="120">
        <f>SUM(B15:B16)</f>
        <v>264</v>
      </c>
      <c r="C17" s="120">
        <f>SUM(C15:C16)</f>
        <v>414</v>
      </c>
      <c r="D17" s="120">
        <f t="shared" ref="D17:K17" si="5">SUM(D15:D16)</f>
        <v>178</v>
      </c>
      <c r="E17" s="296">
        <f>SUM(E15:E16)</f>
        <v>1218</v>
      </c>
      <c r="F17" s="120">
        <f t="shared" si="5"/>
        <v>1354</v>
      </c>
      <c r="G17" s="120">
        <f t="shared" si="5"/>
        <v>270</v>
      </c>
      <c r="H17" s="120">
        <f t="shared" si="5"/>
        <v>106</v>
      </c>
      <c r="I17" s="120">
        <f t="shared" ref="I17" si="6">SUM(I15:I16)</f>
        <v>0</v>
      </c>
      <c r="J17" s="120">
        <f t="shared" si="5"/>
        <v>0</v>
      </c>
      <c r="K17" s="120">
        <f t="shared" si="5"/>
        <v>10</v>
      </c>
      <c r="L17" s="121">
        <f t="shared" si="4"/>
        <v>3814</v>
      </c>
    </row>
    <row r="18" spans="1:12" x14ac:dyDescent="0.2">
      <c r="A18" s="65" t="s">
        <v>62</v>
      </c>
      <c r="B18" s="122">
        <f>'[2]Shuttle America'!$DX$8</f>
        <v>0</v>
      </c>
      <c r="C18" s="122">
        <f>'[2]Shuttle America_Delta'!$DX$8</f>
        <v>0</v>
      </c>
      <c r="D18" s="122">
        <f>[2]AirCanada!$DX$8</f>
        <v>0</v>
      </c>
      <c r="E18" s="22">
        <f>[2]Compass!$DX$8</f>
        <v>0</v>
      </c>
      <c r="F18" s="112">
        <f>'[2]Atlantic Southeast'!$DX$8</f>
        <v>0</v>
      </c>
      <c r="G18" s="112">
        <f>'[2]Continental Express'!$DX$8</f>
        <v>0</v>
      </c>
      <c r="H18" s="122">
        <f>'[2]Go Jet_UA'!$DX$8</f>
        <v>0</v>
      </c>
      <c r="I18" s="122">
        <f>'[2]Go Jet'!$DX$8</f>
        <v>0</v>
      </c>
      <c r="J18" s="123">
        <f>'[2]Air Wisconsin'!$DX$8</f>
        <v>0</v>
      </c>
      <c r="K18" s="122">
        <f>[2]MESA!$DX$8</f>
        <v>0</v>
      </c>
      <c r="L18" s="113">
        <f t="shared" si="4"/>
        <v>0</v>
      </c>
    </row>
    <row r="19" spans="1:12" x14ac:dyDescent="0.2">
      <c r="A19" s="65" t="s">
        <v>63</v>
      </c>
      <c r="B19" s="124">
        <f>'[2]Shuttle America'!$DX$9</f>
        <v>0</v>
      </c>
      <c r="C19" s="124">
        <f>'[2]Shuttle America_Delta'!$DX$9</f>
        <v>0</v>
      </c>
      <c r="D19" s="124">
        <f>[2]AirCanada!$DX$9</f>
        <v>0</v>
      </c>
      <c r="E19" s="14">
        <f>[2]Compass!$DX$9</f>
        <v>3</v>
      </c>
      <c r="F19" s="117">
        <f>'[2]Atlantic Southeast'!$DX$9</f>
        <v>0</v>
      </c>
      <c r="G19" s="117">
        <f>'[2]Continental Express'!$DX$9</f>
        <v>0</v>
      </c>
      <c r="H19" s="124">
        <f>'[2]Go Jet_UA'!$DX$9</f>
        <v>0</v>
      </c>
      <c r="I19" s="124">
        <f>'[2]Go Jet'!$DX$9</f>
        <v>0</v>
      </c>
      <c r="J19" s="125">
        <f>'[2]Air Wisconsin'!$DX$9</f>
        <v>0</v>
      </c>
      <c r="K19" s="124">
        <f>[2]MESA!$DX$9</f>
        <v>0</v>
      </c>
      <c r="L19" s="119">
        <f t="shared" si="4"/>
        <v>3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0</v>
      </c>
      <c r="D20" s="120">
        <f t="shared" ref="D20:K20" si="7">SUM(D18:D19)</f>
        <v>0</v>
      </c>
      <c r="E20" s="296">
        <f>SUM(E18:E19)</f>
        <v>3</v>
      </c>
      <c r="F20" s="120">
        <f t="shared" si="7"/>
        <v>0</v>
      </c>
      <c r="G20" s="120">
        <f t="shared" si="7"/>
        <v>0</v>
      </c>
      <c r="H20" s="120">
        <f t="shared" si="7"/>
        <v>0</v>
      </c>
      <c r="I20" s="120">
        <f t="shared" ref="I20" si="8">SUM(I18:I19)</f>
        <v>0</v>
      </c>
      <c r="J20" s="120">
        <f t="shared" si="7"/>
        <v>0</v>
      </c>
      <c r="K20" s="120">
        <f t="shared" si="7"/>
        <v>0</v>
      </c>
      <c r="L20" s="121">
        <f t="shared" si="4"/>
        <v>3</v>
      </c>
    </row>
    <row r="21" spans="1:12" ht="15.75" thickBot="1" x14ac:dyDescent="0.3">
      <c r="A21" s="75" t="s">
        <v>31</v>
      </c>
      <c r="B21" s="126">
        <f>SUM(B20,B17)</f>
        <v>264</v>
      </c>
      <c r="C21" s="126">
        <f>SUM(C20,C17)</f>
        <v>414</v>
      </c>
      <c r="D21" s="126">
        <f t="shared" ref="D21:K21" si="9">SUM(D20,D17)</f>
        <v>178</v>
      </c>
      <c r="E21" s="126">
        <f t="shared" si="9"/>
        <v>1221</v>
      </c>
      <c r="F21" s="126">
        <f t="shared" si="9"/>
        <v>1354</v>
      </c>
      <c r="G21" s="126">
        <f t="shared" si="9"/>
        <v>270</v>
      </c>
      <c r="H21" s="126">
        <f t="shared" si="9"/>
        <v>106</v>
      </c>
      <c r="I21" s="126">
        <f t="shared" ref="I21" si="10">SUM(I20,I17)</f>
        <v>0</v>
      </c>
      <c r="J21" s="126">
        <f t="shared" si="9"/>
        <v>0</v>
      </c>
      <c r="K21" s="126">
        <f t="shared" si="9"/>
        <v>10</v>
      </c>
      <c r="L21" s="127">
        <f t="shared" si="4"/>
        <v>3817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'[2]Shuttle America'!$DX$47</f>
        <v>0</v>
      </c>
      <c r="C25" s="134">
        <f>'[2]Shuttle America_Delta'!$DX$47</f>
        <v>0</v>
      </c>
      <c r="D25" s="134">
        <f>[2]AirCanada!$DX$47</f>
        <v>0</v>
      </c>
      <c r="E25" s="134">
        <f>[2]Compass!$DX$47</f>
        <v>0</v>
      </c>
      <c r="F25" s="135">
        <f>'[2]Atlantic Southeast'!$DX$47</f>
        <v>0</v>
      </c>
      <c r="G25" s="135">
        <f>'[2]Continental Express'!$DX$47</f>
        <v>0</v>
      </c>
      <c r="H25" s="134">
        <f>'[2]Go Jet_UA'!$DX$47</f>
        <v>0</v>
      </c>
      <c r="I25" s="134">
        <f>'[2]Go Jet'!$DX$47</f>
        <v>0</v>
      </c>
      <c r="J25" s="136">
        <f>'[2]Air Wisconsin'!$DX$47</f>
        <v>0</v>
      </c>
      <c r="K25" s="134">
        <f>[2]MESA!$DX$47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'[2]Shuttle America'!$DX$48</f>
        <v>0</v>
      </c>
      <c r="C26" s="134">
        <f>'[2]Shuttle America_Delta'!$DX$48</f>
        <v>0</v>
      </c>
      <c r="D26" s="134">
        <f>[2]AirCanada!$DX$48</f>
        <v>0</v>
      </c>
      <c r="E26" s="134">
        <f>[2]Compass!$DX$48</f>
        <v>0</v>
      </c>
      <c r="F26" s="135">
        <f>'[2]Atlantic Southeast'!$DX$48</f>
        <v>0</v>
      </c>
      <c r="G26" s="135">
        <f>'[2]Continental Express'!$DX$48</f>
        <v>0</v>
      </c>
      <c r="H26" s="134">
        <f>'[2]Go Jet_UA'!$DX$48</f>
        <v>0</v>
      </c>
      <c r="I26" s="134">
        <f>'[2]Go Jet'!$DX$48</f>
        <v>0</v>
      </c>
      <c r="J26" s="136">
        <f>'[2]Air Wisconsin'!$DX$48</f>
        <v>0</v>
      </c>
      <c r="K26" s="134">
        <f>[2]MESA!$DX$48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11">SUM(D25:D26)</f>
        <v>0</v>
      </c>
      <c r="E27" s="137">
        <f>SUM(E25:E26)</f>
        <v>0</v>
      </c>
      <c r="F27" s="137">
        <f t="shared" si="11"/>
        <v>0</v>
      </c>
      <c r="G27" s="137">
        <f t="shared" si="11"/>
        <v>0</v>
      </c>
      <c r="H27" s="137">
        <f t="shared" si="11"/>
        <v>0</v>
      </c>
      <c r="I27" s="137">
        <f t="shared" ref="I27" si="12">SUM(I25:I26)</f>
        <v>0</v>
      </c>
      <c r="J27" s="137">
        <f t="shared" si="11"/>
        <v>0</v>
      </c>
      <c r="K27" s="137">
        <f t="shared" si="11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'[2]Shuttle America'!$DX$52</f>
        <v>0</v>
      </c>
      <c r="C30" s="134">
        <f>'[2]Shuttle America_Delta'!$DX$52</f>
        <v>0</v>
      </c>
      <c r="D30" s="134">
        <f>[2]AirCanada!$DX$52</f>
        <v>0</v>
      </c>
      <c r="E30" s="134">
        <f>[2]Compass!$DX$52</f>
        <v>0</v>
      </c>
      <c r="F30" s="135">
        <f>'[2]Atlantic Southeast'!$DX$52</f>
        <v>0</v>
      </c>
      <c r="G30" s="135">
        <f>'[2]Continental Express'!$DX$52</f>
        <v>0</v>
      </c>
      <c r="H30" s="134">
        <f>'[2]Go Jet_UA'!$DX$52</f>
        <v>0</v>
      </c>
      <c r="I30" s="134">
        <f>'[2]Go Jet'!$DX$52</f>
        <v>0</v>
      </c>
      <c r="J30" s="136">
        <f>'[2]Air Wisconsin'!BH$52</f>
        <v>0</v>
      </c>
      <c r="K30" s="134">
        <f>[2]MESA!$DX$52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'[2]Shuttle America'!$DX$53</f>
        <v>0</v>
      </c>
      <c r="C31" s="134">
        <f>'[2]Shuttle America_Delta'!$DX$53</f>
        <v>0</v>
      </c>
      <c r="D31" s="134">
        <f>[2]AirCanada!$DX$53</f>
        <v>0</v>
      </c>
      <c r="E31" s="134">
        <f>[2]Compass!$DX$53</f>
        <v>0</v>
      </c>
      <c r="F31" s="135">
        <f>'[2]Atlantic Southeast'!$DX$53</f>
        <v>0</v>
      </c>
      <c r="G31" s="135">
        <f>'[2]Continental Express'!$DX$53</f>
        <v>0</v>
      </c>
      <c r="H31" s="134">
        <f>'[2]Go Jet_UA'!$DX$53</f>
        <v>0</v>
      </c>
      <c r="I31" s="134">
        <f>'[2]Go Jet'!$DX$53</f>
        <v>0</v>
      </c>
      <c r="J31" s="136">
        <f>'[2]Air Wisconsin'!$DX$53</f>
        <v>0</v>
      </c>
      <c r="K31" s="134">
        <f>[2]MESA!$DX$53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13">SUM(B30:B31)</f>
        <v>0</v>
      </c>
      <c r="C32" s="137">
        <f t="shared" si="13"/>
        <v>0</v>
      </c>
      <c r="D32" s="137">
        <f t="shared" si="13"/>
        <v>0</v>
      </c>
      <c r="E32" s="137">
        <f t="shared" si="13"/>
        <v>0</v>
      </c>
      <c r="F32" s="137">
        <f t="shared" si="13"/>
        <v>0</v>
      </c>
      <c r="G32" s="137">
        <f t="shared" si="13"/>
        <v>0</v>
      </c>
      <c r="H32" s="137">
        <f t="shared" si="13"/>
        <v>0</v>
      </c>
      <c r="I32" s="137">
        <f t="shared" ref="I32" si="14">SUM(I30:I31)</f>
        <v>0</v>
      </c>
      <c r="J32" s="137">
        <f t="shared" si="13"/>
        <v>0</v>
      </c>
      <c r="K32" s="137">
        <f t="shared" si="13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'[2]Shuttle America'!$DX$57</f>
        <v>0</v>
      </c>
      <c r="C35" s="134">
        <f>'[2]Shuttle America_Delta'!$DX$57</f>
        <v>0</v>
      </c>
      <c r="D35" s="134">
        <f>[2]AirCanada!$DX$57</f>
        <v>0</v>
      </c>
      <c r="E35" s="134">
        <f>[2]Compass!$DX$57</f>
        <v>0</v>
      </c>
      <c r="F35" s="135">
        <f>'[2]Atlantic Southeast'!$DX$57</f>
        <v>0</v>
      </c>
      <c r="G35" s="135">
        <f>'[2]Continental Express'!$DX$57</f>
        <v>0</v>
      </c>
      <c r="H35" s="134">
        <f>'[2]Go Jet_UA'!$AJ$57</f>
        <v>0</v>
      </c>
      <c r="I35" s="134">
        <f>'[2]Go Jet'!$AJ$57</f>
        <v>0</v>
      </c>
      <c r="J35" s="136">
        <f>'[2]Air Wisconsin'!BG$57</f>
        <v>0</v>
      </c>
      <c r="K35" s="134">
        <f>[2]MESA!$AJ$57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'[2]Shuttle America'!BG$58</f>
        <v>0</v>
      </c>
      <c r="C36" s="134">
        <f>'[2]Shuttle America_Delta'!BH$58</f>
        <v>0</v>
      </c>
      <c r="D36" s="134">
        <f>[2]AirCanada!BG$58</f>
        <v>0</v>
      </c>
      <c r="E36" s="134">
        <f>[2]Compass!BG$58</f>
        <v>0</v>
      </c>
      <c r="F36" s="135">
        <f>'[2]Atlantic Southeast'!BG$58</f>
        <v>0</v>
      </c>
      <c r="G36" s="135">
        <f>'[2]Continental Express'!BG$58</f>
        <v>0</v>
      </c>
      <c r="H36" s="134">
        <f>'[2]Go Jet_UA'!$AJ$58</f>
        <v>0</v>
      </c>
      <c r="I36" s="134">
        <f>'[2]Go Jet'!$AJ$58</f>
        <v>0</v>
      </c>
      <c r="J36" s="136">
        <f>'[2]Air Wisconsin'!BG$58</f>
        <v>0</v>
      </c>
      <c r="K36" s="134">
        <f>[2]MESA!$AJ$58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15">SUM(D35:D36)</f>
        <v>0</v>
      </c>
      <c r="E37" s="145">
        <f>SUM(E35:E36)</f>
        <v>0</v>
      </c>
      <c r="F37" s="146">
        <f t="shared" si="15"/>
        <v>0</v>
      </c>
      <c r="G37" s="146">
        <f t="shared" si="15"/>
        <v>0</v>
      </c>
      <c r="H37" s="145">
        <f t="shared" si="15"/>
        <v>0</v>
      </c>
      <c r="I37" s="145">
        <f t="shared" ref="I37" si="16">SUM(I35:I36)</f>
        <v>0</v>
      </c>
      <c r="J37" s="145">
        <f t="shared" si="15"/>
        <v>0</v>
      </c>
      <c r="K37" s="145">
        <f t="shared" si="15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17">SUM(B35,B30,B25)</f>
        <v>0</v>
      </c>
      <c r="C40" s="134">
        <f>SUM(C35,C30,C25)</f>
        <v>0</v>
      </c>
      <c r="D40" s="134">
        <f t="shared" si="17"/>
        <v>0</v>
      </c>
      <c r="E40" s="134">
        <f t="shared" si="17"/>
        <v>0</v>
      </c>
      <c r="F40" s="134">
        <f t="shared" si="17"/>
        <v>0</v>
      </c>
      <c r="G40" s="134">
        <f t="shared" si="17"/>
        <v>0</v>
      </c>
      <c r="H40" s="134">
        <f>SUM(H35,H30,H25)</f>
        <v>0</v>
      </c>
      <c r="I40" s="134">
        <f>SUM(I35,I30,I25)</f>
        <v>0</v>
      </c>
      <c r="J40" s="134">
        <f t="shared" si="17"/>
        <v>0</v>
      </c>
      <c r="K40" s="134">
        <f t="shared" si="17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8">SUM(D36,D31,D26)</f>
        <v>0</v>
      </c>
      <c r="E41" s="134">
        <f t="shared" si="18"/>
        <v>0</v>
      </c>
      <c r="F41" s="134">
        <f t="shared" si="18"/>
        <v>0</v>
      </c>
      <c r="G41" s="134">
        <f t="shared" si="18"/>
        <v>0</v>
      </c>
      <c r="H41" s="134">
        <f>SUM(H36,H31,H26)</f>
        <v>0</v>
      </c>
      <c r="I41" s="134">
        <f>SUM(I36,I31,I26)</f>
        <v>0</v>
      </c>
      <c r="J41" s="134">
        <f t="shared" si="18"/>
        <v>0</v>
      </c>
      <c r="K41" s="134">
        <f t="shared" si="18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9">SUM(D40:D41)</f>
        <v>0</v>
      </c>
      <c r="E42" s="140">
        <f t="shared" si="19"/>
        <v>0</v>
      </c>
      <c r="F42" s="140">
        <f t="shared" si="19"/>
        <v>0</v>
      </c>
      <c r="G42" s="140">
        <f t="shared" si="19"/>
        <v>0</v>
      </c>
      <c r="H42" s="140">
        <f t="shared" si="19"/>
        <v>0</v>
      </c>
      <c r="I42" s="140">
        <f t="shared" ref="I42" si="20">SUM(I40:I41)</f>
        <v>0</v>
      </c>
      <c r="J42" s="140">
        <f t="shared" si="19"/>
        <v>0</v>
      </c>
      <c r="K42" s="140">
        <f t="shared" si="19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34" t="s">
        <v>139</v>
      </c>
      <c r="E44" s="333">
        <f>[2]Compass!BG$70+[2]Compass!BG$73</f>
        <v>27782</v>
      </c>
      <c r="F44" s="319"/>
      <c r="L44" s="321">
        <f>SUM(E44:E44)</f>
        <v>27782</v>
      </c>
    </row>
    <row r="45" spans="1:12" hidden="1" x14ac:dyDescent="0.2">
      <c r="A45" s="334" t="s">
        <v>140</v>
      </c>
      <c r="E45" s="333">
        <f>[2]Compass!BG$71+[2]Compass!BG$74</f>
        <v>47176</v>
      </c>
      <c r="F45" s="337"/>
      <c r="L45" s="321">
        <f>SUM(E45:E45)</f>
        <v>47176</v>
      </c>
    </row>
    <row r="46" spans="1:12" x14ac:dyDescent="0.2">
      <c r="A46" s="410" t="s">
        <v>136</v>
      </c>
      <c r="C46" s="333">
        <f>'[2]Shuttle America_Delta'!$DX$70+'[2]Shuttle America_Delta'!$DX$73</f>
        <v>3810</v>
      </c>
      <c r="E46" s="333">
        <f>[2]Compass!$DX$70+[2]Compass!$DX$73</f>
        <v>12839</v>
      </c>
      <c r="F46" s="333">
        <f>'[2]Atlantic Southeast'!$DX$70+'[2]Atlantic Southeast'!$DX$73</f>
        <v>12644</v>
      </c>
      <c r="H46" s="333">
        <f>'[2]Go Jet'!$DX$70+'[2]Go Jet'!$DX$73</f>
        <v>0</v>
      </c>
      <c r="I46" s="5"/>
      <c r="L46" s="425">
        <f>SUM(B46:K46)</f>
        <v>29293</v>
      </c>
    </row>
    <row r="47" spans="1:12" x14ac:dyDescent="0.2">
      <c r="A47" s="426" t="s">
        <v>137</v>
      </c>
      <c r="C47" s="333">
        <f>'[2]Shuttle America_Delta'!$DX$71+'[2]Shuttle America_Delta'!$DX$74</f>
        <v>6410</v>
      </c>
      <c r="E47" s="333">
        <f>[2]Compass!$DX$71+[2]Compass!$DX$74</f>
        <v>21660</v>
      </c>
      <c r="F47" s="333">
        <f>'[2]Atlantic Southeast'!$DX$71+'[2]Atlantic Southeast'!$DX$74</f>
        <v>21875</v>
      </c>
      <c r="H47" s="333">
        <f>'[2]Go Jet'!$DX$71+'[2]Go Jet'!$DX$74</f>
        <v>0</v>
      </c>
      <c r="I47" s="5"/>
      <c r="L47" s="425">
        <f>SUM(B47:K47)</f>
        <v>49945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January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J14" sqref="J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15">
        <v>42005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8" t="s">
        <v>3</v>
      </c>
      <c r="B3" s="190"/>
      <c r="C3" s="189"/>
      <c r="D3" s="189"/>
      <c r="E3" s="189"/>
      <c r="F3" s="189"/>
      <c r="G3" s="279"/>
    </row>
    <row r="4" spans="1:17" x14ac:dyDescent="0.2">
      <c r="A4" s="65" t="s">
        <v>32</v>
      </c>
      <c r="B4" s="462"/>
      <c r="C4" s="188"/>
      <c r="D4" s="188"/>
      <c r="E4" s="188"/>
      <c r="F4" s="188"/>
      <c r="G4" s="258"/>
    </row>
    <row r="5" spans="1:17" x14ac:dyDescent="0.2">
      <c r="A5" s="65" t="s">
        <v>33</v>
      </c>
      <c r="B5" s="462">
        <f>'[2]Charter Misc'!$DX$22</f>
        <v>691</v>
      </c>
      <c r="C5" s="188">
        <f>[2]Ryan!$DX$22</f>
        <v>0</v>
      </c>
      <c r="D5" s="188">
        <f>'[2]Charter Misc'!$DX$32</f>
        <v>0</v>
      </c>
      <c r="E5" s="188">
        <f>[2]Omni!$DX$32</f>
        <v>0</v>
      </c>
      <c r="F5" s="188">
        <f>[2]Xtra!$DX$32+[2]Xtra!$DX$22</f>
        <v>0</v>
      </c>
      <c r="G5" s="355">
        <f>SUM(B5:F5)</f>
        <v>691</v>
      </c>
    </row>
    <row r="6" spans="1:17" x14ac:dyDescent="0.2">
      <c r="A6" s="65" t="s">
        <v>34</v>
      </c>
      <c r="B6" s="463">
        <f>'[2]Charter Misc'!$DX$23</f>
        <v>156</v>
      </c>
      <c r="C6" s="191">
        <f>[2]Ryan!$DX$23</f>
        <v>0</v>
      </c>
      <c r="D6" s="191">
        <f>'[2]Charter Misc'!$DX$33</f>
        <v>0</v>
      </c>
      <c r="E6" s="191">
        <f>[2]Omni!$DX$33</f>
        <v>0</v>
      </c>
      <c r="F6" s="191">
        <f>[2]Xtra!$DX$33+[2]Xtra!$DX$23</f>
        <v>0</v>
      </c>
      <c r="G6" s="354">
        <f>SUM(B6:F6)</f>
        <v>156</v>
      </c>
    </row>
    <row r="7" spans="1:17" ht="15.75" thickBot="1" x14ac:dyDescent="0.3">
      <c r="A7" s="187" t="s">
        <v>7</v>
      </c>
      <c r="B7" s="464">
        <f>SUM(B5:B6)</f>
        <v>847</v>
      </c>
      <c r="C7" s="309">
        <f>SUM(C5:C6)</f>
        <v>0</v>
      </c>
      <c r="D7" s="309">
        <f>SUM(D5:D6)</f>
        <v>0</v>
      </c>
      <c r="E7" s="309">
        <f>SUM(E5:E6)</f>
        <v>0</v>
      </c>
      <c r="F7" s="309">
        <f>SUM(F5:F6)</f>
        <v>0</v>
      </c>
      <c r="G7" s="310">
        <f>SUM(B7:F7)</f>
        <v>847</v>
      </c>
    </row>
    <row r="8" spans="1:17" ht="13.5" thickBot="1" x14ac:dyDescent="0.25"/>
    <row r="9" spans="1:17" x14ac:dyDescent="0.2">
      <c r="A9" s="185" t="s">
        <v>9</v>
      </c>
      <c r="B9" s="465"/>
      <c r="C9" s="47"/>
      <c r="D9" s="47"/>
      <c r="E9" s="47"/>
      <c r="F9" s="47"/>
      <c r="G9" s="60"/>
    </row>
    <row r="10" spans="1:17" x14ac:dyDescent="0.2">
      <c r="A10" s="186" t="s">
        <v>86</v>
      </c>
      <c r="B10" s="462">
        <f>'[2]Charter Misc'!$DX$4</f>
        <v>5</v>
      </c>
      <c r="C10" s="188">
        <f>[2]Ryan!$DX$4</f>
        <v>0</v>
      </c>
      <c r="D10" s="188">
        <f>'[2]Charter Misc'!$DX$15</f>
        <v>0</v>
      </c>
      <c r="E10" s="188">
        <f>[2]Omni!$DX$15</f>
        <v>0</v>
      </c>
      <c r="F10" s="188">
        <f>[2]Xtra!$DX$15+[2]Xtra!$DX$4</f>
        <v>0</v>
      </c>
      <c r="G10" s="354">
        <f>SUM(B10:F10)</f>
        <v>5</v>
      </c>
    </row>
    <row r="11" spans="1:17" x14ac:dyDescent="0.2">
      <c r="A11" s="186" t="s">
        <v>87</v>
      </c>
      <c r="B11" s="462">
        <f>'[2]Charter Misc'!$DX$5</f>
        <v>6</v>
      </c>
      <c r="C11" s="188">
        <f>[2]Ryan!$DX$5</f>
        <v>0</v>
      </c>
      <c r="D11" s="188">
        <f>'[2]Charter Misc'!$DX$16</f>
        <v>0</v>
      </c>
      <c r="E11" s="188">
        <f>[2]Omni!$DX$16</f>
        <v>0</v>
      </c>
      <c r="F11" s="188">
        <f>[2]Xtra!$DX$16+[2]Xtra!$DX$5</f>
        <v>0</v>
      </c>
      <c r="G11" s="354">
        <f>SUM(B11:F11)</f>
        <v>6</v>
      </c>
    </row>
    <row r="12" spans="1:17" ht="15.75" thickBot="1" x14ac:dyDescent="0.3">
      <c r="A12" s="287" t="s">
        <v>31</v>
      </c>
      <c r="B12" s="466">
        <f>SUM(B10:B11)</f>
        <v>11</v>
      </c>
      <c r="C12" s="311">
        <f>SUM(C10:C11)</f>
        <v>0</v>
      </c>
      <c r="D12" s="311">
        <f>SUM(D10:D11)</f>
        <v>0</v>
      </c>
      <c r="E12" s="311">
        <f>SUM(E10:E11)</f>
        <v>0</v>
      </c>
      <c r="F12" s="311">
        <f>SUM(F10:F11)</f>
        <v>0</v>
      </c>
      <c r="G12" s="312">
        <f>SUM(B12:F12)</f>
        <v>11</v>
      </c>
      <c r="Q12" s="134"/>
    </row>
    <row r="17" spans="1:16" x14ac:dyDescent="0.2">
      <c r="B17" s="483" t="s">
        <v>175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5"/>
    </row>
    <row r="18" spans="1:16" ht="13.5" thickBot="1" x14ac:dyDescent="0.25">
      <c r="A18" s="328"/>
      <c r="E18" s="230"/>
      <c r="G18" s="230"/>
      <c r="H18" s="230"/>
      <c r="L18" s="237"/>
      <c r="N18" s="238"/>
    </row>
    <row r="19" spans="1:16" ht="13.5" customHeight="1" thickBot="1" x14ac:dyDescent="0.25">
      <c r="A19" s="440"/>
      <c r="B19" s="486" t="s">
        <v>133</v>
      </c>
      <c r="C19" s="487"/>
      <c r="D19" s="487"/>
      <c r="E19" s="488"/>
      <c r="G19" s="486" t="s">
        <v>134</v>
      </c>
      <c r="H19" s="489"/>
      <c r="I19" s="489"/>
      <c r="J19" s="490"/>
      <c r="L19" s="491" t="s">
        <v>135</v>
      </c>
      <c r="M19" s="492"/>
      <c r="N19" s="492"/>
      <c r="O19" s="493"/>
    </row>
    <row r="20" spans="1:16" ht="13.5" thickBot="1" x14ac:dyDescent="0.25">
      <c r="A20" s="241" t="s">
        <v>112</v>
      </c>
      <c r="B20" s="246" t="s">
        <v>113</v>
      </c>
      <c r="C20" s="8" t="s">
        <v>114</v>
      </c>
      <c r="D20" s="8" t="s">
        <v>207</v>
      </c>
      <c r="E20" s="8" t="s">
        <v>185</v>
      </c>
      <c r="F20" s="247" t="s">
        <v>108</v>
      </c>
      <c r="G20" s="8" t="s">
        <v>113</v>
      </c>
      <c r="H20" s="8" t="s">
        <v>114</v>
      </c>
      <c r="I20" s="8" t="s">
        <v>207</v>
      </c>
      <c r="J20" s="8" t="s">
        <v>185</v>
      </c>
      <c r="K20" s="247" t="s">
        <v>108</v>
      </c>
      <c r="L20" s="246" t="s">
        <v>113</v>
      </c>
      <c r="M20" s="240" t="s">
        <v>114</v>
      </c>
      <c r="N20" s="8" t="s">
        <v>207</v>
      </c>
      <c r="O20" s="8" t="s">
        <v>185</v>
      </c>
      <c r="P20" s="247" t="s">
        <v>108</v>
      </c>
    </row>
    <row r="21" spans="1:16" ht="14.1" customHeight="1" x14ac:dyDescent="0.2">
      <c r="A21" s="250" t="s">
        <v>115</v>
      </c>
      <c r="B21" s="348">
        <f>'Intl Detail'!$N$4+'Intl Detail'!$N$9</f>
        <v>118818</v>
      </c>
      <c r="C21" s="349">
        <f>'Intl Detail'!$N$5+'Intl Detail'!$N$10</f>
        <v>117747</v>
      </c>
      <c r="D21" s="349">
        <f t="shared" ref="D21:D32" si="0">SUM(B21:C21)</f>
        <v>236565</v>
      </c>
      <c r="E21" s="350">
        <f>[1]Charter!$D$21</f>
        <v>216467</v>
      </c>
      <c r="F21" s="353">
        <f t="shared" ref="F21:F32" si="1">(D21-E21)/E21</f>
        <v>9.2845560755219034E-2</v>
      </c>
      <c r="G21" s="348">
        <f>L21-B21</f>
        <v>1169695</v>
      </c>
      <c r="H21" s="349">
        <f>M21-C21</f>
        <v>1187740</v>
      </c>
      <c r="I21" s="349">
        <f>SUM(G21:H21)</f>
        <v>2357435</v>
      </c>
      <c r="J21" s="350">
        <f>[1]Charter!$I$21</f>
        <v>2341884</v>
      </c>
      <c r="K21" s="251">
        <f t="shared" ref="K21:K32" si="2">(I21-J21)/J21</f>
        <v>6.6403801383843096E-3</v>
      </c>
      <c r="L21" s="348">
        <f>'Monthly Summary'!$B$11</f>
        <v>1288513</v>
      </c>
      <c r="M21" s="349">
        <f>'Monthly Summary'!$C$11</f>
        <v>1305487</v>
      </c>
      <c r="N21" s="349">
        <f t="shared" ref="N21:N32" si="3">SUM(L21:M21)</f>
        <v>2594000</v>
      </c>
      <c r="O21" s="350">
        <f>[1]Charter!$N$21</f>
        <v>2558351</v>
      </c>
      <c r="P21" s="251">
        <f>(N21-O21)/O21</f>
        <v>1.3934366316428044E-2</v>
      </c>
    </row>
    <row r="22" spans="1:16" ht="14.1" customHeight="1" x14ac:dyDescent="0.2">
      <c r="A22" s="252" t="s">
        <v>116</v>
      </c>
      <c r="B22" s="344"/>
      <c r="C22" s="346"/>
      <c r="D22" s="345">
        <f t="shared" si="0"/>
        <v>0</v>
      </c>
      <c r="E22" s="352"/>
      <c r="F22" s="347" t="e">
        <f t="shared" si="1"/>
        <v>#DIV/0!</v>
      </c>
      <c r="G22" s="344"/>
      <c r="H22" s="346"/>
      <c r="I22" s="345">
        <f>SUM(G22:H22)</f>
        <v>0</v>
      </c>
      <c r="J22" s="352"/>
      <c r="K22" s="254" t="e">
        <f t="shared" si="2"/>
        <v>#DIV/0!</v>
      </c>
      <c r="L22" s="344"/>
      <c r="M22" s="346"/>
      <c r="N22" s="345">
        <f t="shared" si="3"/>
        <v>0</v>
      </c>
      <c r="O22" s="352"/>
      <c r="P22" s="253" t="e">
        <f t="shared" ref="P22:P32" si="4">(N22-O22)/O22</f>
        <v>#DIV/0!</v>
      </c>
    </row>
    <row r="23" spans="1:16" ht="14.1" customHeight="1" x14ac:dyDescent="0.2">
      <c r="A23" s="252" t="s">
        <v>117</v>
      </c>
      <c r="B23" s="344"/>
      <c r="C23" s="346"/>
      <c r="D23" s="345">
        <f t="shared" si="0"/>
        <v>0</v>
      </c>
      <c r="E23" s="351"/>
      <c r="F23" s="253" t="e">
        <f t="shared" si="1"/>
        <v>#DIV/0!</v>
      </c>
      <c r="G23" s="344"/>
      <c r="H23" s="346"/>
      <c r="I23" s="345">
        <f>SUM(G23:H23)</f>
        <v>0</v>
      </c>
      <c r="J23" s="351"/>
      <c r="K23" s="254" t="e">
        <f t="shared" si="2"/>
        <v>#DIV/0!</v>
      </c>
      <c r="L23" s="344"/>
      <c r="M23" s="346"/>
      <c r="N23" s="345">
        <f t="shared" si="3"/>
        <v>0</v>
      </c>
      <c r="O23" s="351"/>
      <c r="P23" s="253" t="e">
        <f t="shared" si="4"/>
        <v>#DIV/0!</v>
      </c>
    </row>
    <row r="24" spans="1:16" ht="14.1" customHeight="1" x14ac:dyDescent="0.2">
      <c r="A24" s="252" t="s">
        <v>118</v>
      </c>
      <c r="B24" s="344"/>
      <c r="C24" s="346"/>
      <c r="D24" s="345">
        <f t="shared" si="0"/>
        <v>0</v>
      </c>
      <c r="E24" s="351"/>
      <c r="F24" s="253" t="e">
        <f t="shared" si="1"/>
        <v>#DIV/0!</v>
      </c>
      <c r="G24" s="344"/>
      <c r="H24" s="346"/>
      <c r="I24" s="345">
        <f>SUM(G24:H24)</f>
        <v>0</v>
      </c>
      <c r="J24" s="351"/>
      <c r="K24" s="254" t="e">
        <f t="shared" si="2"/>
        <v>#DIV/0!</v>
      </c>
      <c r="L24" s="344"/>
      <c r="M24" s="346"/>
      <c r="N24" s="345">
        <f t="shared" si="3"/>
        <v>0</v>
      </c>
      <c r="O24" s="351"/>
      <c r="P24" s="253" t="e">
        <f t="shared" si="4"/>
        <v>#DIV/0!</v>
      </c>
    </row>
    <row r="25" spans="1:16" ht="14.1" customHeight="1" x14ac:dyDescent="0.2">
      <c r="A25" s="239" t="s">
        <v>82</v>
      </c>
      <c r="B25" s="344"/>
      <c r="C25" s="346"/>
      <c r="D25" s="345">
        <f t="shared" si="0"/>
        <v>0</v>
      </c>
      <c r="E25" s="351"/>
      <c r="F25" s="242" t="e">
        <f t="shared" si="1"/>
        <v>#DIV/0!</v>
      </c>
      <c r="G25" s="344"/>
      <c r="H25" s="346"/>
      <c r="I25" s="345">
        <f t="shared" ref="I25:I32" si="5">SUM(G25:H25)</f>
        <v>0</v>
      </c>
      <c r="J25" s="351"/>
      <c r="K25" s="248" t="e">
        <f t="shared" si="2"/>
        <v>#DIV/0!</v>
      </c>
      <c r="L25" s="344"/>
      <c r="M25" s="346"/>
      <c r="N25" s="345">
        <f t="shared" si="3"/>
        <v>0</v>
      </c>
      <c r="O25" s="351"/>
      <c r="P25" s="242" t="e">
        <f t="shared" si="4"/>
        <v>#DIV/0!</v>
      </c>
    </row>
    <row r="26" spans="1:16" ht="14.1" customHeight="1" x14ac:dyDescent="0.2">
      <c r="A26" s="252" t="s">
        <v>119</v>
      </c>
      <c r="B26" s="344"/>
      <c r="C26" s="346"/>
      <c r="D26" s="345">
        <f t="shared" si="0"/>
        <v>0</v>
      </c>
      <c r="E26" s="351"/>
      <c r="F26" s="253" t="e">
        <f t="shared" si="1"/>
        <v>#DIV/0!</v>
      </c>
      <c r="G26" s="344"/>
      <c r="H26" s="346"/>
      <c r="I26" s="345">
        <f t="shared" si="5"/>
        <v>0</v>
      </c>
      <c r="J26" s="351"/>
      <c r="K26" s="254" t="e">
        <f t="shared" si="2"/>
        <v>#DIV/0!</v>
      </c>
      <c r="L26" s="344"/>
      <c r="M26" s="346"/>
      <c r="N26" s="345">
        <f t="shared" si="3"/>
        <v>0</v>
      </c>
      <c r="O26" s="351"/>
      <c r="P26" s="253" t="e">
        <f t="shared" si="4"/>
        <v>#DIV/0!</v>
      </c>
    </row>
    <row r="27" spans="1:16" ht="14.1" customHeight="1" x14ac:dyDescent="0.2">
      <c r="A27" s="239" t="s">
        <v>120</v>
      </c>
      <c r="B27" s="344"/>
      <c r="C27" s="346"/>
      <c r="D27" s="345">
        <f t="shared" si="0"/>
        <v>0</v>
      </c>
      <c r="E27" s="351"/>
      <c r="F27" s="242" t="e">
        <f t="shared" si="1"/>
        <v>#DIV/0!</v>
      </c>
      <c r="G27" s="344"/>
      <c r="H27" s="346"/>
      <c r="I27" s="345">
        <f t="shared" si="5"/>
        <v>0</v>
      </c>
      <c r="J27" s="351"/>
      <c r="K27" s="248" t="e">
        <f t="shared" si="2"/>
        <v>#DIV/0!</v>
      </c>
      <c r="L27" s="344"/>
      <c r="M27" s="346"/>
      <c r="N27" s="345">
        <f t="shared" si="3"/>
        <v>0</v>
      </c>
      <c r="O27" s="351"/>
      <c r="P27" s="242" t="e">
        <f t="shared" si="4"/>
        <v>#DIV/0!</v>
      </c>
    </row>
    <row r="28" spans="1:16" ht="14.1" customHeight="1" x14ac:dyDescent="0.2">
      <c r="A28" s="252" t="s">
        <v>121</v>
      </c>
      <c r="B28" s="344"/>
      <c r="C28" s="346"/>
      <c r="D28" s="345">
        <f t="shared" si="0"/>
        <v>0</v>
      </c>
      <c r="E28" s="351"/>
      <c r="F28" s="253" t="e">
        <f t="shared" si="1"/>
        <v>#DIV/0!</v>
      </c>
      <c r="G28" s="344"/>
      <c r="H28" s="346"/>
      <c r="I28" s="345">
        <f t="shared" si="5"/>
        <v>0</v>
      </c>
      <c r="J28" s="351"/>
      <c r="K28" s="254" t="e">
        <f t="shared" si="2"/>
        <v>#DIV/0!</v>
      </c>
      <c r="L28" s="344"/>
      <c r="M28" s="346"/>
      <c r="N28" s="345">
        <f t="shared" si="3"/>
        <v>0</v>
      </c>
      <c r="O28" s="351"/>
      <c r="P28" s="253" t="e">
        <f t="shared" si="4"/>
        <v>#DIV/0!</v>
      </c>
    </row>
    <row r="29" spans="1:16" ht="14.1" customHeight="1" x14ac:dyDescent="0.2">
      <c r="A29" s="239" t="s">
        <v>122</v>
      </c>
      <c r="B29" s="344"/>
      <c r="C29" s="346"/>
      <c r="D29" s="345">
        <f t="shared" si="0"/>
        <v>0</v>
      </c>
      <c r="E29" s="351"/>
      <c r="F29" s="242" t="e">
        <f t="shared" si="1"/>
        <v>#DIV/0!</v>
      </c>
      <c r="G29" s="344"/>
      <c r="H29" s="346"/>
      <c r="I29" s="345">
        <f t="shared" si="5"/>
        <v>0</v>
      </c>
      <c r="J29" s="351"/>
      <c r="K29" s="248" t="e">
        <f t="shared" si="2"/>
        <v>#DIV/0!</v>
      </c>
      <c r="L29" s="344"/>
      <c r="M29" s="346"/>
      <c r="N29" s="345">
        <f t="shared" si="3"/>
        <v>0</v>
      </c>
      <c r="O29" s="351"/>
      <c r="P29" s="242" t="e">
        <f t="shared" si="4"/>
        <v>#DIV/0!</v>
      </c>
    </row>
    <row r="30" spans="1:16" ht="14.1" customHeight="1" x14ac:dyDescent="0.2">
      <c r="A30" s="252" t="s">
        <v>123</v>
      </c>
      <c r="B30" s="344"/>
      <c r="C30" s="346"/>
      <c r="D30" s="345">
        <f>SUM(B30:C30)</f>
        <v>0</v>
      </c>
      <c r="E30" s="351"/>
      <c r="F30" s="253" t="e">
        <f t="shared" si="1"/>
        <v>#DIV/0!</v>
      </c>
      <c r="G30" s="344"/>
      <c r="H30" s="346"/>
      <c r="I30" s="345">
        <f>SUM(G30:H30)</f>
        <v>0</v>
      </c>
      <c r="J30" s="351"/>
      <c r="K30" s="254" t="e">
        <f t="shared" si="2"/>
        <v>#DIV/0!</v>
      </c>
      <c r="L30" s="344"/>
      <c r="M30" s="346"/>
      <c r="N30" s="345">
        <f>SUM(L30:M30)</f>
        <v>0</v>
      </c>
      <c r="O30" s="351"/>
      <c r="P30" s="253" t="e">
        <f t="shared" si="4"/>
        <v>#DIV/0!</v>
      </c>
    </row>
    <row r="31" spans="1:16" ht="14.1" customHeight="1" x14ac:dyDescent="0.2">
      <c r="A31" s="239" t="s">
        <v>124</v>
      </c>
      <c r="B31" s="344"/>
      <c r="C31" s="346"/>
      <c r="D31" s="345">
        <f>SUM(B31:C31)</f>
        <v>0</v>
      </c>
      <c r="E31" s="351"/>
      <c r="F31" s="242" t="e">
        <f t="shared" si="1"/>
        <v>#DIV/0!</v>
      </c>
      <c r="G31" s="344"/>
      <c r="H31" s="346"/>
      <c r="I31" s="345">
        <f t="shared" si="5"/>
        <v>0</v>
      </c>
      <c r="J31" s="351"/>
      <c r="K31" s="248" t="e">
        <f t="shared" si="2"/>
        <v>#DIV/0!</v>
      </c>
      <c r="L31" s="344"/>
      <c r="M31" s="346"/>
      <c r="N31" s="345">
        <f>SUM(L31:M31)</f>
        <v>0</v>
      </c>
      <c r="O31" s="351"/>
      <c r="P31" s="242" t="e">
        <f t="shared" si="4"/>
        <v>#DIV/0!</v>
      </c>
    </row>
    <row r="32" spans="1:16" ht="14.1" customHeight="1" x14ac:dyDescent="0.2">
      <c r="A32" s="255" t="s">
        <v>125</v>
      </c>
      <c r="B32" s="344"/>
      <c r="C32" s="346"/>
      <c r="D32" s="165">
        <f t="shared" si="0"/>
        <v>0</v>
      </c>
      <c r="E32" s="351"/>
      <c r="F32" s="256" t="e">
        <f t="shared" si="1"/>
        <v>#DIV/0!</v>
      </c>
      <c r="G32" s="257"/>
      <c r="H32" s="165"/>
      <c r="I32" s="165">
        <f t="shared" si="5"/>
        <v>0</v>
      </c>
      <c r="J32" s="351"/>
      <c r="K32" s="256" t="e">
        <f t="shared" si="2"/>
        <v>#DIV/0!</v>
      </c>
      <c r="L32" s="344"/>
      <c r="M32" s="346"/>
      <c r="N32" s="165">
        <f t="shared" si="3"/>
        <v>0</v>
      </c>
      <c r="O32" s="351"/>
      <c r="P32" s="256" t="e">
        <f t="shared" si="4"/>
        <v>#DIV/0!</v>
      </c>
    </row>
    <row r="33" spans="1:16" ht="13.5" thickBot="1" x14ac:dyDescent="0.25">
      <c r="A33" s="249" t="s">
        <v>83</v>
      </c>
      <c r="B33" s="259">
        <f>SUM(B21:B32)</f>
        <v>118818</v>
      </c>
      <c r="C33" s="260">
        <f>SUM(C21:C32)</f>
        <v>117747</v>
      </c>
      <c r="D33" s="260">
        <f>SUM(D21:D32)</f>
        <v>236565</v>
      </c>
      <c r="E33" s="261">
        <f>SUM(E21:E32)</f>
        <v>216467</v>
      </c>
      <c r="F33" s="244">
        <f>(D33-E33)/E33</f>
        <v>9.2845560755219034E-2</v>
      </c>
      <c r="G33" s="262">
        <f>SUM(G21:G32)</f>
        <v>1169695</v>
      </c>
      <c r="H33" s="260">
        <f>SUM(H21:H32)</f>
        <v>1187740</v>
      </c>
      <c r="I33" s="260">
        <f>SUM(I21:I32)</f>
        <v>2357435</v>
      </c>
      <c r="J33" s="263">
        <f>SUM(J21:J32)</f>
        <v>2341884</v>
      </c>
      <c r="K33" s="245">
        <f>(I33-J33)/J33</f>
        <v>6.6403801383843096E-3</v>
      </c>
      <c r="L33" s="262">
        <f>SUM(L21:L32)</f>
        <v>1288513</v>
      </c>
      <c r="M33" s="260">
        <f>SUM(M21:M32)</f>
        <v>1305487</v>
      </c>
      <c r="N33" s="260">
        <f>SUM(N21:N32)</f>
        <v>2594000</v>
      </c>
      <c r="O33" s="261">
        <f>SUM(O21:O32)</f>
        <v>2558351</v>
      </c>
      <c r="P33" s="243">
        <f>(N33-O33)/O33</f>
        <v>1.3934366316428044E-2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C4" sqref="C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7" t="s">
        <v>103</v>
      </c>
      <c r="C1" s="498"/>
      <c r="D1" s="498"/>
      <c r="E1" s="498"/>
      <c r="F1" s="269"/>
      <c r="G1" s="497" t="s">
        <v>102</v>
      </c>
      <c r="H1" s="499"/>
      <c r="I1" s="499"/>
      <c r="J1" s="499"/>
      <c r="K1" s="499"/>
      <c r="L1" s="500"/>
    </row>
    <row r="2" spans="1:20" s="195" customFormat="1" ht="30.75" customHeight="1" thickBot="1" x14ac:dyDescent="0.25">
      <c r="A2" s="415">
        <v>42005</v>
      </c>
      <c r="B2" s="8" t="s">
        <v>88</v>
      </c>
      <c r="C2" s="8" t="s">
        <v>89</v>
      </c>
      <c r="D2" s="8" t="s">
        <v>90</v>
      </c>
      <c r="E2" s="8" t="s">
        <v>91</v>
      </c>
      <c r="F2" s="203"/>
      <c r="G2" s="184" t="s">
        <v>92</v>
      </c>
      <c r="H2" s="184" t="s">
        <v>200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4" t="s">
        <v>9</v>
      </c>
      <c r="B3" s="441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59</v>
      </c>
      <c r="B4" s="257">
        <f>[2]Airborne!$DX$4</f>
        <v>0</v>
      </c>
      <c r="C4" s="165">
        <f>[2]DHL!$DX$4</f>
        <v>21</v>
      </c>
      <c r="D4" s="165">
        <f>[2]FedEx!$DX$4+[2]FedEx!$DX$15</f>
        <v>97</v>
      </c>
      <c r="E4" s="165">
        <f>[2]UPS!$DX$4</f>
        <v>78</v>
      </c>
      <c r="F4" s="196"/>
      <c r="G4" s="122">
        <f>[2]ATI_BAX!$DX$4</f>
        <v>0</v>
      </c>
      <c r="H4" s="122">
        <f>'[2]Suburban Air Freight'!$DX$15</f>
        <v>21</v>
      </c>
      <c r="I4" s="122">
        <f>[2]Bemidji!$DX$4</f>
        <v>241</v>
      </c>
      <c r="J4" s="122">
        <f>'[2]CSA Air'!$DX$4</f>
        <v>0</v>
      </c>
      <c r="K4" s="122">
        <f>'[2]Mountain Cargo'!$DX$4</f>
        <v>20</v>
      </c>
      <c r="L4" s="122">
        <f>'[2]Misc Cargo'!$DX$4</f>
        <v>22</v>
      </c>
      <c r="M4" s="208">
        <f>SUM(B4:L4)</f>
        <v>500</v>
      </c>
    </row>
    <row r="5" spans="1:20" x14ac:dyDescent="0.2">
      <c r="A5" s="55" t="s">
        <v>60</v>
      </c>
      <c r="B5" s="442">
        <f>[2]Airborne!$DX$5</f>
        <v>0</v>
      </c>
      <c r="C5" s="202">
        <f>[2]DHL!$DX$5</f>
        <v>21</v>
      </c>
      <c r="D5" s="202">
        <f>[2]FedEx!$DX$5</f>
        <v>97</v>
      </c>
      <c r="E5" s="202">
        <f>[2]UPS!$DX$5</f>
        <v>78</v>
      </c>
      <c r="F5" s="196"/>
      <c r="G5" s="124">
        <f>[2]ATI_BAX!$DX$5</f>
        <v>0</v>
      </c>
      <c r="H5" s="124">
        <f>'[2]Suburban Air Freight'!$DX$16</f>
        <v>21</v>
      </c>
      <c r="I5" s="124">
        <f>[2]Bemidji!$DX$5</f>
        <v>241</v>
      </c>
      <c r="J5" s="124">
        <f>'[2]CSA Air'!$DX$5</f>
        <v>0</v>
      </c>
      <c r="K5" s="124">
        <f>'[2]Mountain Cargo'!$DX$5</f>
        <v>20</v>
      </c>
      <c r="L5" s="124">
        <f>'[2]Misc Cargo'!$DX$5</f>
        <v>22</v>
      </c>
      <c r="M5" s="212">
        <f>SUM(B5:L5)</f>
        <v>500</v>
      </c>
    </row>
    <row r="6" spans="1:20" s="193" customFormat="1" x14ac:dyDescent="0.2">
      <c r="A6" s="209" t="s">
        <v>61</v>
      </c>
      <c r="B6" s="443">
        <f>SUM(B4:B5)</f>
        <v>0</v>
      </c>
      <c r="C6" s="210">
        <f>SUM(C4:C5)</f>
        <v>42</v>
      </c>
      <c r="D6" s="210">
        <f>SUM(D4:D5)</f>
        <v>194</v>
      </c>
      <c r="E6" s="210">
        <f>SUM(E4:E5)</f>
        <v>156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482</v>
      </c>
      <c r="J6" s="192">
        <f t="shared" si="0"/>
        <v>0</v>
      </c>
      <c r="K6" s="192">
        <f t="shared" si="0"/>
        <v>40</v>
      </c>
      <c r="L6" s="192">
        <f t="shared" si="0"/>
        <v>44</v>
      </c>
      <c r="M6" s="211">
        <f>SUM(B6:L6)</f>
        <v>1000</v>
      </c>
    </row>
    <row r="7" spans="1:20" x14ac:dyDescent="0.2">
      <c r="A7" s="55"/>
      <c r="B7" s="257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62</v>
      </c>
      <c r="B8" s="257">
        <f>[2]Airborne!$DX$8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'[2]Misc Cargo'!$DX$8</f>
        <v>0</v>
      </c>
      <c r="M8" s="208">
        <f>SUM(B8:L8)</f>
        <v>0</v>
      </c>
    </row>
    <row r="9" spans="1:20" ht="15" x14ac:dyDescent="0.25">
      <c r="A9" s="55" t="s">
        <v>63</v>
      </c>
      <c r="B9" s="442">
        <f>[2]Airborne!$DX$9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'[2]Misc Cargo'!$DX$9</f>
        <v>0</v>
      </c>
      <c r="M9" s="212">
        <f>SUM(B9:L9)</f>
        <v>0</v>
      </c>
      <c r="P9" s="15"/>
      <c r="Q9" s="338"/>
      <c r="R9" s="338"/>
      <c r="S9" s="338"/>
      <c r="T9" s="338"/>
    </row>
    <row r="10" spans="1:20" s="193" customFormat="1" x14ac:dyDescent="0.2">
      <c r="A10" s="209" t="s">
        <v>64</v>
      </c>
      <c r="B10" s="443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7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44">
        <f>B6+B10</f>
        <v>0</v>
      </c>
      <c r="C12" s="214">
        <f>C6+C10</f>
        <v>42</v>
      </c>
      <c r="D12" s="214">
        <f>D6+D10</f>
        <v>194</v>
      </c>
      <c r="E12" s="214">
        <f>E6+E10</f>
        <v>156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482</v>
      </c>
      <c r="J12" s="216">
        <f t="shared" si="2"/>
        <v>0</v>
      </c>
      <c r="K12" s="216">
        <f t="shared" si="2"/>
        <v>40</v>
      </c>
      <c r="L12" s="216">
        <f t="shared" si="2"/>
        <v>44</v>
      </c>
      <c r="M12" s="217">
        <f>SUM(B12:L12)</f>
        <v>1000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104</v>
      </c>
      <c r="B14" s="445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105</v>
      </c>
      <c r="B15" s="257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7">
        <f>[2]Airborne!$DX$47</f>
        <v>0</v>
      </c>
      <c r="C16" s="165">
        <f>[2]DHL!$DX$47</f>
        <v>569013</v>
      </c>
      <c r="D16" s="165">
        <f>[2]FedEx!$DX$47</f>
        <v>6113024</v>
      </c>
      <c r="E16" s="165">
        <f>[2]UPS!$DX$47</f>
        <v>5153905</v>
      </c>
      <c r="F16" s="196"/>
      <c r="G16" s="122">
        <f>[2]ATI_BAX!$DX$47</f>
        <v>0</v>
      </c>
      <c r="H16" s="122">
        <f>'[2]Suburban Air Freight'!$DX$47</f>
        <v>17991</v>
      </c>
      <c r="I16" s="494" t="s">
        <v>96</v>
      </c>
      <c r="J16" s="122">
        <f>'[2]CSA Air'!$DX$47</f>
        <v>0</v>
      </c>
      <c r="K16" s="122">
        <f>'[2]Mountain Cargo'!$DX$47</f>
        <v>38108</v>
      </c>
      <c r="L16" s="122">
        <f>'[2]Misc Cargo'!$DX$47</f>
        <v>37156</v>
      </c>
      <c r="M16" s="208">
        <f>SUM(B16:H16)+SUM(J16:L16)</f>
        <v>11929197</v>
      </c>
    </row>
    <row r="17" spans="1:14" x14ac:dyDescent="0.2">
      <c r="A17" s="55" t="s">
        <v>41</v>
      </c>
      <c r="B17" s="257">
        <f>[2]Airborne!$DX$48</f>
        <v>0</v>
      </c>
      <c r="C17" s="165">
        <f>[2]DHL!$DX$48</f>
        <v>0</v>
      </c>
      <c r="D17" s="165">
        <f>[2]FedEx!$DX$48</f>
        <v>0</v>
      </c>
      <c r="E17" s="165">
        <f>[2]UPS!$DX$48</f>
        <v>6631</v>
      </c>
      <c r="F17" s="196"/>
      <c r="G17" s="122">
        <f>[2]ATI_BAX!$DX$48</f>
        <v>0</v>
      </c>
      <c r="H17" s="122">
        <f>'[2]Suburban Air Freight'!$DX$48</f>
        <v>0</v>
      </c>
      <c r="I17" s="495"/>
      <c r="J17" s="122">
        <f>'[2]CSA Air'!$DX$48</f>
        <v>0</v>
      </c>
      <c r="K17" s="122">
        <f>'[2]Mountain Cargo'!$DX$48</f>
        <v>0</v>
      </c>
      <c r="L17" s="122">
        <f>'[2]Misc Cargo'!$DX$48</f>
        <v>0</v>
      </c>
      <c r="M17" s="208">
        <f t="shared" ref="M17:M18" si="3">SUM(B17:H17)+SUM(J17:L17)</f>
        <v>6631</v>
      </c>
    </row>
    <row r="18" spans="1:14" ht="18" customHeight="1" x14ac:dyDescent="0.2">
      <c r="A18" s="223" t="s">
        <v>42</v>
      </c>
      <c r="B18" s="446">
        <f>SUM(B16:B17)</f>
        <v>0</v>
      </c>
      <c r="C18" s="313">
        <f>SUM(C16:C17)</f>
        <v>569013</v>
      </c>
      <c r="D18" s="313">
        <f>SUM(D16:D17)</f>
        <v>6113024</v>
      </c>
      <c r="E18" s="313">
        <f>SUM(E16:E17)</f>
        <v>5160536</v>
      </c>
      <c r="F18" s="201"/>
      <c r="G18" s="314">
        <f>SUM(G16:G17)</f>
        <v>0</v>
      </c>
      <c r="H18" s="314">
        <f>SUM(H16:H17)</f>
        <v>17991</v>
      </c>
      <c r="I18" s="495"/>
      <c r="J18" s="314">
        <f>SUM(J16:J17)</f>
        <v>0</v>
      </c>
      <c r="K18" s="314">
        <f>SUM(K16:K17)</f>
        <v>38108</v>
      </c>
      <c r="L18" s="314">
        <f>SUM(L16:L17)</f>
        <v>37156</v>
      </c>
      <c r="M18" s="224">
        <f t="shared" si="3"/>
        <v>11935828</v>
      </c>
      <c r="N18" s="7"/>
    </row>
    <row r="19" spans="1:14" x14ac:dyDescent="0.2">
      <c r="A19" s="55"/>
      <c r="B19" s="257"/>
      <c r="C19" s="165"/>
      <c r="D19" s="165"/>
      <c r="E19" s="165"/>
      <c r="F19" s="196"/>
      <c r="G19" s="122"/>
      <c r="H19" s="122"/>
      <c r="I19" s="495"/>
      <c r="J19" s="122"/>
      <c r="K19" s="122"/>
      <c r="L19" s="122"/>
      <c r="M19" s="208"/>
    </row>
    <row r="20" spans="1:14" x14ac:dyDescent="0.2">
      <c r="A20" s="225" t="s">
        <v>97</v>
      </c>
      <c r="B20" s="257"/>
      <c r="C20" s="165"/>
      <c r="D20" s="165"/>
      <c r="E20" s="165"/>
      <c r="F20" s="196"/>
      <c r="G20" s="122"/>
      <c r="H20" s="122"/>
      <c r="I20" s="495"/>
      <c r="J20" s="122"/>
      <c r="K20" s="122"/>
      <c r="L20" s="122"/>
      <c r="M20" s="208"/>
    </row>
    <row r="21" spans="1:14" x14ac:dyDescent="0.2">
      <c r="A21" s="55" t="s">
        <v>65</v>
      </c>
      <c r="B21" s="257">
        <f>[2]Airborne!$DX$52</f>
        <v>0</v>
      </c>
      <c r="C21" s="165">
        <f>[2]DHL!$DX$52</f>
        <v>449991</v>
      </c>
      <c r="D21" s="165">
        <f>[2]FedEx!$DX$52</f>
        <v>8642797</v>
      </c>
      <c r="E21" s="165">
        <f>[2]UPS!$DX$52</f>
        <v>4604151</v>
      </c>
      <c r="F21" s="196"/>
      <c r="G21" s="122">
        <f>[2]ATI_BAX!$DX$52</f>
        <v>0</v>
      </c>
      <c r="H21" s="122">
        <f>'[2]Suburban Air Freight'!$DX$52</f>
        <v>59154</v>
      </c>
      <c r="I21" s="495"/>
      <c r="J21" s="122">
        <f>'[2]CSA Air'!$DX$52</f>
        <v>0</v>
      </c>
      <c r="K21" s="122">
        <f>'[2]Mountain Cargo'!$DX$52</f>
        <v>110054</v>
      </c>
      <c r="L21" s="122">
        <f>'[2]Misc Cargo'!$DX$52</f>
        <v>33965</v>
      </c>
      <c r="M21" s="208">
        <f t="shared" ref="M21:M23" si="4">SUM(B21:H21)+SUM(J21:L21)</f>
        <v>13900112</v>
      </c>
    </row>
    <row r="22" spans="1:14" x14ac:dyDescent="0.2">
      <c r="A22" s="55" t="s">
        <v>66</v>
      </c>
      <c r="B22" s="257">
        <f>[2]Airborne!$DX$53</f>
        <v>0</v>
      </c>
      <c r="C22" s="165">
        <f>[2]DHL!$DX$53</f>
        <v>0</v>
      </c>
      <c r="D22" s="165">
        <f>[2]FedEx!$DX$53</f>
        <v>0</v>
      </c>
      <c r="E22" s="165">
        <f>[2]UPS!$DX$53</f>
        <v>88499</v>
      </c>
      <c r="F22" s="196"/>
      <c r="G22" s="122">
        <f>[2]ATI_BAX!$DX$53</f>
        <v>0</v>
      </c>
      <c r="H22" s="122">
        <f>'[2]Suburban Air Freight'!$DX$53</f>
        <v>0</v>
      </c>
      <c r="I22" s="495"/>
      <c r="J22" s="122">
        <f>'[2]CSA Air'!$DX$53</f>
        <v>0</v>
      </c>
      <c r="K22" s="122">
        <f>'[2]Mountain Cargo'!$DX$53</f>
        <v>0</v>
      </c>
      <c r="L22" s="122">
        <f>'[2]Misc Cargo'!$DX$53</f>
        <v>0</v>
      </c>
      <c r="M22" s="208">
        <f t="shared" si="4"/>
        <v>88499</v>
      </c>
    </row>
    <row r="23" spans="1:14" ht="18" customHeight="1" x14ac:dyDescent="0.2">
      <c r="A23" s="223" t="s">
        <v>44</v>
      </c>
      <c r="B23" s="446">
        <f>SUM(B21:B22)</f>
        <v>0</v>
      </c>
      <c r="C23" s="313">
        <f>SUM(C21:C22)</f>
        <v>449991</v>
      </c>
      <c r="D23" s="313">
        <f>SUM(D21:D22)</f>
        <v>8642797</v>
      </c>
      <c r="E23" s="313">
        <f>SUM(E21:E22)</f>
        <v>4692650</v>
      </c>
      <c r="F23" s="201"/>
      <c r="G23" s="314">
        <f>SUM(G21:G22)</f>
        <v>0</v>
      </c>
      <c r="H23" s="314">
        <f>SUM(H21:H22)</f>
        <v>59154</v>
      </c>
      <c r="I23" s="495"/>
      <c r="J23" s="314">
        <f>SUM(J21:J22)</f>
        <v>0</v>
      </c>
      <c r="K23" s="314">
        <f>SUM(K21:K22)</f>
        <v>110054</v>
      </c>
      <c r="L23" s="314">
        <f>SUM(L21:L22)</f>
        <v>33965</v>
      </c>
      <c r="M23" s="224">
        <f t="shared" si="4"/>
        <v>13988611</v>
      </c>
    </row>
    <row r="24" spans="1:14" x14ac:dyDescent="0.2">
      <c r="A24" s="55"/>
      <c r="B24" s="257"/>
      <c r="C24" s="165"/>
      <c r="D24" s="165"/>
      <c r="E24" s="165"/>
      <c r="F24" s="196"/>
      <c r="G24" s="122"/>
      <c r="H24" s="122"/>
      <c r="I24" s="495"/>
      <c r="J24" s="122"/>
      <c r="K24" s="122"/>
      <c r="L24" s="122"/>
      <c r="M24" s="208"/>
    </row>
    <row r="25" spans="1:14" x14ac:dyDescent="0.2">
      <c r="A25" s="225" t="s">
        <v>106</v>
      </c>
      <c r="B25" s="257"/>
      <c r="C25" s="165"/>
      <c r="D25" s="165"/>
      <c r="E25" s="165"/>
      <c r="F25" s="196"/>
      <c r="G25" s="122"/>
      <c r="H25" s="122"/>
      <c r="I25" s="495"/>
      <c r="J25" s="122"/>
      <c r="K25" s="122"/>
      <c r="L25" s="122"/>
      <c r="M25" s="208"/>
    </row>
    <row r="26" spans="1:14" x14ac:dyDescent="0.2">
      <c r="A26" s="55" t="s">
        <v>65</v>
      </c>
      <c r="B26" s="257">
        <f>[2]Airborne!$DX$57</f>
        <v>0</v>
      </c>
      <c r="C26" s="165">
        <f>[2]DHL!$DX$57</f>
        <v>0</v>
      </c>
      <c r="D26" s="165">
        <f>[2]FedEx!$DX$57</f>
        <v>0</v>
      </c>
      <c r="E26" s="165">
        <f>[2]UPS!$DX$57</f>
        <v>0</v>
      </c>
      <c r="F26" s="196"/>
      <c r="G26" s="122">
        <f>[2]ATI_BAX!$DX$57</f>
        <v>0</v>
      </c>
      <c r="H26" s="122">
        <f>'[2]Suburban Air Freight'!$DX$57</f>
        <v>0</v>
      </c>
      <c r="I26" s="495"/>
      <c r="J26" s="122">
        <f>'[2]CSA Air'!$DX$57</f>
        <v>0</v>
      </c>
      <c r="K26" s="122">
        <f>'[2]Mountain Cargo'!$DX$57</f>
        <v>0</v>
      </c>
      <c r="L26" s="122">
        <f>'[2]Misc Cargo'!$DX$57</f>
        <v>0</v>
      </c>
      <c r="M26" s="208">
        <f t="shared" ref="M26:M28" si="5">SUM(B26:H26)+SUM(J26:L26)</f>
        <v>0</v>
      </c>
    </row>
    <row r="27" spans="1:14" x14ac:dyDescent="0.2">
      <c r="A27" s="55" t="s">
        <v>66</v>
      </c>
      <c r="B27" s="257">
        <f>[2]Airborne!$DX$58</f>
        <v>0</v>
      </c>
      <c r="C27" s="165">
        <f>[2]DHL!$DX$58</f>
        <v>0</v>
      </c>
      <c r="D27" s="165">
        <f>[2]FedEx!$DX$58</f>
        <v>0</v>
      </c>
      <c r="E27" s="165">
        <f>[2]UPS!$DX$58</f>
        <v>0</v>
      </c>
      <c r="F27" s="196"/>
      <c r="G27" s="122">
        <f>[2]ATI_BAX!$DX$58</f>
        <v>0</v>
      </c>
      <c r="H27" s="122">
        <f>'[2]Suburban Air Freight'!$DX$58</f>
        <v>0</v>
      </c>
      <c r="I27" s="495"/>
      <c r="J27" s="122">
        <f>'[2]CSA Air'!$DX$58</f>
        <v>0</v>
      </c>
      <c r="K27" s="122">
        <f>'[2]Mountain Cargo'!$DX$58</f>
        <v>0</v>
      </c>
      <c r="L27" s="122">
        <f>'[2]Misc Cargo'!$DX$58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46">
        <f>SUM(B26:B27)</f>
        <v>0</v>
      </c>
      <c r="C28" s="313">
        <f>SUM(C26:C27)</f>
        <v>0</v>
      </c>
      <c r="D28" s="313">
        <f>SUM(D26:D27)</f>
        <v>0</v>
      </c>
      <c r="E28" s="313">
        <f>SUM(E26:E27)</f>
        <v>0</v>
      </c>
      <c r="F28" s="201"/>
      <c r="G28" s="314">
        <f>SUM(G26:G27)</f>
        <v>0</v>
      </c>
      <c r="H28" s="314">
        <f>SUM(H26:H27)</f>
        <v>0</v>
      </c>
      <c r="I28" s="495"/>
      <c r="J28" s="314">
        <f>SUM(J26:J27)</f>
        <v>0</v>
      </c>
      <c r="K28" s="314">
        <f>SUM(K26:K27)</f>
        <v>0</v>
      </c>
      <c r="L28" s="314">
        <f>SUM(L26:L27)</f>
        <v>0</v>
      </c>
      <c r="M28" s="224">
        <f t="shared" si="5"/>
        <v>0</v>
      </c>
    </row>
    <row r="29" spans="1:14" x14ac:dyDescent="0.2">
      <c r="A29" s="55"/>
      <c r="B29" s="257"/>
      <c r="C29" s="165"/>
      <c r="D29" s="165"/>
      <c r="E29" s="165"/>
      <c r="F29" s="196"/>
      <c r="G29" s="122"/>
      <c r="H29" s="122"/>
      <c r="I29" s="495"/>
      <c r="J29" s="122"/>
      <c r="K29" s="122"/>
      <c r="L29" s="122"/>
      <c r="M29" s="208"/>
    </row>
    <row r="30" spans="1:14" x14ac:dyDescent="0.2">
      <c r="A30" s="226" t="s">
        <v>47</v>
      </c>
      <c r="B30" s="257"/>
      <c r="C30" s="165"/>
      <c r="D30" s="165"/>
      <c r="E30" s="165"/>
      <c r="F30" s="196"/>
      <c r="G30" s="122"/>
      <c r="H30" s="122"/>
      <c r="I30" s="495"/>
      <c r="J30" s="122"/>
      <c r="K30" s="122"/>
      <c r="L30" s="122"/>
      <c r="M30" s="208"/>
    </row>
    <row r="31" spans="1:14" x14ac:dyDescent="0.2">
      <c r="A31" s="55" t="s">
        <v>98</v>
      </c>
      <c r="B31" s="257">
        <f t="shared" ref="B31:E33" si="6">B26+B21+B16</f>
        <v>0</v>
      </c>
      <c r="C31" s="165">
        <f t="shared" si="6"/>
        <v>1019004</v>
      </c>
      <c r="D31" s="165">
        <f t="shared" si="6"/>
        <v>14755821</v>
      </c>
      <c r="E31" s="165">
        <f t="shared" si="6"/>
        <v>9758056</v>
      </c>
      <c r="F31" s="196"/>
      <c r="G31" s="122">
        <f t="shared" ref="G31:H33" si="7">G26+G21+G16</f>
        <v>0</v>
      </c>
      <c r="H31" s="122">
        <f t="shared" si="7"/>
        <v>77145</v>
      </c>
      <c r="I31" s="495"/>
      <c r="J31" s="122">
        <f t="shared" ref="J31:L33" si="8">J26+J21+J16</f>
        <v>0</v>
      </c>
      <c r="K31" s="122">
        <f t="shared" si="8"/>
        <v>148162</v>
      </c>
      <c r="L31" s="122">
        <f>L26+L21+L16</f>
        <v>71121</v>
      </c>
      <c r="M31" s="208">
        <f t="shared" ref="M31:M33" si="9">SUM(B31:H31)+SUM(J31:L31)</f>
        <v>25829309</v>
      </c>
    </row>
    <row r="32" spans="1:14" x14ac:dyDescent="0.2">
      <c r="A32" s="55" t="s">
        <v>66</v>
      </c>
      <c r="B32" s="257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95130</v>
      </c>
      <c r="F32" s="196"/>
      <c r="G32" s="122">
        <f t="shared" si="7"/>
        <v>0</v>
      </c>
      <c r="H32" s="122">
        <f t="shared" si="7"/>
        <v>0</v>
      </c>
      <c r="I32" s="496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95130</v>
      </c>
    </row>
    <row r="33" spans="1:13" ht="18" customHeight="1" thickBot="1" x14ac:dyDescent="0.25">
      <c r="A33" s="213" t="s">
        <v>49</v>
      </c>
      <c r="B33" s="444">
        <f t="shared" si="6"/>
        <v>0</v>
      </c>
      <c r="C33" s="214">
        <f t="shared" si="6"/>
        <v>1019004</v>
      </c>
      <c r="D33" s="214">
        <f t="shared" si="6"/>
        <v>14755821</v>
      </c>
      <c r="E33" s="214">
        <f t="shared" si="6"/>
        <v>9853186</v>
      </c>
      <c r="F33" s="227"/>
      <c r="G33" s="216">
        <f t="shared" si="7"/>
        <v>0</v>
      </c>
      <c r="H33" s="216">
        <f t="shared" si="7"/>
        <v>77145</v>
      </c>
      <c r="I33" s="315">
        <f>I28+I23+I18</f>
        <v>0</v>
      </c>
      <c r="J33" s="216">
        <f t="shared" si="8"/>
        <v>0</v>
      </c>
      <c r="K33" s="216">
        <f t="shared" si="8"/>
        <v>148162</v>
      </c>
      <c r="L33" s="216">
        <f t="shared" si="8"/>
        <v>71121</v>
      </c>
      <c r="M33" s="217">
        <f t="shared" si="9"/>
        <v>25924439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January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29" sqref="G29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15">
        <v>42005</v>
      </c>
      <c r="B2" s="80" t="s">
        <v>69</v>
      </c>
      <c r="C2" s="80" t="s">
        <v>70</v>
      </c>
      <c r="D2" s="80" t="s">
        <v>71</v>
      </c>
      <c r="E2" s="327" t="s">
        <v>81</v>
      </c>
      <c r="F2" s="81" t="s">
        <v>206</v>
      </c>
      <c r="G2" s="81" t="s">
        <v>186</v>
      </c>
      <c r="H2" s="82" t="s">
        <v>72</v>
      </c>
      <c r="I2" s="83" t="s">
        <v>205</v>
      </c>
      <c r="J2" s="83" t="s">
        <v>184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3860375</v>
      </c>
      <c r="C5" s="122">
        <f>'Regional Major'!K25</f>
        <v>78</v>
      </c>
      <c r="D5" s="122">
        <f>Cargo!M16</f>
        <v>11929197</v>
      </c>
      <c r="E5" s="122">
        <f>SUM(B5:D5)</f>
        <v>15789650</v>
      </c>
      <c r="F5" s="122">
        <f>E5*0.00045359237</f>
        <v>7162.0647649704997</v>
      </c>
      <c r="G5" s="150">
        <f>'[1]Cargo Summary'!F5</f>
        <v>6952.3948670845903</v>
      </c>
      <c r="H5" s="101">
        <f>(F5-G5)/G5</f>
        <v>3.0157938651984562E-2</v>
      </c>
      <c r="I5" s="150">
        <f>+F5</f>
        <v>7162.0647649704997</v>
      </c>
      <c r="J5" s="150">
        <f>'[1]Cargo Summary'!I5</f>
        <v>6952.3948670845903</v>
      </c>
      <c r="K5" s="88">
        <f>(I5-J5)/J5</f>
        <v>3.0157938651984562E-2</v>
      </c>
      <c r="M5" s="37"/>
    </row>
    <row r="6" spans="1:18" x14ac:dyDescent="0.2">
      <c r="A6" s="65" t="s">
        <v>18</v>
      </c>
      <c r="B6" s="173">
        <f>'Major Airline Stats'!J29</f>
        <v>1354438</v>
      </c>
      <c r="C6" s="122">
        <f>'Regional Major'!K26</f>
        <v>0</v>
      </c>
      <c r="D6" s="122">
        <f>Cargo!M17</f>
        <v>6631</v>
      </c>
      <c r="E6" s="122">
        <f>SUM(B6:D6)</f>
        <v>1361069</v>
      </c>
      <c r="F6" s="122">
        <f>E6*0.00045359237</f>
        <v>617.37051344352994</v>
      </c>
      <c r="G6" s="150">
        <f>'[1]Cargo Summary'!F6</f>
        <v>715.72430780773993</v>
      </c>
      <c r="H6" s="39">
        <f>(F6-G6)/G6</f>
        <v>-0.13741854690595487</v>
      </c>
      <c r="I6" s="150">
        <f>+F6</f>
        <v>617.37051344352994</v>
      </c>
      <c r="J6" s="150">
        <f>'[1]Cargo Summary'!I6</f>
        <v>715.72430780773993</v>
      </c>
      <c r="K6" s="88">
        <f>(I6-J6)/J6</f>
        <v>-0.13741854690595487</v>
      </c>
      <c r="M6" s="37"/>
    </row>
    <row r="7" spans="1:18" ht="18" customHeight="1" thickBot="1" x14ac:dyDescent="0.25">
      <c r="A7" s="76" t="s">
        <v>78</v>
      </c>
      <c r="B7" s="175">
        <f>SUM(B5:B6)</f>
        <v>5214813</v>
      </c>
      <c r="C7" s="137">
        <f t="shared" ref="C7:J7" si="0">SUM(C5:C6)</f>
        <v>78</v>
      </c>
      <c r="D7" s="137">
        <f t="shared" si="0"/>
        <v>11935828</v>
      </c>
      <c r="E7" s="137">
        <f t="shared" si="0"/>
        <v>17150719</v>
      </c>
      <c r="F7" s="137">
        <f t="shared" si="0"/>
        <v>7779.4352784140301</v>
      </c>
      <c r="G7" s="137">
        <f t="shared" si="0"/>
        <v>7668.1191748923302</v>
      </c>
      <c r="H7" s="46">
        <f>(F7-G7)/G7</f>
        <v>1.4516741456781406E-2</v>
      </c>
      <c r="I7" s="137">
        <f t="shared" si="0"/>
        <v>7779.4352784140301</v>
      </c>
      <c r="J7" s="137">
        <f t="shared" si="0"/>
        <v>7668.1191748923302</v>
      </c>
      <c r="K7" s="329">
        <f>(I7-J7)/J7</f>
        <v>1.4516741456781406E-2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4009566</v>
      </c>
      <c r="C10" s="122">
        <f>'Regional Major'!K30</f>
        <v>0</v>
      </c>
      <c r="D10" s="122">
        <f>Cargo!M21</f>
        <v>13900112</v>
      </c>
      <c r="E10" s="122">
        <f>SUM(B10:D10)</f>
        <v>17909678</v>
      </c>
      <c r="F10" s="122">
        <f>E10*0.00045359237</f>
        <v>8123.6932899568601</v>
      </c>
      <c r="G10" s="150">
        <f>'[1]Cargo Summary'!F10</f>
        <v>8230.9411235120297</v>
      </c>
      <c r="H10" s="39">
        <f>(F10-G10)/G10</f>
        <v>-1.3029838501555018E-2</v>
      </c>
      <c r="I10" s="150">
        <f>+F10</f>
        <v>8123.6932899568601</v>
      </c>
      <c r="J10" s="150">
        <f>'[1]Cargo Summary'!I10</f>
        <v>8230.9411235120297</v>
      </c>
      <c r="K10" s="88">
        <f>(I10-J10)/J10</f>
        <v>-1.3029838501555018E-2</v>
      </c>
      <c r="M10" s="37"/>
    </row>
    <row r="11" spans="1:18" x14ac:dyDescent="0.2">
      <c r="A11" s="65" t="s">
        <v>18</v>
      </c>
      <c r="B11" s="173">
        <f>'Major Airline Stats'!J34</f>
        <v>868109</v>
      </c>
      <c r="C11" s="122">
        <f>'Regional Major'!K31</f>
        <v>0</v>
      </c>
      <c r="D11" s="122">
        <f>Cargo!M22</f>
        <v>88499</v>
      </c>
      <c r="E11" s="122">
        <f>SUM(B11:D11)</f>
        <v>956608</v>
      </c>
      <c r="F11" s="122">
        <f>E11*0.00045359237</f>
        <v>433.91008988096002</v>
      </c>
      <c r="G11" s="150">
        <f>'[1]Cargo Summary'!F11</f>
        <v>409.59799244133001</v>
      </c>
      <c r="H11" s="37">
        <f>(F11-G11)/G11</f>
        <v>5.9355997559271303E-2</v>
      </c>
      <c r="I11" s="150">
        <f>+F11</f>
        <v>433.91008988096002</v>
      </c>
      <c r="J11" s="150">
        <f>'[1]Cargo Summary'!I11</f>
        <v>409.59799244133001</v>
      </c>
      <c r="K11" s="88">
        <f>(I11-J11)/J11</f>
        <v>5.9355997559271303E-2</v>
      </c>
      <c r="M11" s="37"/>
    </row>
    <row r="12" spans="1:18" ht="18" customHeight="1" thickBot="1" x14ac:dyDescent="0.25">
      <c r="A12" s="76" t="s">
        <v>79</v>
      </c>
      <c r="B12" s="175">
        <f>SUM(B10:B11)</f>
        <v>4877675</v>
      </c>
      <c r="C12" s="137">
        <f t="shared" ref="C12:J12" si="1">SUM(C10:C11)</f>
        <v>0</v>
      </c>
      <c r="D12" s="137">
        <f t="shared" si="1"/>
        <v>13988611</v>
      </c>
      <c r="E12" s="137">
        <f t="shared" si="1"/>
        <v>18866286</v>
      </c>
      <c r="F12" s="137">
        <f t="shared" si="1"/>
        <v>8557.6033798378194</v>
      </c>
      <c r="G12" s="137">
        <f t="shared" si="1"/>
        <v>8640.5391159533592</v>
      </c>
      <c r="H12" s="46">
        <f>(F12-G12)/G12</f>
        <v>-9.5984446112178812E-3</v>
      </c>
      <c r="I12" s="137">
        <f t="shared" si="1"/>
        <v>8557.6033798378194</v>
      </c>
      <c r="J12" s="137">
        <f t="shared" si="1"/>
        <v>8640.5391159533592</v>
      </c>
      <c r="K12" s="329">
        <f>(I12-J12)/J12</f>
        <v>-9.5984446112178812E-3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7" t="e">
        <f>(F15-G15)/G15</f>
        <v>#DIV/0!</v>
      </c>
      <c r="I15" s="150">
        <f>+F15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9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7869941</v>
      </c>
      <c r="C20" s="122">
        <f t="shared" si="3"/>
        <v>78</v>
      </c>
      <c r="D20" s="122">
        <f t="shared" si="3"/>
        <v>25829309</v>
      </c>
      <c r="E20" s="122">
        <f>SUM(B20:D20)</f>
        <v>33699328</v>
      </c>
      <c r="F20" s="122">
        <f>E20*0.00045359237</f>
        <v>15285.758054927359</v>
      </c>
      <c r="G20" s="150">
        <f>'[1]Cargo Summary'!F20</f>
        <v>15183.335990596619</v>
      </c>
      <c r="H20" s="39">
        <f>(F20-G20)/G20</f>
        <v>6.7456891156312529E-3</v>
      </c>
      <c r="I20" s="150">
        <f>+I5+I10+I15</f>
        <v>15285.758054927359</v>
      </c>
      <c r="J20" s="150">
        <f>+J5+J10+J15</f>
        <v>15183.335990596621</v>
      </c>
      <c r="K20" s="88">
        <f>(I20-J20)/J20</f>
        <v>6.7456891156311323E-3</v>
      </c>
      <c r="M20" s="37"/>
    </row>
    <row r="21" spans="1:13" x14ac:dyDescent="0.2">
      <c r="A21" s="65" t="s">
        <v>18</v>
      </c>
      <c r="B21" s="173">
        <f t="shared" si="3"/>
        <v>2222547</v>
      </c>
      <c r="C21" s="124">
        <f t="shared" si="3"/>
        <v>0</v>
      </c>
      <c r="D21" s="124">
        <f t="shared" si="3"/>
        <v>95130</v>
      </c>
      <c r="E21" s="122">
        <f>SUM(B21:D21)</f>
        <v>2317677</v>
      </c>
      <c r="F21" s="122">
        <f>E21*0.00045359237</f>
        <v>1051.2806033244899</v>
      </c>
      <c r="G21" s="150">
        <f>'[1]Cargo Summary'!F21</f>
        <v>1125.3223002490699</v>
      </c>
      <c r="H21" s="39">
        <f>(F21-G21)/G21</f>
        <v>-6.5795991875565105E-2</v>
      </c>
      <c r="I21" s="150">
        <f>+I6+I11+I16</f>
        <v>1051.2806033244899</v>
      </c>
      <c r="J21" s="150">
        <f>+J6+J11+J16</f>
        <v>1125.3223002490699</v>
      </c>
      <c r="K21" s="88">
        <f>(I21-J21)/J21</f>
        <v>-6.5795991875565105E-2</v>
      </c>
      <c r="M21" s="37"/>
    </row>
    <row r="22" spans="1:13" ht="18" customHeight="1" thickBot="1" x14ac:dyDescent="0.25">
      <c r="A22" s="91" t="s">
        <v>68</v>
      </c>
      <c r="B22" s="176">
        <f>SUM(B20:B21)</f>
        <v>10092488</v>
      </c>
      <c r="C22" s="177">
        <f t="shared" ref="C22:J22" si="4">SUM(C20:C21)</f>
        <v>78</v>
      </c>
      <c r="D22" s="177">
        <f t="shared" si="4"/>
        <v>25924439</v>
      </c>
      <c r="E22" s="177">
        <f t="shared" si="4"/>
        <v>36017005</v>
      </c>
      <c r="F22" s="177">
        <f t="shared" si="4"/>
        <v>16337.038658251849</v>
      </c>
      <c r="G22" s="177">
        <f t="shared" si="4"/>
        <v>16308.658290845689</v>
      </c>
      <c r="H22" s="335">
        <f>(F22-G22)/G22</f>
        <v>1.7402024679179422E-3</v>
      </c>
      <c r="I22" s="177">
        <f t="shared" si="4"/>
        <v>16337.038658251849</v>
      </c>
      <c r="J22" s="177">
        <f t="shared" si="4"/>
        <v>16308.658290845691</v>
      </c>
      <c r="K22" s="336">
        <f>(I22-J22)/J22</f>
        <v>1.7402024679178303E-3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P7" sqref="P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415">
        <v>42005</v>
      </c>
      <c r="B1" s="12" t="s">
        <v>20</v>
      </c>
      <c r="C1" s="282" t="s">
        <v>55</v>
      </c>
      <c r="D1" s="475" t="s">
        <v>192</v>
      </c>
      <c r="E1" s="282" t="s">
        <v>214</v>
      </c>
      <c r="F1" s="282" t="s">
        <v>215</v>
      </c>
      <c r="G1" s="282" t="s">
        <v>53</v>
      </c>
      <c r="H1" s="282" t="s">
        <v>126</v>
      </c>
      <c r="I1" s="282" t="s">
        <v>111</v>
      </c>
      <c r="J1" s="282" t="s">
        <v>211</v>
      </c>
      <c r="K1" s="282" t="s">
        <v>187</v>
      </c>
      <c r="L1" s="282" t="s">
        <v>56</v>
      </c>
      <c r="M1" s="282" t="s">
        <v>158</v>
      </c>
      <c r="N1" s="282" t="s">
        <v>24</v>
      </c>
    </row>
    <row r="2" spans="1:14" ht="15" x14ac:dyDescent="0.25">
      <c r="A2" s="501" t="s">
        <v>159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3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[2]Delta!$DX$32</f>
        <v>64313</v>
      </c>
      <c r="C4" s="22">
        <f>'[2]Atlantic Southeast'!$DX$32</f>
        <v>904</v>
      </c>
      <c r="D4" s="22">
        <f>[2]Pinnacle!$DX$32</f>
        <v>17970</v>
      </c>
      <c r="E4" s="22">
        <f>[2]Compass!$DX$32</f>
        <v>3119</v>
      </c>
      <c r="F4" s="22">
        <f>'[2]Sky West'!$DX$32</f>
        <v>5643</v>
      </c>
      <c r="G4" s="22">
        <f>'[2]Sun Country'!$DX$32</f>
        <v>21291</v>
      </c>
      <c r="H4" s="22">
        <f>[2]Icelandair!$DX$32</f>
        <v>0</v>
      </c>
      <c r="I4" s="22">
        <f>[2]AirCanada!$DX$32</f>
        <v>3250</v>
      </c>
      <c r="J4" s="22">
        <f>[2]Condor!$DX$32</f>
        <v>0</v>
      </c>
      <c r="K4" s="22">
        <f>'[2]Air France'!$DX$32</f>
        <v>0</v>
      </c>
      <c r="L4" s="22">
        <f>[2]Comair!$DX$32</f>
        <v>0</v>
      </c>
      <c r="M4" s="22">
        <f>'[2]Charter Misc'!$DX$32+[2]Ryan!$DX$32+[2]Omni!$DX$32</f>
        <v>0</v>
      </c>
      <c r="N4" s="291">
        <f>SUM(B4:M4)</f>
        <v>116490</v>
      </c>
    </row>
    <row r="5" spans="1:14" x14ac:dyDescent="0.2">
      <c r="A5" s="65" t="s">
        <v>34</v>
      </c>
      <c r="B5" s="14">
        <f>[2]Delta!$DX$33</f>
        <v>62158</v>
      </c>
      <c r="C5" s="14">
        <f>'[2]Atlantic Southeast'!$DX$33</f>
        <v>1132</v>
      </c>
      <c r="D5" s="14">
        <f>[2]Pinnacle!$DX$33</f>
        <v>17929</v>
      </c>
      <c r="E5" s="14">
        <f>[2]Compass!$DX$33</f>
        <v>2840</v>
      </c>
      <c r="F5" s="14">
        <f>'[2]Sky West'!$DX$33</f>
        <v>5046</v>
      </c>
      <c r="G5" s="14">
        <f>'[2]Sun Country'!$DX$33</f>
        <v>23329</v>
      </c>
      <c r="H5" s="14">
        <f>[2]Icelandair!$DX$33</f>
        <v>0</v>
      </c>
      <c r="I5" s="14">
        <f>[2]AirCanada!$DX$33</f>
        <v>3146</v>
      </c>
      <c r="J5" s="14">
        <f>[2]Condor!$DX$33</f>
        <v>0</v>
      </c>
      <c r="K5" s="14">
        <f>'[2]Air France'!$DX$33</f>
        <v>0</v>
      </c>
      <c r="L5" s="14">
        <f>[2]Comair!$DX$33</f>
        <v>0</v>
      </c>
      <c r="M5" s="14">
        <f>'[2]Charter Misc'!$DX$33++[2]Ryan!$DX$33+[2]Omni!$DX$33</f>
        <v>0</v>
      </c>
      <c r="N5" s="292">
        <f>SUM(B5:M5)</f>
        <v>115580</v>
      </c>
    </row>
    <row r="6" spans="1:14" ht="15" x14ac:dyDescent="0.25">
      <c r="A6" s="63" t="s">
        <v>7</v>
      </c>
      <c r="B6" s="36">
        <f t="shared" ref="B6:M6" si="0">SUM(B4:B5)</f>
        <v>126471</v>
      </c>
      <c r="C6" s="36">
        <f t="shared" si="0"/>
        <v>2036</v>
      </c>
      <c r="D6" s="36">
        <f t="shared" si="0"/>
        <v>35899</v>
      </c>
      <c r="E6" s="36">
        <f t="shared" si="0"/>
        <v>5959</v>
      </c>
      <c r="F6" s="36">
        <f t="shared" si="0"/>
        <v>10689</v>
      </c>
      <c r="G6" s="36">
        <f t="shared" si="0"/>
        <v>44620</v>
      </c>
      <c r="H6" s="36">
        <f t="shared" si="0"/>
        <v>0</v>
      </c>
      <c r="I6" s="36">
        <f t="shared" si="0"/>
        <v>6396</v>
      </c>
      <c r="J6" s="36">
        <f t="shared" ref="J6" si="1">SUM(J4:J5)</f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93">
        <f>SUM(B6:M6)</f>
        <v>232070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91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91">
        <f>SUM(B8:M8)</f>
        <v>0</v>
      </c>
    </row>
    <row r="9" spans="1:14" x14ac:dyDescent="0.2">
      <c r="A9" s="65" t="s">
        <v>33</v>
      </c>
      <c r="B9" s="22">
        <f>[2]Delta!$DX$37</f>
        <v>1674</v>
      </c>
      <c r="C9" s="22">
        <f>'[2]Atlantic Southeast'!$DX$37</f>
        <v>21</v>
      </c>
      <c r="D9" s="22">
        <f>[2]Pinnacle!$DX$37</f>
        <v>264</v>
      </c>
      <c r="E9" s="22">
        <f>[2]Compass!$DX$37</f>
        <v>55</v>
      </c>
      <c r="F9" s="22">
        <f>'[2]Sky West'!$DX$37</f>
        <v>88</v>
      </c>
      <c r="G9" s="22">
        <f>'[2]Sun Country'!$DX$37</f>
        <v>180</v>
      </c>
      <c r="H9" s="22">
        <f>[2]Icelandair!$DX$37</f>
        <v>0</v>
      </c>
      <c r="I9" s="22">
        <f>[2]AirCanada!$DX$37</f>
        <v>46</v>
      </c>
      <c r="J9" s="22">
        <f>[2]Condor!$DX$37</f>
        <v>0</v>
      </c>
      <c r="K9" s="22">
        <f>'[2]Air France'!$DX$37</f>
        <v>0</v>
      </c>
      <c r="L9" s="22">
        <f>[2]Comair!$DX$37</f>
        <v>0</v>
      </c>
      <c r="M9" s="22">
        <f>'[2]Charter Misc'!$DX$37+[2]Ryan!$DX$37+[2]Omni!$DX$37</f>
        <v>0</v>
      </c>
      <c r="N9" s="291">
        <f>SUM(B9:M9)</f>
        <v>2328</v>
      </c>
    </row>
    <row r="10" spans="1:14" x14ac:dyDescent="0.2">
      <c r="A10" s="65" t="s">
        <v>36</v>
      </c>
      <c r="B10" s="14">
        <f>[2]Delta!$DX$38</f>
        <v>1552</v>
      </c>
      <c r="C10" s="14">
        <f>'[2]Atlantic Southeast'!$DX$38</f>
        <v>7</v>
      </c>
      <c r="D10" s="14">
        <f>[2]Pinnacle!$DX$38</f>
        <v>238</v>
      </c>
      <c r="E10" s="14">
        <f>[2]Compass!$DX$38</f>
        <v>61</v>
      </c>
      <c r="F10" s="14">
        <f>'[2]Sky West'!$DX$38</f>
        <v>71</v>
      </c>
      <c r="G10" s="14">
        <f>'[2]Sun Country'!$DX$38</f>
        <v>203</v>
      </c>
      <c r="H10" s="14">
        <f>[2]Icelandair!$DX$38</f>
        <v>0</v>
      </c>
      <c r="I10" s="14">
        <f>[2]AirCanada!$DX$38</f>
        <v>35</v>
      </c>
      <c r="J10" s="14">
        <f>[2]Condor!$DX$38</f>
        <v>0</v>
      </c>
      <c r="K10" s="14">
        <f>'[2]Air France'!$DX$38</f>
        <v>0</v>
      </c>
      <c r="L10" s="14">
        <f>[2]Comair!$DX$38</f>
        <v>0</v>
      </c>
      <c r="M10" s="14">
        <f>'[2]Charter Misc'!$DX$38+[2]Ryan!$DX$38+[2]Omni!$DX$38</f>
        <v>0</v>
      </c>
      <c r="N10" s="292">
        <f>SUM(B10:M10)</f>
        <v>2167</v>
      </c>
    </row>
    <row r="11" spans="1:14" ht="15.75" thickBot="1" x14ac:dyDescent="0.3">
      <c r="A11" s="66" t="s">
        <v>37</v>
      </c>
      <c r="B11" s="294">
        <f t="shared" ref="B11:G11" si="2">SUM(B9:B10)</f>
        <v>3226</v>
      </c>
      <c r="C11" s="294">
        <f t="shared" si="2"/>
        <v>28</v>
      </c>
      <c r="D11" s="294">
        <f t="shared" si="2"/>
        <v>502</v>
      </c>
      <c r="E11" s="294">
        <f t="shared" si="2"/>
        <v>116</v>
      </c>
      <c r="F11" s="294">
        <f t="shared" si="2"/>
        <v>159</v>
      </c>
      <c r="G11" s="294">
        <f t="shared" si="2"/>
        <v>383</v>
      </c>
      <c r="H11" s="294">
        <f t="shared" ref="H11:M11" si="3">SUM(H9:H10)</f>
        <v>0</v>
      </c>
      <c r="I11" s="294">
        <f t="shared" si="3"/>
        <v>81</v>
      </c>
      <c r="J11" s="294">
        <f t="shared" si="3"/>
        <v>0</v>
      </c>
      <c r="K11" s="294">
        <f t="shared" si="3"/>
        <v>0</v>
      </c>
      <c r="L11" s="294">
        <f t="shared" si="3"/>
        <v>0</v>
      </c>
      <c r="M11" s="294">
        <f t="shared" si="3"/>
        <v>0</v>
      </c>
      <c r="N11" s="295">
        <f>SUM(B11:M11)</f>
        <v>4495</v>
      </c>
    </row>
    <row r="12" spans="1:14" ht="15" x14ac:dyDescent="0.25">
      <c r="A12" s="420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7"/>
    </row>
    <row r="13" spans="1:14" ht="26.25" thickBot="1" x14ac:dyDescent="0.25">
      <c r="B13" s="12" t="s">
        <v>20</v>
      </c>
      <c r="C13" s="282" t="s">
        <v>55</v>
      </c>
      <c r="D13" s="475" t="s">
        <v>192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82" t="s">
        <v>211</v>
      </c>
      <c r="K13" s="12" t="s">
        <v>187</v>
      </c>
      <c r="L13" s="12" t="s">
        <v>56</v>
      </c>
      <c r="M13" s="12" t="s">
        <v>158</v>
      </c>
      <c r="N13" s="282" t="s">
        <v>160</v>
      </c>
    </row>
    <row r="14" spans="1:14" ht="15" x14ac:dyDescent="0.25">
      <c r="A14" s="504" t="s">
        <v>161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6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SUM([2]Delta!$DX$32:$DX$32)</f>
        <v>64313</v>
      </c>
      <c r="C16" s="22">
        <f>SUM('[2]Atlantic Southeast'!$DX$32:$DX$32)</f>
        <v>904</v>
      </c>
      <c r="D16" s="22">
        <f>SUM([2]Pinnacle!$DX$32:$DX$32)</f>
        <v>17970</v>
      </c>
      <c r="E16" s="22">
        <f>SUM([2]Compass!$DX$32:$DX$32)</f>
        <v>3119</v>
      </c>
      <c r="F16" s="22">
        <f>SUM('[2]Sky West'!$DX$32:$DX$32)</f>
        <v>5643</v>
      </c>
      <c r="G16" s="22">
        <f>SUM('[2]Sun Country'!$DX$32:$DX$32)</f>
        <v>21291</v>
      </c>
      <c r="H16" s="22">
        <f>SUM([2]Icelandair!$DX$32:$DX$32)</f>
        <v>0</v>
      </c>
      <c r="I16" s="22">
        <f>SUM([2]AirCanada!$DX$32:$DX$32)</f>
        <v>3250</v>
      </c>
      <c r="J16" s="22">
        <f>SUM([2]Condor!$DX$32:$DX$32)</f>
        <v>0</v>
      </c>
      <c r="K16" s="22">
        <f>SUM('[2]Air France'!$DX$32:$DX$32)</f>
        <v>0</v>
      </c>
      <c r="L16" s="22">
        <f>SUM([2]Comair!$DX$32:$DX$32)</f>
        <v>0</v>
      </c>
      <c r="M16" s="22">
        <f>SUM('[2]Charter Misc'!$DX$32:$DX$32)+SUM([2]Ryan!$DX$32:$DX$32)+SUM([2]Omni!$DX$32:$DX$32)</f>
        <v>0</v>
      </c>
      <c r="N16" s="291">
        <f>SUM(B16:M16)</f>
        <v>116490</v>
      </c>
    </row>
    <row r="17" spans="1:14" x14ac:dyDescent="0.2">
      <c r="A17" s="65" t="s">
        <v>34</v>
      </c>
      <c r="B17" s="14">
        <f>SUM([2]Delta!$DX$33:$DX$33)</f>
        <v>62158</v>
      </c>
      <c r="C17" s="14">
        <f>SUM('[2]Atlantic Southeast'!$DX$33:$DX$33)</f>
        <v>1132</v>
      </c>
      <c r="D17" s="14">
        <f>SUM([2]Pinnacle!$DX$33:$DX$33)</f>
        <v>17929</v>
      </c>
      <c r="E17" s="14">
        <f>SUM([2]Compass!$DX$33:$DX$33)</f>
        <v>2840</v>
      </c>
      <c r="F17" s="14">
        <f>SUM('[2]Sky West'!$DX$33:$DX$33)</f>
        <v>5046</v>
      </c>
      <c r="G17" s="14">
        <f>SUM('[2]Sun Country'!$DX$33:$DX$33)</f>
        <v>23329</v>
      </c>
      <c r="H17" s="14">
        <f>SUM([2]Icelandair!$DX$33:$DX$33)</f>
        <v>0</v>
      </c>
      <c r="I17" s="14">
        <f>SUM([2]AirCanada!$DX$33:$DX$33)</f>
        <v>3146</v>
      </c>
      <c r="J17" s="14">
        <f>SUM([2]Condor!$DX$33:$DX$33)</f>
        <v>0</v>
      </c>
      <c r="K17" s="14">
        <f>SUM('[2]Air France'!$DX$33:$DX$33)</f>
        <v>0</v>
      </c>
      <c r="L17" s="14">
        <f>SUM([2]Comair!$DX$33:$DX$33)</f>
        <v>0</v>
      </c>
      <c r="M17" s="14">
        <f>SUM('[2]Charter Misc'!$DX$33:$DX$33)++SUM([2]Ryan!$DX$33:$DX$33)+SUM([2]Omni!$DX$33:$DX$33)</f>
        <v>0</v>
      </c>
      <c r="N17" s="292">
        <f>SUM(B17:M17)</f>
        <v>115580</v>
      </c>
    </row>
    <row r="18" spans="1:14" ht="15" x14ac:dyDescent="0.25">
      <c r="A18" s="63" t="s">
        <v>7</v>
      </c>
      <c r="B18" s="36">
        <f t="shared" ref="B18:M18" si="4">SUM(B16:B17)</f>
        <v>126471</v>
      </c>
      <c r="C18" s="36">
        <f t="shared" si="4"/>
        <v>2036</v>
      </c>
      <c r="D18" s="36">
        <f t="shared" si="4"/>
        <v>35899</v>
      </c>
      <c r="E18" s="36">
        <f t="shared" si="4"/>
        <v>5959</v>
      </c>
      <c r="F18" s="36">
        <f t="shared" si="4"/>
        <v>10689</v>
      </c>
      <c r="G18" s="36">
        <f t="shared" si="4"/>
        <v>44620</v>
      </c>
      <c r="H18" s="36">
        <f t="shared" si="4"/>
        <v>0</v>
      </c>
      <c r="I18" s="36">
        <f t="shared" si="4"/>
        <v>6396</v>
      </c>
      <c r="J18" s="36">
        <f t="shared" ref="J18" si="5">SUM(J16:J17)</f>
        <v>0</v>
      </c>
      <c r="K18" s="36">
        <f t="shared" si="4"/>
        <v>0</v>
      </c>
      <c r="L18" s="36">
        <f t="shared" si="4"/>
        <v>0</v>
      </c>
      <c r="M18" s="36">
        <f t="shared" si="4"/>
        <v>0</v>
      </c>
      <c r="N18" s="293">
        <f>SUM(B18:M18)</f>
        <v>232070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1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91">
        <f>SUM(B20:M20)</f>
        <v>0</v>
      </c>
    </row>
    <row r="21" spans="1:14" x14ac:dyDescent="0.2">
      <c r="A21" s="65" t="s">
        <v>33</v>
      </c>
      <c r="B21" s="22">
        <f>SUM([2]Delta!$DX$37:$DX$37)</f>
        <v>1674</v>
      </c>
      <c r="C21" s="22">
        <f>SUM('[2]Atlantic Southeast'!$DX$37:$DX$37)</f>
        <v>21</v>
      </c>
      <c r="D21" s="22">
        <f>SUM([2]Pinnacle!$DX$37:$DX$37)</f>
        <v>264</v>
      </c>
      <c r="E21" s="22">
        <f>SUM([2]Compass!$DX$37:$DX$37)</f>
        <v>55</v>
      </c>
      <c r="F21" s="22">
        <f>SUM('[2]Sky West'!$DX$37:$DX$37)</f>
        <v>88</v>
      </c>
      <c r="G21" s="22">
        <f>SUM('[2]Sun Country'!$DX$37:$DX$37)</f>
        <v>180</v>
      </c>
      <c r="H21" s="22">
        <f>SUM([2]Icelandair!$DX$37:$DX$37)</f>
        <v>0</v>
      </c>
      <c r="I21" s="22">
        <f>SUM([2]AirCanada!$DX$37:$DX$37)</f>
        <v>46</v>
      </c>
      <c r="J21" s="22">
        <f>SUM([2]Condor!$DX$37:$DX$37)</f>
        <v>0</v>
      </c>
      <c r="K21" s="22">
        <f>SUM('[2]Air France'!$DX$37:$DX$37)</f>
        <v>0</v>
      </c>
      <c r="L21" s="22">
        <f>SUM([2]Comair!$DX$37:$DX$37)</f>
        <v>0</v>
      </c>
      <c r="M21" s="22">
        <f>SUM('[2]Charter Misc'!$DX$37:$DX$37)++SUM([2]Ryan!$DX$37:$DX$37)+SUM([2]Omni!$DX$37:$DX$37)</f>
        <v>0</v>
      </c>
      <c r="N21" s="291">
        <f>SUM(B21:M21)</f>
        <v>2328</v>
      </c>
    </row>
    <row r="22" spans="1:14" x14ac:dyDescent="0.2">
      <c r="A22" s="65" t="s">
        <v>36</v>
      </c>
      <c r="B22" s="14">
        <f>SUM([2]Delta!$DX$38:$DX$38)</f>
        <v>1552</v>
      </c>
      <c r="C22" s="14">
        <f>SUM('[2]Atlantic Southeast'!$DX$38:$DX$38)</f>
        <v>7</v>
      </c>
      <c r="D22" s="14">
        <f>SUM([2]Pinnacle!$DX$38:$DX$38)</f>
        <v>238</v>
      </c>
      <c r="E22" s="14">
        <f>SUM([2]Compass!$DX$38:$DX$38)</f>
        <v>61</v>
      </c>
      <c r="F22" s="14">
        <f>SUM('[2]Sky West'!$DX$38:$DX$38)</f>
        <v>71</v>
      </c>
      <c r="G22" s="14">
        <f>SUM('[2]Sun Country'!$DX$38:$DX$38)</f>
        <v>203</v>
      </c>
      <c r="H22" s="14">
        <f>SUM([2]Icelandair!$DX$38:$DX$38)</f>
        <v>0</v>
      </c>
      <c r="I22" s="14">
        <f>SUM([2]AirCanada!$DX$38:$DX$38)</f>
        <v>35</v>
      </c>
      <c r="J22" s="14">
        <f>SUM([2]Condor!$DX$38:$DX$38)</f>
        <v>0</v>
      </c>
      <c r="K22" s="14">
        <f>SUM('[2]Air France'!$DX$38:$DX$38)</f>
        <v>0</v>
      </c>
      <c r="L22" s="14">
        <f>SUM([2]Comair!$DX$38:$DX$38)</f>
        <v>0</v>
      </c>
      <c r="M22" s="14">
        <f>SUM('[2]Charter Misc'!$DX$38:$DX$38)++SUM([2]Ryan!$DX$38:$DX$38)+SUM([2]Omni!$DX$38:$DX$38)</f>
        <v>0</v>
      </c>
      <c r="N22" s="292">
        <f>SUM(B22:M22)</f>
        <v>2167</v>
      </c>
    </row>
    <row r="23" spans="1:14" ht="15.75" thickBot="1" x14ac:dyDescent="0.3">
      <c r="A23" s="66" t="s">
        <v>37</v>
      </c>
      <c r="B23" s="294">
        <f t="shared" ref="B23:M23" si="6">SUM(B21:B22)</f>
        <v>3226</v>
      </c>
      <c r="C23" s="294">
        <f t="shared" si="6"/>
        <v>28</v>
      </c>
      <c r="D23" s="294">
        <f t="shared" si="6"/>
        <v>502</v>
      </c>
      <c r="E23" s="294">
        <f t="shared" si="6"/>
        <v>116</v>
      </c>
      <c r="F23" s="294">
        <f t="shared" si="6"/>
        <v>159</v>
      </c>
      <c r="G23" s="294">
        <f t="shared" si="6"/>
        <v>383</v>
      </c>
      <c r="H23" s="294">
        <f t="shared" si="6"/>
        <v>0</v>
      </c>
      <c r="I23" s="294">
        <f t="shared" si="6"/>
        <v>81</v>
      </c>
      <c r="J23" s="294">
        <f t="shared" ref="J23" si="7">SUM(J21:J22)</f>
        <v>0</v>
      </c>
      <c r="K23" s="294">
        <f t="shared" si="6"/>
        <v>0</v>
      </c>
      <c r="L23" s="294">
        <f t="shared" si="6"/>
        <v>0</v>
      </c>
      <c r="M23" s="294">
        <f t="shared" si="6"/>
        <v>0</v>
      </c>
      <c r="N23" s="295">
        <f>SUM(B23:M23)</f>
        <v>4495</v>
      </c>
    </row>
    <row r="25" spans="1:14" ht="26.25" thickBot="1" x14ac:dyDescent="0.25">
      <c r="B25" s="12" t="s">
        <v>20</v>
      </c>
      <c r="C25" s="282" t="s">
        <v>55</v>
      </c>
      <c r="D25" s="475" t="s">
        <v>192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82" t="s">
        <v>211</v>
      </c>
      <c r="K25" s="12" t="s">
        <v>187</v>
      </c>
      <c r="L25" s="12" t="s">
        <v>56</v>
      </c>
      <c r="M25" s="12" t="s">
        <v>158</v>
      </c>
      <c r="N25" s="282" t="s">
        <v>24</v>
      </c>
    </row>
    <row r="26" spans="1:14" ht="15" x14ac:dyDescent="0.25">
      <c r="A26" s="507" t="s">
        <v>162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9"/>
    </row>
    <row r="27" spans="1:14" x14ac:dyDescent="0.2">
      <c r="A27" s="65" t="s">
        <v>25</v>
      </c>
      <c r="B27" s="22">
        <f>[2]Delta!$DX$15</f>
        <v>405</v>
      </c>
      <c r="C27" s="22">
        <f>'[2]Atlantic Southeast'!$DX$15</f>
        <v>20</v>
      </c>
      <c r="D27" s="22">
        <f>[2]Pinnacle!$DX$15</f>
        <v>312</v>
      </c>
      <c r="E27" s="22">
        <f>[2]Compass!$DX$15</f>
        <v>50</v>
      </c>
      <c r="F27" s="22">
        <f>'[2]Sky West'!$DX$15</f>
        <v>118</v>
      </c>
      <c r="G27" s="22">
        <f>'[2]Sun Country'!$DX$15</f>
        <v>177</v>
      </c>
      <c r="H27" s="22">
        <f>[2]Icelandair!$DX$15</f>
        <v>0</v>
      </c>
      <c r="I27" s="22">
        <f>[2]AirCanada!$DX$15</f>
        <v>89</v>
      </c>
      <c r="J27" s="22">
        <f>[2]Condor!$DX$15</f>
        <v>0</v>
      </c>
      <c r="K27" s="22">
        <f>'[2]Air France'!$DX$15</f>
        <v>0</v>
      </c>
      <c r="L27" s="22">
        <f>[2]Comair!$DX$15</f>
        <v>0</v>
      </c>
      <c r="M27" s="22">
        <f>'[2]Charter Misc'!$DX$15+[2]Ryan!$DX$15+[2]Omni!$DX$15</f>
        <v>0</v>
      </c>
      <c r="N27" s="291">
        <f>SUM(B27:M27)</f>
        <v>1171</v>
      </c>
    </row>
    <row r="28" spans="1:14" x14ac:dyDescent="0.2">
      <c r="A28" s="65" t="s">
        <v>26</v>
      </c>
      <c r="B28" s="22">
        <f>[2]Delta!$DX$16</f>
        <v>408</v>
      </c>
      <c r="C28" s="22">
        <f>'[2]Atlantic Southeast'!$DX$16</f>
        <v>21</v>
      </c>
      <c r="D28" s="22">
        <f>[2]Pinnacle!$DX$16</f>
        <v>310</v>
      </c>
      <c r="E28" s="22">
        <f>[2]Compass!$DX$16</f>
        <v>45</v>
      </c>
      <c r="F28" s="22">
        <f>'[2]Sky West'!$DX$16</f>
        <v>117</v>
      </c>
      <c r="G28" s="22">
        <f>'[2]Sun Country'!$DX$16</f>
        <v>176</v>
      </c>
      <c r="H28" s="22">
        <f>[2]Icelandair!$DX$16</f>
        <v>0</v>
      </c>
      <c r="I28" s="22">
        <f>[2]AirCanada!$DX$16</f>
        <v>89</v>
      </c>
      <c r="J28" s="22">
        <f>[2]Condor!$DX$16</f>
        <v>0</v>
      </c>
      <c r="K28" s="22">
        <f>'[2]Air France'!$DX$16</f>
        <v>0</v>
      </c>
      <c r="L28" s="22">
        <f>[2]Comair!$DX$16</f>
        <v>0</v>
      </c>
      <c r="M28" s="22">
        <f>'[2]Charter Misc'!$DX$16+[2]Ryan!$DX$16+[2]Omni!$DX$16</f>
        <v>0</v>
      </c>
      <c r="N28" s="291">
        <f>SUM(B28:M28)</f>
        <v>1166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91"/>
    </row>
    <row r="30" spans="1:14" ht="15.75" thickBot="1" x14ac:dyDescent="0.3">
      <c r="A30" s="66" t="s">
        <v>31</v>
      </c>
      <c r="B30" s="418">
        <f t="shared" ref="B30:I30" si="8">SUM(B27:B28)</f>
        <v>813</v>
      </c>
      <c r="C30" s="418">
        <f t="shared" si="8"/>
        <v>41</v>
      </c>
      <c r="D30" s="418">
        <f t="shared" si="8"/>
        <v>622</v>
      </c>
      <c r="E30" s="418">
        <f t="shared" si="8"/>
        <v>95</v>
      </c>
      <c r="F30" s="418">
        <f>SUM(F27:F28)</f>
        <v>235</v>
      </c>
      <c r="G30" s="418">
        <f t="shared" si="8"/>
        <v>353</v>
      </c>
      <c r="H30" s="418">
        <f t="shared" si="8"/>
        <v>0</v>
      </c>
      <c r="I30" s="418">
        <f t="shared" si="8"/>
        <v>178</v>
      </c>
      <c r="J30" s="418">
        <f>SUM(J27:J28)</f>
        <v>0</v>
      </c>
      <c r="K30" s="418">
        <f>SUM(K27:K28)</f>
        <v>0</v>
      </c>
      <c r="L30" s="418">
        <f>SUM(L27:L28)</f>
        <v>0</v>
      </c>
      <c r="M30" s="418">
        <f>SUM(M27:M28)</f>
        <v>0</v>
      </c>
      <c r="N30" s="419">
        <f>SUM(B30:M30)</f>
        <v>2337</v>
      </c>
    </row>
    <row r="31" spans="1:14" ht="15" x14ac:dyDescent="0.25">
      <c r="A31" s="420"/>
    </row>
    <row r="32" spans="1:14" ht="26.25" thickBot="1" x14ac:dyDescent="0.25">
      <c r="B32" s="12" t="s">
        <v>20</v>
      </c>
      <c r="C32" s="282" t="s">
        <v>55</v>
      </c>
      <c r="D32" s="475" t="s">
        <v>192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82" t="s">
        <v>211</v>
      </c>
      <c r="K32" s="12" t="s">
        <v>187</v>
      </c>
      <c r="L32" s="12" t="s">
        <v>56</v>
      </c>
      <c r="M32" s="12" t="s">
        <v>158</v>
      </c>
      <c r="N32" s="282" t="s">
        <v>160</v>
      </c>
    </row>
    <row r="33" spans="1:14" ht="15" x14ac:dyDescent="0.25">
      <c r="A33" s="510" t="s">
        <v>163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2"/>
    </row>
    <row r="34" spans="1:14" x14ac:dyDescent="0.2">
      <c r="A34" s="65" t="s">
        <v>25</v>
      </c>
      <c r="B34" s="22">
        <f>SUM([2]Delta!$DX$15:$DX$15)</f>
        <v>405</v>
      </c>
      <c r="C34" s="22">
        <f>SUM('[2]Atlantic Southeast'!$DX$15:$DX$15)</f>
        <v>20</v>
      </c>
      <c r="D34" s="22">
        <f>SUM([2]Pinnacle!$DX$15:$DX$15)</f>
        <v>312</v>
      </c>
      <c r="E34" s="22">
        <f>SUM([2]Compass!$DX$15:$DX$15)</f>
        <v>50</v>
      </c>
      <c r="F34" s="22">
        <f>SUM('[2]Sky West'!$DX$15:$DX$15)</f>
        <v>118</v>
      </c>
      <c r="G34" s="22">
        <f>SUM('[2]Sun Country'!$DX$15:$DX$15)</f>
        <v>177</v>
      </c>
      <c r="H34" s="22">
        <f>SUM([2]Icelandair!$DX$15:$DX$15)</f>
        <v>0</v>
      </c>
      <c r="I34" s="22">
        <f>SUM([2]AirCanada!$DX$15:$DX$15)</f>
        <v>89</v>
      </c>
      <c r="J34" s="22">
        <f>SUM([2]Condor!$DX$15:$DX$15)</f>
        <v>0</v>
      </c>
      <c r="K34" s="22">
        <f>SUM('[2]Air France'!$DX$15:$DX$15)</f>
        <v>0</v>
      </c>
      <c r="L34" s="22">
        <f>SUM([2]Comair!$DX$15:$DX$15)</f>
        <v>0</v>
      </c>
      <c r="M34" s="22">
        <f>SUM('[2]Charter Misc'!$DX$15:$DX$15)+SUM([2]Ryan!$DX$15:$DX$15)+SUM([2]Omni!$DX$15:$DX$15)</f>
        <v>0</v>
      </c>
      <c r="N34" s="291">
        <f>SUM(B34:M34)</f>
        <v>1171</v>
      </c>
    </row>
    <row r="35" spans="1:14" x14ac:dyDescent="0.2">
      <c r="A35" s="65" t="s">
        <v>26</v>
      </c>
      <c r="B35" s="22">
        <f>SUM([2]Delta!$DX$16:$DX$16)</f>
        <v>408</v>
      </c>
      <c r="C35" s="22">
        <f>SUM('[2]Atlantic Southeast'!$DX$16:$DX$16)</f>
        <v>21</v>
      </c>
      <c r="D35" s="22">
        <f>SUM([2]Pinnacle!$DX$16:$DX$16)</f>
        <v>310</v>
      </c>
      <c r="E35" s="22">
        <f>SUM([2]Compass!$DX$16:$DX$16)</f>
        <v>45</v>
      </c>
      <c r="F35" s="22">
        <f>SUM('[2]Sky West'!$DX$16:$DX$16)</f>
        <v>117</v>
      </c>
      <c r="G35" s="22">
        <f>SUM('[2]Sun Country'!$DX$16:$DX$16)</f>
        <v>176</v>
      </c>
      <c r="H35" s="22">
        <f>SUM([2]Icelandair!$DX$16:$DX$16)</f>
        <v>0</v>
      </c>
      <c r="I35" s="22">
        <f>SUM([2]AirCanada!$DX$16:$DX$16)</f>
        <v>89</v>
      </c>
      <c r="J35" s="22">
        <f>SUM([2]Condor!$DX$16:$DX$16)</f>
        <v>0</v>
      </c>
      <c r="K35" s="22">
        <f>SUM('[2]Air France'!$DX$16:$DX$16)</f>
        <v>0</v>
      </c>
      <c r="L35" s="22">
        <f>SUM([2]Comair!$DX$16:$DX$16)</f>
        <v>0</v>
      </c>
      <c r="M35" s="22">
        <f>SUM('[2]Charter Misc'!$DX$16:$DX$16)+SUM([2]Ryan!$DX$16:$DX$16)+SUM([2]Omni!$DX$16:$DX$16)</f>
        <v>0</v>
      </c>
      <c r="N35" s="291">
        <f>SUM(B35:M35)</f>
        <v>1166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91"/>
    </row>
    <row r="37" spans="1:14" ht="15.75" thickBot="1" x14ac:dyDescent="0.3">
      <c r="A37" s="66" t="s">
        <v>31</v>
      </c>
      <c r="B37" s="418">
        <f t="shared" ref="B37:I37" si="9">+SUM(B34:B35)</f>
        <v>813</v>
      </c>
      <c r="C37" s="418">
        <f t="shared" si="9"/>
        <v>41</v>
      </c>
      <c r="D37" s="418">
        <f t="shared" si="9"/>
        <v>622</v>
      </c>
      <c r="E37" s="418">
        <f t="shared" si="9"/>
        <v>95</v>
      </c>
      <c r="F37" s="418">
        <f>+SUM(F34:F35)</f>
        <v>235</v>
      </c>
      <c r="G37" s="418">
        <f t="shared" si="9"/>
        <v>353</v>
      </c>
      <c r="H37" s="418">
        <f t="shared" si="9"/>
        <v>0</v>
      </c>
      <c r="I37" s="418">
        <f t="shared" si="9"/>
        <v>178</v>
      </c>
      <c r="J37" s="418">
        <f>+SUM(J34:J35)</f>
        <v>0</v>
      </c>
      <c r="K37" s="418">
        <f>+SUM(K34:K35)</f>
        <v>0</v>
      </c>
      <c r="L37" s="418">
        <f>+SUM(L34:L35)</f>
        <v>0</v>
      </c>
      <c r="M37" s="418">
        <f>+SUM(M34:M35)</f>
        <v>0</v>
      </c>
      <c r="N37" s="419">
        <f>SUM(B37:M37)</f>
        <v>2337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&amp;"Arial,Bold"January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2015-02-25T14:28:37Z</cp:lastPrinted>
  <dcterms:created xsi:type="dcterms:W3CDTF">2007-09-24T12:26:24Z</dcterms:created>
  <dcterms:modified xsi:type="dcterms:W3CDTF">2020-01-29T19:21:30Z</dcterms:modified>
</cp:coreProperties>
</file>