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27BE014D-AE72-4453-B7E0-A65D3ADE0152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E11" i="7" l="1"/>
  <c r="E10" i="7"/>
  <c r="J36" i="15" l="1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2" i="9"/>
  <c r="P22" i="9"/>
  <c r="N22" i="9"/>
  <c r="L22" i="9"/>
  <c r="H22" i="9"/>
  <c r="G22" i="9"/>
  <c r="E22" i="9"/>
  <c r="C22" i="9"/>
  <c r="I22" i="9" l="1"/>
  <c r="J12" i="15"/>
  <c r="J37" i="15"/>
  <c r="O22" i="9"/>
  <c r="J20" i="15"/>
  <c r="J32" i="15"/>
  <c r="J7" i="15"/>
  <c r="J17" i="15"/>
  <c r="J27" i="15"/>
  <c r="J41" i="15"/>
  <c r="R22" i="9"/>
  <c r="J40" i="15"/>
  <c r="F22" i="9"/>
  <c r="J21" i="15" l="1"/>
  <c r="J42" i="15"/>
  <c r="D35" i="16"/>
  <c r="D34" i="16"/>
  <c r="D28" i="16"/>
  <c r="D27" i="16"/>
  <c r="D22" i="16"/>
  <c r="D21" i="16"/>
  <c r="D17" i="16"/>
  <c r="D16" i="16"/>
  <c r="D10" i="16"/>
  <c r="D9" i="16"/>
  <c r="D5" i="16"/>
  <c r="D4" i="16"/>
  <c r="D11" i="16" l="1"/>
  <c r="D37" i="16"/>
  <c r="D6" i="16"/>
  <c r="D18" i="16"/>
  <c r="D23" i="16"/>
  <c r="D30" i="16"/>
  <c r="F16" i="2"/>
  <c r="F15" i="2"/>
  <c r="I11" i="15" l="1"/>
  <c r="I10" i="15"/>
  <c r="I6" i="15"/>
  <c r="I5" i="15"/>
  <c r="G10" i="2"/>
  <c r="G9" i="2"/>
  <c r="G5" i="2"/>
  <c r="G4" i="2"/>
  <c r="F10" i="2"/>
  <c r="F9" i="2"/>
  <c r="F5" i="2"/>
  <c r="F4" i="2"/>
  <c r="I16" i="15"/>
  <c r="I15" i="15"/>
  <c r="F6" i="2" l="1"/>
  <c r="F11" i="2"/>
  <c r="G11" i="2"/>
  <c r="G6" i="2"/>
  <c r="I7" i="15"/>
  <c r="I12" i="15"/>
  <c r="G20" i="2"/>
  <c r="G19" i="2"/>
  <c r="G16" i="2"/>
  <c r="G15" i="2"/>
  <c r="L31" i="9"/>
  <c r="N31" i="9"/>
  <c r="P31" i="9"/>
  <c r="Q31" i="9"/>
  <c r="G17" i="2" l="1"/>
  <c r="R31" i="9"/>
  <c r="O31" i="9"/>
  <c r="G21" i="2"/>
  <c r="Q26" i="9"/>
  <c r="P26" i="9"/>
  <c r="N26" i="9"/>
  <c r="L26" i="9"/>
  <c r="H26" i="9"/>
  <c r="G26" i="9"/>
  <c r="E26" i="9"/>
  <c r="C26" i="9"/>
  <c r="Q9" i="9"/>
  <c r="P9" i="9"/>
  <c r="N9" i="9"/>
  <c r="L9" i="9"/>
  <c r="H9" i="9"/>
  <c r="G9" i="9"/>
  <c r="E9" i="9"/>
  <c r="C9" i="9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G23" i="2" l="1"/>
  <c r="D22" i="3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D37" i="1"/>
  <c r="D36" i="1"/>
  <c r="J26" i="7"/>
  <c r="O26" i="7"/>
  <c r="O25" i="7"/>
  <c r="M25" i="7"/>
  <c r="L25" i="7"/>
  <c r="E26" i="7"/>
  <c r="E25" i="7"/>
  <c r="C25" i="7"/>
  <c r="B25" i="7"/>
  <c r="Q59" i="9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H31" i="9"/>
  <c r="E31" i="9"/>
  <c r="Q24" i="9"/>
  <c r="N24" i="9"/>
  <c r="H24" i="9"/>
  <c r="E24" i="9"/>
  <c r="Q23" i="9"/>
  <c r="N23" i="9"/>
  <c r="H23" i="9"/>
  <c r="E23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G31" i="9"/>
  <c r="C31" i="9"/>
  <c r="P24" i="9"/>
  <c r="L24" i="9"/>
  <c r="G24" i="9"/>
  <c r="C24" i="9"/>
  <c r="P23" i="9"/>
  <c r="L23" i="9"/>
  <c r="G23" i="9"/>
  <c r="C23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7" i="9"/>
  <c r="L7" i="9"/>
  <c r="G7" i="9"/>
  <c r="C7" i="9"/>
  <c r="P6" i="9"/>
  <c r="L6" i="9"/>
  <c r="G6" i="9"/>
  <c r="C6" i="9"/>
  <c r="N35" i="16"/>
  <c r="M35" i="16"/>
  <c r="L35" i="16"/>
  <c r="K35" i="16"/>
  <c r="J35" i="16"/>
  <c r="I35" i="16"/>
  <c r="H35" i="16"/>
  <c r="G35" i="16"/>
  <c r="F35" i="16"/>
  <c r="E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C10" i="16"/>
  <c r="B10" i="16"/>
  <c r="N9" i="16"/>
  <c r="M9" i="16"/>
  <c r="L9" i="16"/>
  <c r="K9" i="16"/>
  <c r="J9" i="16"/>
  <c r="I9" i="16"/>
  <c r="H9" i="16"/>
  <c r="G9" i="16"/>
  <c r="F9" i="16"/>
  <c r="E9" i="16"/>
  <c r="C9" i="16"/>
  <c r="B9" i="16"/>
  <c r="N5" i="16"/>
  <c r="M5" i="16"/>
  <c r="L5" i="16"/>
  <c r="K5" i="16"/>
  <c r="J5" i="16"/>
  <c r="I5" i="16"/>
  <c r="H5" i="16"/>
  <c r="G5" i="16"/>
  <c r="F5" i="16"/>
  <c r="E5" i="16"/>
  <c r="C5" i="16"/>
  <c r="B5" i="16"/>
  <c r="N4" i="16"/>
  <c r="M4" i="16"/>
  <c r="L4" i="16"/>
  <c r="K4" i="16"/>
  <c r="J4" i="16"/>
  <c r="I4" i="16"/>
  <c r="H4" i="16"/>
  <c r="G4" i="16"/>
  <c r="F4" i="16"/>
  <c r="E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G35" i="15"/>
  <c r="F35" i="15"/>
  <c r="E35" i="15"/>
  <c r="D35" i="15"/>
  <c r="C35" i="15"/>
  <c r="B35" i="15"/>
  <c r="L31" i="15"/>
  <c r="K31" i="15"/>
  <c r="I31" i="15"/>
  <c r="H31" i="15"/>
  <c r="G31" i="15"/>
  <c r="F31" i="15"/>
  <c r="E31" i="15"/>
  <c r="D31" i="15"/>
  <c r="C31" i="15"/>
  <c r="B31" i="15"/>
  <c r="L30" i="15"/>
  <c r="I30" i="15"/>
  <c r="H30" i="15"/>
  <c r="G30" i="15"/>
  <c r="F30" i="15"/>
  <c r="E30" i="15"/>
  <c r="D30" i="15"/>
  <c r="C30" i="15"/>
  <c r="B30" i="15"/>
  <c r="L26" i="15"/>
  <c r="K26" i="15"/>
  <c r="I26" i="15"/>
  <c r="H26" i="15"/>
  <c r="G26" i="15"/>
  <c r="F26" i="15"/>
  <c r="E26" i="15"/>
  <c r="D26" i="15"/>
  <c r="C26" i="15"/>
  <c r="B26" i="15"/>
  <c r="L25" i="15"/>
  <c r="K25" i="15"/>
  <c r="I25" i="15"/>
  <c r="H25" i="15"/>
  <c r="G25" i="15"/>
  <c r="F25" i="15"/>
  <c r="E25" i="15"/>
  <c r="D25" i="15"/>
  <c r="C25" i="15"/>
  <c r="B25" i="15"/>
  <c r="L19" i="15"/>
  <c r="K19" i="15"/>
  <c r="I19" i="15"/>
  <c r="H19" i="15"/>
  <c r="G19" i="15"/>
  <c r="F19" i="15"/>
  <c r="E19" i="15"/>
  <c r="D19" i="15"/>
  <c r="C19" i="15"/>
  <c r="B19" i="15"/>
  <c r="L18" i="15"/>
  <c r="K18" i="15"/>
  <c r="I18" i="15"/>
  <c r="H18" i="15"/>
  <c r="G18" i="15"/>
  <c r="F18" i="15"/>
  <c r="E18" i="15"/>
  <c r="D18" i="15"/>
  <c r="C18" i="15"/>
  <c r="B18" i="15"/>
  <c r="L16" i="15"/>
  <c r="K16" i="15"/>
  <c r="H16" i="15"/>
  <c r="G16" i="15"/>
  <c r="F16" i="15"/>
  <c r="E16" i="15"/>
  <c r="D16" i="15"/>
  <c r="C16" i="15"/>
  <c r="B16" i="15"/>
  <c r="L15" i="15"/>
  <c r="K15" i="15"/>
  <c r="H15" i="15"/>
  <c r="G15" i="15"/>
  <c r="F15" i="15"/>
  <c r="E15" i="15"/>
  <c r="D15" i="15"/>
  <c r="C15" i="15"/>
  <c r="B15" i="15"/>
  <c r="L11" i="15"/>
  <c r="K11" i="15"/>
  <c r="H11" i="15"/>
  <c r="G11" i="15"/>
  <c r="F11" i="15"/>
  <c r="E11" i="15"/>
  <c r="D11" i="15"/>
  <c r="C11" i="15"/>
  <c r="B11" i="15"/>
  <c r="L10" i="15"/>
  <c r="K10" i="15"/>
  <c r="H10" i="15"/>
  <c r="G10" i="15"/>
  <c r="F10" i="15"/>
  <c r="E10" i="15"/>
  <c r="D10" i="15"/>
  <c r="C10" i="15"/>
  <c r="B10" i="15"/>
  <c r="L6" i="15"/>
  <c r="K6" i="15"/>
  <c r="H6" i="15"/>
  <c r="G6" i="15"/>
  <c r="F6" i="15"/>
  <c r="E6" i="15"/>
  <c r="D6" i="15"/>
  <c r="C6" i="15"/>
  <c r="B6" i="15"/>
  <c r="L5" i="15"/>
  <c r="K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C39" i="3"/>
  <c r="B39" i="3"/>
  <c r="I38" i="3"/>
  <c r="H38" i="3"/>
  <c r="G38" i="3"/>
  <c r="F38" i="3"/>
  <c r="C38" i="3"/>
  <c r="B38" i="3"/>
  <c r="I34" i="3"/>
  <c r="H34" i="3"/>
  <c r="G34" i="3"/>
  <c r="F34" i="3"/>
  <c r="C34" i="3"/>
  <c r="B34" i="3"/>
  <c r="I33" i="3"/>
  <c r="H33" i="3"/>
  <c r="G33" i="3"/>
  <c r="F33" i="3"/>
  <c r="C33" i="3"/>
  <c r="B33" i="3"/>
  <c r="I29" i="3"/>
  <c r="H29" i="3"/>
  <c r="G29" i="3"/>
  <c r="F29" i="3"/>
  <c r="C29" i="3"/>
  <c r="B29" i="3"/>
  <c r="I28" i="3"/>
  <c r="H28" i="3"/>
  <c r="G28" i="3"/>
  <c r="F28" i="3"/>
  <c r="C28" i="3"/>
  <c r="B28" i="3"/>
  <c r="I21" i="3"/>
  <c r="H21" i="3"/>
  <c r="G21" i="3"/>
  <c r="F21" i="3"/>
  <c r="C21" i="3"/>
  <c r="B21" i="3"/>
  <c r="I20" i="3"/>
  <c r="H20" i="3"/>
  <c r="G20" i="3"/>
  <c r="F20" i="3"/>
  <c r="C20" i="3"/>
  <c r="B20" i="3"/>
  <c r="I17" i="3"/>
  <c r="H17" i="3"/>
  <c r="G17" i="3"/>
  <c r="F17" i="3"/>
  <c r="C17" i="3"/>
  <c r="B17" i="3"/>
  <c r="I16" i="3"/>
  <c r="H16" i="3"/>
  <c r="G16" i="3"/>
  <c r="F16" i="3"/>
  <c r="C16" i="3"/>
  <c r="B16" i="3"/>
  <c r="I11" i="3"/>
  <c r="H11" i="3"/>
  <c r="G11" i="3"/>
  <c r="F11" i="3"/>
  <c r="C11" i="3"/>
  <c r="B11" i="3"/>
  <c r="I10" i="3"/>
  <c r="H10" i="3"/>
  <c r="G10" i="3"/>
  <c r="F10" i="3"/>
  <c r="C10" i="3"/>
  <c r="B10" i="3"/>
  <c r="I6" i="3"/>
  <c r="H6" i="3"/>
  <c r="G6" i="3"/>
  <c r="F6" i="3"/>
  <c r="C6" i="3"/>
  <c r="B6" i="3"/>
  <c r="I5" i="3"/>
  <c r="H5" i="3"/>
  <c r="G5" i="3"/>
  <c r="F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F20" i="2"/>
  <c r="E20" i="2"/>
  <c r="D20" i="2"/>
  <c r="C20" i="2"/>
  <c r="B20" i="2"/>
  <c r="F19" i="2"/>
  <c r="E19" i="2"/>
  <c r="D19" i="2"/>
  <c r="C19" i="2"/>
  <c r="B19" i="2"/>
  <c r="E16" i="2"/>
  <c r="D16" i="2"/>
  <c r="C16" i="2"/>
  <c r="B16" i="2"/>
  <c r="E15" i="2"/>
  <c r="D15" i="2"/>
  <c r="C15" i="2"/>
  <c r="B15" i="2"/>
  <c r="E10" i="2"/>
  <c r="D10" i="2"/>
  <c r="C10" i="2"/>
  <c r="B10" i="2"/>
  <c r="E9" i="2"/>
  <c r="D9" i="2"/>
  <c r="C9" i="2"/>
  <c r="B9" i="2"/>
  <c r="E5" i="2"/>
  <c r="D5" i="2"/>
  <c r="C5" i="2"/>
  <c r="B5" i="2"/>
  <c r="E4" i="2"/>
  <c r="D4" i="2"/>
  <c r="C4" i="2"/>
  <c r="B4" i="2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G17" i="9" l="1"/>
  <c r="M6" i="15"/>
  <c r="M11" i="15"/>
  <c r="C63" i="9"/>
  <c r="M5" i="15"/>
  <c r="M19" i="15"/>
  <c r="Q63" i="9"/>
  <c r="M15" i="15"/>
  <c r="G63" i="9"/>
  <c r="M16" i="15"/>
  <c r="L63" i="9"/>
  <c r="M10" i="15"/>
  <c r="P63" i="9"/>
  <c r="H63" i="9"/>
  <c r="E63" i="9"/>
  <c r="D23" i="3"/>
  <c r="E45" i="3"/>
  <c r="E23" i="3"/>
  <c r="D45" i="3"/>
  <c r="N25" i="7"/>
  <c r="D25" i="7"/>
  <c r="J24" i="7"/>
  <c r="J25" i="7"/>
  <c r="K30" i="16" l="1"/>
  <c r="K18" i="16"/>
  <c r="K6" i="16"/>
  <c r="K23" i="16"/>
  <c r="K11" i="16" l="1"/>
  <c r="K37" i="16"/>
  <c r="O24" i="7"/>
  <c r="M23" i="7"/>
  <c r="L23" i="7"/>
  <c r="E24" i="7"/>
  <c r="C23" i="7"/>
  <c r="B23" i="7"/>
  <c r="O16" i="16" l="1"/>
  <c r="H23" i="7"/>
  <c r="G23" i="7"/>
  <c r="N23" i="7"/>
  <c r="D23" i="7"/>
  <c r="I23" i="7" l="1"/>
  <c r="G18" i="8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N63" i="9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D36" i="15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E45" i="15"/>
  <c r="E44" i="15"/>
  <c r="L36" i="15"/>
  <c r="K36" i="15"/>
  <c r="I36" i="15"/>
  <c r="H36" i="15"/>
  <c r="G36" i="15"/>
  <c r="F36" i="15"/>
  <c r="E36" i="15"/>
  <c r="C36" i="15"/>
  <c r="B36" i="15"/>
  <c r="L35" i="15"/>
  <c r="K35" i="15"/>
  <c r="I35" i="15"/>
  <c r="H35" i="15"/>
  <c r="K30" i="15"/>
  <c r="O19" i="9" l="1"/>
  <c r="Q13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K7" i="15"/>
  <c r="L23" i="16"/>
  <c r="I40" i="15"/>
  <c r="F21" i="2"/>
  <c r="F35" i="2"/>
  <c r="G30" i="2"/>
  <c r="G40" i="2"/>
  <c r="K37" i="15"/>
  <c r="L30" i="16"/>
  <c r="L6" i="16"/>
  <c r="I17" i="15"/>
  <c r="I27" i="15"/>
  <c r="I37" i="15"/>
  <c r="G43" i="2"/>
  <c r="I32" i="15"/>
  <c r="L37" i="16"/>
  <c r="F17" i="2"/>
  <c r="F30" i="2"/>
  <c r="F40" i="2"/>
  <c r="K32" i="15"/>
  <c r="K12" i="15"/>
  <c r="K27" i="15"/>
  <c r="K17" i="15"/>
  <c r="I41" i="15"/>
  <c r="G35" i="2"/>
  <c r="L18" i="16"/>
  <c r="I20" i="15"/>
  <c r="K40" i="15"/>
  <c r="K20" i="15"/>
  <c r="L11" i="16"/>
  <c r="K41" i="15"/>
  <c r="F43" i="2"/>
  <c r="G44" i="2"/>
  <c r="F44" i="2"/>
  <c r="F4" i="9" l="1"/>
  <c r="F17" i="9"/>
  <c r="I21" i="15"/>
  <c r="F45" i="2"/>
  <c r="I42" i="15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L32" i="15"/>
  <c r="J31" i="8"/>
  <c r="D17" i="4"/>
  <c r="F17" i="15"/>
  <c r="L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L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0" i="7"/>
  <c r="P30" i="7" s="1"/>
  <c r="N31" i="7"/>
  <c r="P31" i="7"/>
  <c r="D30" i="7"/>
  <c r="F30" i="7" s="1"/>
  <c r="D31" i="7"/>
  <c r="N29" i="7"/>
  <c r="P29" i="7" s="1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/>
  <c r="I31" i="7"/>
  <c r="K31" i="7" s="1"/>
  <c r="F31" i="7"/>
  <c r="I30" i="7"/>
  <c r="K30" i="7" s="1"/>
  <c r="I29" i="7"/>
  <c r="K29" i="7"/>
  <c r="I28" i="7"/>
  <c r="K28" i="7"/>
  <c r="I27" i="7"/>
  <c r="K27" i="7"/>
  <c r="M45" i="15"/>
  <c r="M44" i="15"/>
  <c r="O20" i="16"/>
  <c r="O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N37" i="16"/>
  <c r="H18" i="3"/>
  <c r="H23" i="3" s="1"/>
  <c r="C17" i="4"/>
  <c r="J37" i="4"/>
  <c r="J37" i="16"/>
  <c r="D32" i="8"/>
  <c r="I37" i="16"/>
  <c r="R59" i="9"/>
  <c r="B18" i="3"/>
  <c r="E17" i="15"/>
  <c r="B37" i="16"/>
  <c r="G37" i="16"/>
  <c r="H45" i="9"/>
  <c r="H44" i="3"/>
  <c r="J48" i="3"/>
  <c r="H50" i="2" s="1"/>
  <c r="I50" i="2" s="1"/>
  <c r="E30" i="16"/>
  <c r="I30" i="16"/>
  <c r="F34" i="9"/>
  <c r="O56" i="9"/>
  <c r="F58" i="9"/>
  <c r="F32" i="9"/>
  <c r="N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M18" i="16"/>
  <c r="O35" i="9"/>
  <c r="R53" i="9"/>
  <c r="E6" i="16"/>
  <c r="C7" i="7"/>
  <c r="G18" i="3"/>
  <c r="H20" i="15"/>
  <c r="G17" i="4"/>
  <c r="J28" i="8"/>
  <c r="B28" i="8"/>
  <c r="H37" i="15"/>
  <c r="E40" i="2"/>
  <c r="B40" i="2"/>
  <c r="G40" i="15"/>
  <c r="N18" i="16"/>
  <c r="B27" i="15"/>
  <c r="B30" i="16"/>
  <c r="G30" i="16"/>
  <c r="M30" i="16"/>
  <c r="F18" i="16"/>
  <c r="J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F12" i="7"/>
  <c r="B12" i="7"/>
  <c r="J6" i="8"/>
  <c r="J12" i="8" s="1"/>
  <c r="D20" i="1"/>
  <c r="L32" i="8"/>
  <c r="L41" i="15"/>
  <c r="F41" i="15"/>
  <c r="B41" i="15"/>
  <c r="D41" i="4"/>
  <c r="C28" i="8"/>
  <c r="E40" i="15"/>
  <c r="J40" i="4"/>
  <c r="I18" i="16"/>
  <c r="F53" i="9"/>
  <c r="O43" i="9"/>
  <c r="E43" i="2"/>
  <c r="B43" i="2"/>
  <c r="G32" i="15"/>
  <c r="C32" i="15"/>
  <c r="G44" i="3"/>
  <c r="B23" i="16"/>
  <c r="I18" i="9"/>
  <c r="R54" i="9"/>
  <c r="R20" i="9"/>
  <c r="H11" i="16"/>
  <c r="G6" i="16"/>
  <c r="B6" i="16"/>
  <c r="J11" i="16"/>
  <c r="F11" i="16"/>
  <c r="I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L27" i="15"/>
  <c r="F27" i="15"/>
  <c r="J28" i="3"/>
  <c r="H28" i="2" s="1"/>
  <c r="I28" i="2" s="1"/>
  <c r="B5" i="5" s="1"/>
  <c r="J23" i="8"/>
  <c r="H33" i="8"/>
  <c r="C30" i="16"/>
  <c r="H30" i="16"/>
  <c r="H52" i="9"/>
  <c r="I59" i="9"/>
  <c r="G7" i="3"/>
  <c r="E7" i="7"/>
  <c r="C12" i="7"/>
  <c r="K6" i="8"/>
  <c r="K12" i="8" s="1"/>
  <c r="C44" i="3"/>
  <c r="E32" i="15"/>
  <c r="J32" i="4"/>
  <c r="D27" i="4"/>
  <c r="L18" i="8"/>
  <c r="D18" i="8"/>
  <c r="F31" i="8"/>
  <c r="I23" i="16"/>
  <c r="I11" i="9"/>
  <c r="I58" i="9"/>
  <c r="I32" i="9"/>
  <c r="H6" i="16"/>
  <c r="C6" i="16"/>
  <c r="F6" i="16"/>
  <c r="F7" i="3"/>
  <c r="I7" i="3"/>
  <c r="C7" i="3"/>
  <c r="B6" i="8"/>
  <c r="B12" i="8" s="1"/>
  <c r="B40" i="4"/>
  <c r="F23" i="16"/>
  <c r="J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M36" i="15"/>
  <c r="K36" i="4" s="1"/>
  <c r="L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R43" i="9"/>
  <c r="R48" i="9"/>
  <c r="H7" i="15"/>
  <c r="L12" i="15"/>
  <c r="D12" i="4"/>
  <c r="C12" i="3"/>
  <c r="C22" i="3"/>
  <c r="G40" i="3"/>
  <c r="C40" i="2"/>
  <c r="O37" i="9"/>
  <c r="C52" i="9"/>
  <c r="R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O4" i="16"/>
  <c r="O5" i="16"/>
  <c r="M26" i="15"/>
  <c r="K26" i="4" s="1"/>
  <c r="L26" i="4" s="1"/>
  <c r="C6" i="5" s="1"/>
  <c r="C40" i="3"/>
  <c r="B23" i="8"/>
  <c r="M23" i="16"/>
  <c r="P30" i="9"/>
  <c r="R56" i="9"/>
  <c r="D37" i="4"/>
  <c r="B40" i="15"/>
  <c r="J20" i="3"/>
  <c r="H19" i="2" s="1"/>
  <c r="I19" i="2" s="1"/>
  <c r="M8" i="8"/>
  <c r="G43" i="3"/>
  <c r="B27" i="4"/>
  <c r="K19" i="4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G23" i="16"/>
  <c r="M11" i="16"/>
  <c r="L20" i="15"/>
  <c r="L21" i="15" s="1"/>
  <c r="C40" i="4"/>
  <c r="C31" i="8"/>
  <c r="F43" i="3"/>
  <c r="B41" i="4"/>
  <c r="C32" i="4"/>
  <c r="B18" i="16"/>
  <c r="G18" i="16"/>
  <c r="O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H23" i="16"/>
  <c r="R32" i="9"/>
  <c r="Q30" i="9"/>
  <c r="J5" i="3"/>
  <c r="H4" i="2" s="1"/>
  <c r="I4" i="2" s="1"/>
  <c r="B5" i="1" s="1"/>
  <c r="C7" i="15"/>
  <c r="K5" i="4"/>
  <c r="L5" i="4" s="1"/>
  <c r="B6" i="1" s="1"/>
  <c r="K16" i="4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M31" i="15"/>
  <c r="K31" i="4" s="1"/>
  <c r="F18" i="8"/>
  <c r="C30" i="2"/>
  <c r="I40" i="3"/>
  <c r="I44" i="3"/>
  <c r="M9" i="8"/>
  <c r="J30" i="16"/>
  <c r="O28" i="16"/>
  <c r="O17" i="16"/>
  <c r="H18" i="16"/>
  <c r="E23" i="16"/>
  <c r="G40" i="4"/>
  <c r="G37" i="4"/>
  <c r="J38" i="3"/>
  <c r="H38" i="2" s="1"/>
  <c r="F40" i="3"/>
  <c r="F28" i="8"/>
  <c r="F32" i="8"/>
  <c r="M16" i="8"/>
  <c r="D5" i="5" s="1"/>
  <c r="G37" i="15"/>
  <c r="M18" i="15"/>
  <c r="K18" i="4" s="1"/>
  <c r="J32" i="8"/>
  <c r="F41" i="9"/>
  <c r="O10" i="16"/>
  <c r="B11" i="16"/>
  <c r="I51" i="2"/>
  <c r="J21" i="3"/>
  <c r="H20" i="2" s="1"/>
  <c r="I20" i="2" s="1"/>
  <c r="G22" i="3"/>
  <c r="G41" i="4"/>
  <c r="M26" i="8"/>
  <c r="D15" i="5" s="1"/>
  <c r="C37" i="15"/>
  <c r="G30" i="3"/>
  <c r="M46" i="15"/>
  <c r="K44" i="4" s="1"/>
  <c r="L44" i="4" s="1"/>
  <c r="M37" i="16"/>
  <c r="F50" i="9"/>
  <c r="I39" i="9"/>
  <c r="O34" i="9"/>
  <c r="O55" i="9"/>
  <c r="F56" i="9"/>
  <c r="F55" i="9"/>
  <c r="G11" i="16"/>
  <c r="M47" i="15"/>
  <c r="K45" i="4" s="1"/>
  <c r="L45" i="4" s="1"/>
  <c r="F22" i="3"/>
  <c r="F23" i="3" s="1"/>
  <c r="B21" i="2"/>
  <c r="L37" i="15"/>
  <c r="E37" i="4"/>
  <c r="M30" i="15"/>
  <c r="K30" i="4" s="1"/>
  <c r="L30" i="4" s="1"/>
  <c r="C10" i="5" s="1"/>
  <c r="H27" i="15"/>
  <c r="M22" i="8"/>
  <c r="D11" i="5" s="1"/>
  <c r="G27" i="15"/>
  <c r="C41" i="15"/>
  <c r="E41" i="4"/>
  <c r="F30" i="3"/>
  <c r="M17" i="8"/>
  <c r="F30" i="16"/>
  <c r="O11" i="9"/>
  <c r="H37" i="16"/>
  <c r="O48" i="9"/>
  <c r="R35" i="9"/>
  <c r="J6" i="16"/>
  <c r="I11" i="16"/>
  <c r="E11" i="16"/>
  <c r="D6" i="2"/>
  <c r="K6" i="4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N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J17" i="3"/>
  <c r="H16" i="2" s="1"/>
  <c r="D41" i="15"/>
  <c r="D37" i="15"/>
  <c r="C41" i="4"/>
  <c r="C40" i="15"/>
  <c r="M25" i="15"/>
  <c r="K25" i="4" s="1"/>
  <c r="C27" i="15"/>
  <c r="E40" i="4"/>
  <c r="E27" i="4"/>
  <c r="N30" i="16"/>
  <c r="O27" i="16"/>
  <c r="E18" i="16"/>
  <c r="N23" i="16"/>
  <c r="O22" i="16"/>
  <c r="F37" i="16"/>
  <c r="O34" i="16"/>
  <c r="E52" i="9"/>
  <c r="J12" i="5"/>
  <c r="J21" i="5"/>
  <c r="M4" i="8"/>
  <c r="B19" i="1" s="1"/>
  <c r="C6" i="8"/>
  <c r="K31" i="8"/>
  <c r="K23" i="8"/>
  <c r="C32" i="8"/>
  <c r="F11" i="9"/>
  <c r="B43" i="3"/>
  <c r="C11" i="16"/>
  <c r="O9" i="16"/>
  <c r="B12" i="15"/>
  <c r="K10" i="4"/>
  <c r="F40" i="15"/>
  <c r="M35" i="15"/>
  <c r="K35" i="4" s="1"/>
  <c r="F37" i="15"/>
  <c r="E44" i="2"/>
  <c r="E30" i="2"/>
  <c r="B44" i="2"/>
  <c r="B30" i="2"/>
  <c r="J33" i="3"/>
  <c r="H33" i="2" s="1"/>
  <c r="C18" i="8"/>
  <c r="E37" i="16"/>
  <c r="C37" i="16"/>
  <c r="O35" i="16"/>
  <c r="O18" i="9"/>
  <c r="O39" i="9"/>
  <c r="O50" i="9"/>
  <c r="K11" i="4"/>
  <c r="L11" i="4" s="1"/>
  <c r="D12" i="15"/>
  <c r="F36" i="9"/>
  <c r="R18" i="9"/>
  <c r="K15" i="4"/>
  <c r="C30" i="9"/>
  <c r="E45" i="9"/>
  <c r="N52" i="9"/>
  <c r="M6" i="16"/>
  <c r="B7" i="7"/>
  <c r="F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M20" i="15" l="1"/>
  <c r="M7" i="15"/>
  <c r="B21" i="15"/>
  <c r="M17" i="15"/>
  <c r="M12" i="15"/>
  <c r="C26" i="7"/>
  <c r="B26" i="7"/>
  <c r="F20" i="1"/>
  <c r="F21" i="1"/>
  <c r="G21" i="4"/>
  <c r="O30" i="9"/>
  <c r="F52" i="9"/>
  <c r="G21" i="15"/>
  <c r="B23" i="3"/>
  <c r="B42" i="15"/>
  <c r="J42" i="4"/>
  <c r="L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M32" i="15"/>
  <c r="L25" i="4"/>
  <c r="C5" i="5" s="1"/>
  <c r="J30" i="3"/>
  <c r="O6" i="16"/>
  <c r="J7" i="3"/>
  <c r="M23" i="8"/>
  <c r="B21" i="4"/>
  <c r="M18" i="8"/>
  <c r="D6" i="1"/>
  <c r="M31" i="8"/>
  <c r="G12" i="7"/>
  <c r="C8" i="1"/>
  <c r="O11" i="16"/>
  <c r="J22" i="5"/>
  <c r="I29" i="2"/>
  <c r="B6" i="5" s="1"/>
  <c r="B7" i="5" s="1"/>
  <c r="H21" i="2"/>
  <c r="I21" i="2" s="1"/>
  <c r="G42" i="4"/>
  <c r="O23" i="16"/>
  <c r="K32" i="4"/>
  <c r="L32" i="4" s="1"/>
  <c r="C37" i="1"/>
  <c r="H42" i="15"/>
  <c r="J22" i="3"/>
  <c r="R52" i="9"/>
  <c r="E23" i="2"/>
  <c r="M27" i="15"/>
  <c r="B16" i="1"/>
  <c r="C17" i="1"/>
  <c r="O37" i="16"/>
  <c r="K41" i="4"/>
  <c r="L41" i="4" s="1"/>
  <c r="O18" i="16"/>
  <c r="D19" i="1"/>
  <c r="H6" i="2"/>
  <c r="I6" i="2" s="1"/>
  <c r="D5" i="1" s="1"/>
  <c r="B8" i="1"/>
  <c r="I30" i="9"/>
  <c r="K20" i="4"/>
  <c r="L20" i="4" s="1"/>
  <c r="L18" i="4"/>
  <c r="M32" i="8"/>
  <c r="G7" i="7"/>
  <c r="O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M37" i="15"/>
  <c r="J18" i="3"/>
  <c r="C23" i="3"/>
  <c r="K17" i="4"/>
  <c r="L15" i="4"/>
  <c r="D10" i="5"/>
  <c r="C12" i="8"/>
  <c r="M6" i="8"/>
  <c r="E42" i="4"/>
  <c r="C42" i="15"/>
  <c r="M40" i="15"/>
  <c r="D42" i="15"/>
  <c r="M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B45" i="3"/>
  <c r="J43" i="3"/>
  <c r="I52" i="9"/>
  <c r="M21" i="15" l="1"/>
  <c r="D26" i="7"/>
  <c r="F25" i="7"/>
  <c r="F23" i="7"/>
  <c r="F18" i="1"/>
  <c r="M12" i="8"/>
  <c r="B10" i="1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M42" i="15"/>
  <c r="J23" i="3"/>
  <c r="C11" i="1"/>
  <c r="M26" i="7" s="1"/>
  <c r="C33" i="1"/>
  <c r="B17" i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H26" i="7" l="1"/>
  <c r="F26" i="7"/>
  <c r="D10" i="1"/>
  <c r="D11" i="1" s="1"/>
  <c r="F11" i="1" s="1"/>
  <c r="D17" i="1"/>
  <c r="H25" i="7"/>
  <c r="C32" i="1"/>
  <c r="B11" i="1"/>
  <c r="L26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 l="1"/>
  <c r="D22" i="1"/>
  <c r="F22" i="1" s="1"/>
  <c r="F10" i="1"/>
  <c r="G26" i="7"/>
  <c r="I26" i="7" s="1"/>
  <c r="N26" i="7"/>
  <c r="P25" i="7"/>
  <c r="G25" i="7"/>
  <c r="I25" i="7" s="1"/>
  <c r="K25" i="7" s="1"/>
  <c r="P23" i="7"/>
  <c r="K23" i="7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P26" i="7" l="1"/>
  <c r="K26" i="7"/>
  <c r="I21" i="7"/>
  <c r="F22" i="5"/>
  <c r="H22" i="5" s="1"/>
  <c r="H20" i="5"/>
  <c r="K21" i="7" l="1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I46" i="9"/>
  <c r="G45" i="9"/>
  <c r="C45" i="9"/>
  <c r="F46" i="9"/>
  <c r="R45" i="9" l="1"/>
  <c r="O45" i="9"/>
  <c r="F45" i="9"/>
  <c r="I45" i="9"/>
  <c r="E28" i="9" l="1"/>
  <c r="E64" i="9" l="1"/>
  <c r="E62" i="9" s="1"/>
  <c r="N28" i="9"/>
  <c r="N64" i="9" s="1"/>
  <c r="N62" i="9" s="1"/>
  <c r="C28" i="9"/>
  <c r="C64" i="9" s="1"/>
  <c r="C62" i="9" l="1"/>
  <c r="D22" i="9"/>
  <c r="P28" i="9"/>
  <c r="P64" i="9" s="1"/>
  <c r="L28" i="9"/>
  <c r="Q28" i="9"/>
  <c r="Q64" i="9" s="1"/>
  <c r="Q62" i="9" s="1"/>
  <c r="F28" i="9"/>
  <c r="G28" i="9"/>
  <c r="G64" i="9" l="1"/>
  <c r="R28" i="9"/>
  <c r="O28" i="9"/>
  <c r="L64" i="9"/>
  <c r="M22" i="9" s="1"/>
  <c r="D28" i="9"/>
  <c r="D26" i="9"/>
  <c r="D9" i="9"/>
  <c r="D50" i="9"/>
  <c r="D21" i="9"/>
  <c r="D30" i="9"/>
  <c r="D53" i="9"/>
  <c r="D46" i="9"/>
  <c r="D15" i="9"/>
  <c r="D36" i="9"/>
  <c r="D33" i="9"/>
  <c r="D14" i="9"/>
  <c r="D5" i="9"/>
  <c r="F64" i="9"/>
  <c r="D43" i="9"/>
  <c r="D13" i="9"/>
  <c r="D39" i="9"/>
  <c r="D48" i="9"/>
  <c r="D56" i="9"/>
  <c r="D55" i="9"/>
  <c r="D20" i="9"/>
  <c r="D45" i="9"/>
  <c r="D59" i="9"/>
  <c r="D32" i="9"/>
  <c r="D52" i="9"/>
  <c r="D19" i="9"/>
  <c r="D7" i="9"/>
  <c r="D4" i="9"/>
  <c r="D63" i="9"/>
  <c r="D35" i="9"/>
  <c r="D24" i="9"/>
  <c r="D23" i="9"/>
  <c r="D41" i="9"/>
  <c r="D6" i="9"/>
  <c r="D37" i="9"/>
  <c r="D11" i="9"/>
  <c r="D57" i="9"/>
  <c r="D58" i="9"/>
  <c r="D31" i="9"/>
  <c r="D64" i="9"/>
  <c r="D17" i="9"/>
  <c r="D18" i="9"/>
  <c r="D34" i="9"/>
  <c r="H28" i="9"/>
  <c r="H64" i="9" l="1"/>
  <c r="H62" i="9" s="1"/>
  <c r="M28" i="9"/>
  <c r="M26" i="9"/>
  <c r="M6" i="9"/>
  <c r="M14" i="9"/>
  <c r="M50" i="9"/>
  <c r="M23" i="9"/>
  <c r="M4" i="9"/>
  <c r="M43" i="9"/>
  <c r="M36" i="9"/>
  <c r="M33" i="9"/>
  <c r="M17" i="9"/>
  <c r="M35" i="9"/>
  <c r="M15" i="9"/>
  <c r="M19" i="9"/>
  <c r="M20" i="9"/>
  <c r="M11" i="9"/>
  <c r="M45" i="9"/>
  <c r="M31" i="9"/>
  <c r="M57" i="9"/>
  <c r="M5" i="9"/>
  <c r="M39" i="9"/>
  <c r="O64" i="9"/>
  <c r="M52" i="9"/>
  <c r="L62" i="9"/>
  <c r="M30" i="9"/>
  <c r="M34" i="9"/>
  <c r="M53" i="9"/>
  <c r="M32" i="9"/>
  <c r="M13" i="9"/>
  <c r="M41" i="9"/>
  <c r="M18" i="9"/>
  <c r="M55" i="9"/>
  <c r="M37" i="9"/>
  <c r="M56" i="9"/>
  <c r="M64" i="9"/>
  <c r="M24" i="9"/>
  <c r="M58" i="9"/>
  <c r="M46" i="9"/>
  <c r="M63" i="9"/>
  <c r="M9" i="9"/>
  <c r="M48" i="9"/>
  <c r="M21" i="9"/>
  <c r="M59" i="9"/>
  <c r="M7" i="9"/>
  <c r="R64" i="9"/>
  <c r="P62" i="9"/>
  <c r="F62" i="9"/>
  <c r="D62" i="9"/>
  <c r="G62" i="9"/>
  <c r="I28" i="9"/>
  <c r="I64" i="9" l="1"/>
  <c r="R62" i="9"/>
  <c r="M62" i="9"/>
  <c r="O62" i="9"/>
  <c r="I62" i="9"/>
  <c r="C22" i="7" l="1"/>
  <c r="B22" i="7"/>
  <c r="D22" i="7" l="1"/>
  <c r="M22" i="7"/>
  <c r="H22" i="7" l="1"/>
  <c r="F22" i="7"/>
  <c r="L22" i="7" l="1"/>
  <c r="N22" i="7" l="1"/>
  <c r="G22" i="7"/>
  <c r="I22" i="7" l="1"/>
  <c r="P22" i="7"/>
  <c r="K22" i="7" l="1"/>
  <c r="G20" i="1" l="1"/>
  <c r="D33" i="1"/>
  <c r="I16" i="5"/>
  <c r="G21" i="1" l="1"/>
  <c r="I20" i="1"/>
  <c r="B24" i="7"/>
  <c r="C24" i="7"/>
  <c r="C33" i="7" s="1"/>
  <c r="G19" i="1" l="1"/>
  <c r="I6" i="5"/>
  <c r="G5" i="1"/>
  <c r="D32" i="1"/>
  <c r="G7" i="1"/>
  <c r="I21" i="1"/>
  <c r="G17" i="1"/>
  <c r="M24" i="7"/>
  <c r="M33" i="7" s="1"/>
  <c r="G18" i="1"/>
  <c r="D24" i="7"/>
  <c r="B33" i="7"/>
  <c r="H24" i="7" l="1"/>
  <c r="H33" i="7" s="1"/>
  <c r="G27" i="1"/>
  <c r="G28" i="1"/>
  <c r="I5" i="1"/>
  <c r="I15" i="5"/>
  <c r="I18" i="1"/>
  <c r="I17" i="1"/>
  <c r="D34" i="1"/>
  <c r="E33" i="1" s="1"/>
  <c r="I11" i="5"/>
  <c r="I19" i="1"/>
  <c r="I10" i="5"/>
  <c r="I5" i="5"/>
  <c r="G16" i="1"/>
  <c r="G6" i="1"/>
  <c r="I7" i="1"/>
  <c r="K6" i="5"/>
  <c r="F24" i="7"/>
  <c r="D33" i="7"/>
  <c r="F33" i="7" s="1"/>
  <c r="L24" i="7"/>
  <c r="E32" i="1" l="1"/>
  <c r="I6" i="1"/>
  <c r="K11" i="5"/>
  <c r="I20" i="5"/>
  <c r="K5" i="5"/>
  <c r="I7" i="5"/>
  <c r="K7" i="5" s="1"/>
  <c r="I12" i="5"/>
  <c r="K12" i="5" s="1"/>
  <c r="K10" i="5"/>
  <c r="K15" i="5"/>
  <c r="I17" i="5"/>
  <c r="K17" i="5" s="1"/>
  <c r="G8" i="1"/>
  <c r="I27" i="1"/>
  <c r="G29" i="1"/>
  <c r="I29" i="1" s="1"/>
  <c r="I21" i="5"/>
  <c r="K21" i="5" s="1"/>
  <c r="I16" i="1"/>
  <c r="G22" i="1"/>
  <c r="I22" i="1" s="1"/>
  <c r="G10" i="1"/>
  <c r="I28" i="1"/>
  <c r="G24" i="7"/>
  <c r="N24" i="7"/>
  <c r="L33" i="7"/>
  <c r="I10" i="1" l="1"/>
  <c r="G11" i="1"/>
  <c r="I11" i="1" s="1"/>
  <c r="I8" i="1"/>
  <c r="K20" i="5"/>
  <c r="I22" i="5"/>
  <c r="K22" i="5" s="1"/>
  <c r="P24" i="7"/>
  <c r="N33" i="7"/>
  <c r="P33" i="7" s="1"/>
  <c r="I24" i="7"/>
  <c r="G33" i="7"/>
  <c r="K24" i="7" l="1"/>
  <c r="I33" i="7"/>
  <c r="K33" i="7" s="1"/>
</calcChain>
</file>

<file path=xl/sharedStrings.xml><?xml version="1.0" encoding="utf-8"?>
<sst xmlns="http://schemas.openxmlformats.org/spreadsheetml/2006/main" count="550" uniqueCount="222">
  <si>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</si>
  <si>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</si>
  <si>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</si>
  <si>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</si>
  <si>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</si>
  <si>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</si>
  <si>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</si>
  <si>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</si>
  <si>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</si>
  <si>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</si>
  <si>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</si>
  <si>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</si>
  <si>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</si>
  <si>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</si>
  <si>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</si>
  <si>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</si>
  <si>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</si>
  <si>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</si>
  <si>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</si>
  <si>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</si>
  <si>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</si>
  <si>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</si>
  <si>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</si>
  <si>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</si>
  <si>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</si>
  <si>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</si>
  <si>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</si>
  <si>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</si>
  <si>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</si>
  <si>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</si>
  <si>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</si>
  <si>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</si>
  <si>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</si>
  <si>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</si>
  <si>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</si>
  <si>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</si>
  <si>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</si>
  <si>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</si>
  <si>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</si>
  <si>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</si>
  <si>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</si>
  <si>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</si>
  <si>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</si>
  <si>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</si>
  <si>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</si>
  <si>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</si>
  <si>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</si>
  <si>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</si>
  <si>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</si>
  <si>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</si>
  <si>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</si>
  <si>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</si>
  <si>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</si>
  <si>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</si>
  <si>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</si>
  <si>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</si>
  <si>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</si>
  <si>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</si>
  <si>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</si>
  <si>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</si>
  <si>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</si>
  <si>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</si>
  <si>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</si>
  <si>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</si>
  <si>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</si>
  <si>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</si>
  <si>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</si>
  <si>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</si>
  <si>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</si>
  <si>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</si>
  <si>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</si>
  <si>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</si>
  <si>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</si>
  <si>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</si>
  <si>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</si>
  <si>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</si>
  <si>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</si>
  <si>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</si>
  <si>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</si>
  <si>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</si>
  <si>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</si>
  <si>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</si>
  <si>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</si>
  <si>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</si>
  <si>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</si>
  <si>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</si>
  <si>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</si>
  <si>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</si>
  <si>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</si>
  <si>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</si>
  <si>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</si>
  <si>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</si>
  <si>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</si>
  <si>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</si>
  <si>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</si>
  <si>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</si>
  <si>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</si>
  <si>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</si>
  <si>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</si>
  <si>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</si>
  <si>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</si>
  <si>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</si>
  <si>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</si>
  <si>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</si>
  <si>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</si>
  <si>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</si>
  <si>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</si>
  <si>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</si>
  <si>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</si>
  <si>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</si>
  <si>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</si>
  <si>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</si>
  <si>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</si>
  <si>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</si>
  <si>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</si>
  <si>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</si>
  <si>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</si>
  <si>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</si>
  <si>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</si>
  <si>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</si>
  <si>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</si>
  <si>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</si>
  <si>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</si>
  <si>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</si>
  <si>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</si>
  <si>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</si>
  <si>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</si>
  <si>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</si>
  <si>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</si>
  <si>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</si>
  <si>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</si>
  <si>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</si>
  <si>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</si>
  <si>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</si>
  <si>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</si>
  <si>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</si>
  <si>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</si>
  <si>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</si>
  <si>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</si>
  <si>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</si>
  <si>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</si>
  <si>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</si>
  <si>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</si>
  <si>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</si>
  <si>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</si>
  <si>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</si>
  <si>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</si>
  <si>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</si>
  <si>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</si>
  <si>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</si>
  <si>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</si>
  <si>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</si>
  <si>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</si>
  <si>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</si>
  <si>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</si>
  <si>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</si>
  <si>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</si>
  <si>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</si>
  <si>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</si>
  <si>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</si>
  <si>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</si>
  <si>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</si>
  <si>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</si>
  <si>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</si>
  <si>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</si>
  <si>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</si>
  <si>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</si>
  <si>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</si>
  <si>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</si>
  <si>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</si>
  <si>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</si>
  <si>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</si>
  <si>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</si>
  <si>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</si>
  <si>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</si>
  <si>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</si>
  <si>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</si>
  <si>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</si>
  <si>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</si>
  <si>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</si>
  <si>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</si>
  <si>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</si>
  <si>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</si>
  <si>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</si>
  <si>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</si>
  <si>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</si>
  <si>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</si>
  <si>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</si>
  <si>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</si>
  <si>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</si>
  <si>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</si>
  <si>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</si>
  <si>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</si>
  <si>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</si>
  <si>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</si>
  <si>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</si>
  <si>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</si>
  <si>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</si>
  <si>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</si>
  <si>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</si>
  <si>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</si>
  <si>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</si>
  <si>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</si>
  <si>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</si>
  <si>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</si>
  <si>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</si>
  <si>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</si>
  <si>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</si>
  <si>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</si>
  <si>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</si>
  <si>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</si>
  <si>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</si>
  <si>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</si>
  <si>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</si>
  <si>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</si>
  <si>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</si>
  <si>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</si>
  <si>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June 2015</t>
  </si>
  <si>
    <t>Air Choice One</t>
  </si>
  <si>
    <t>Boutique Air</t>
  </si>
  <si>
    <t>PSA</t>
  </si>
  <si>
    <t>PSA-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</si>
</sst>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2547321</v>
          </cell>
          <cell r="G5">
            <v>12907046</v>
          </cell>
        </row>
        <row r="6">
          <cell r="D6">
            <v>728621</v>
          </cell>
          <cell r="G6">
            <v>4221856</v>
          </cell>
        </row>
        <row r="7">
          <cell r="D7">
            <v>355</v>
          </cell>
          <cell r="G7">
            <v>2921</v>
          </cell>
        </row>
        <row r="10">
          <cell r="D10">
            <v>97964</v>
          </cell>
          <cell r="G10">
            <v>529845</v>
          </cell>
        </row>
        <row r="16">
          <cell r="D16">
            <v>18754</v>
          </cell>
          <cell r="G16">
            <v>98524</v>
          </cell>
        </row>
        <row r="17">
          <cell r="D17">
            <v>13523</v>
          </cell>
          <cell r="G17">
            <v>82193</v>
          </cell>
        </row>
        <row r="18">
          <cell r="D18">
            <v>6</v>
          </cell>
          <cell r="G18">
            <v>45</v>
          </cell>
        </row>
        <row r="19">
          <cell r="D19">
            <v>1109</v>
          </cell>
          <cell r="G19">
            <v>6090</v>
          </cell>
        </row>
        <row r="20">
          <cell r="D20">
            <v>2266</v>
          </cell>
          <cell r="G20">
            <v>10879</v>
          </cell>
        </row>
        <row r="21">
          <cell r="D21">
            <v>122</v>
          </cell>
          <cell r="G21">
            <v>654</v>
          </cell>
        </row>
        <row r="27">
          <cell r="D27">
            <v>15080.90621519559</v>
          </cell>
          <cell r="G27">
            <v>90631.632379986389</v>
          </cell>
        </row>
        <row r="28">
          <cell r="D28">
            <v>1222.3003489550699</v>
          </cell>
          <cell r="G28">
            <v>6890.0558533060102</v>
          </cell>
        </row>
        <row r="32">
          <cell r="B32">
            <v>849065</v>
          </cell>
          <cell r="D32">
            <v>4800460</v>
          </cell>
        </row>
        <row r="33">
          <cell r="B33">
            <v>782701</v>
          </cell>
          <cell r="D33">
            <v>3728629</v>
          </cell>
        </row>
      </sheetData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>
        <row r="5">
          <cell r="F5">
            <v>7319.6826704370596</v>
          </cell>
          <cell r="I5">
            <v>36439.265933247101</v>
          </cell>
        </row>
        <row r="6">
          <cell r="F6">
            <v>715.62633185582001</v>
          </cell>
          <cell r="I6">
            <v>3054.7867618052401</v>
          </cell>
        </row>
        <row r="10">
          <cell r="F10">
            <v>7761.2235447585299</v>
          </cell>
          <cell r="I10">
            <v>39008.262977852632</v>
          </cell>
        </row>
        <row r="11">
          <cell r="F11">
            <v>506.67401709924997</v>
          </cell>
          <cell r="I11">
            <v>2775.1007992784998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15080.90621519559</v>
          </cell>
        </row>
        <row r="21">
          <cell r="F21">
            <v>1222.3003489550699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10954930</v>
          </cell>
        </row>
        <row r="6">
          <cell r="G6">
            <v>3403853</v>
          </cell>
        </row>
        <row r="7">
          <cell r="G7">
            <v>1604</v>
          </cell>
        </row>
        <row r="10">
          <cell r="G10">
            <v>462255</v>
          </cell>
        </row>
        <row r="16">
          <cell r="G16">
            <v>84043</v>
          </cell>
        </row>
        <row r="17">
          <cell r="G17">
            <v>66487</v>
          </cell>
        </row>
        <row r="18">
          <cell r="G18">
            <v>19</v>
          </cell>
        </row>
        <row r="19">
          <cell r="G19">
            <v>5510</v>
          </cell>
        </row>
        <row r="20">
          <cell r="G20">
            <v>8375</v>
          </cell>
        </row>
        <row r="21">
          <cell r="G21">
            <v>517</v>
          </cell>
        </row>
        <row r="27">
          <cell r="G27">
            <v>74510.248317350226</v>
          </cell>
        </row>
        <row r="28">
          <cell r="G28">
            <v>4419.6215032163236</v>
          </cell>
        </row>
        <row r="32">
          <cell r="D32">
            <v>4209637</v>
          </cell>
        </row>
        <row r="33">
          <cell r="D33">
            <v>2941285</v>
          </cell>
        </row>
      </sheetData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>
        <row r="5">
          <cell r="I5">
            <v>37214.632648193772</v>
          </cell>
        </row>
        <row r="6">
          <cell r="I6">
            <v>2221.1908276136242</v>
          </cell>
        </row>
        <row r="10">
          <cell r="I10">
            <v>37295.615669156454</v>
          </cell>
        </row>
        <row r="11">
          <cell r="I11">
            <v>2198.4306756026999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Q4">
            <v>22</v>
          </cell>
        </row>
        <row r="5">
          <cell r="EQ5">
            <v>22</v>
          </cell>
        </row>
        <row r="8">
          <cell r="EQ8"/>
        </row>
        <row r="9">
          <cell r="EQ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</row>
        <row r="22">
          <cell r="EQ22">
            <v>125</v>
          </cell>
        </row>
        <row r="23">
          <cell r="EQ23">
            <v>151</v>
          </cell>
        </row>
        <row r="27">
          <cell r="EQ27"/>
        </row>
        <row r="28">
          <cell r="EQ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3"/>
      <sheetData sheetId="4">
        <row r="4">
          <cell r="EQ4"/>
        </row>
        <row r="5">
          <cell r="EQ5"/>
        </row>
        <row r="8">
          <cell r="EQ8"/>
        </row>
        <row r="9">
          <cell r="EQ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</row>
        <row r="22">
          <cell r="EQ22"/>
        </row>
        <row r="23">
          <cell r="EQ23"/>
        </row>
        <row r="27">
          <cell r="EQ27"/>
        </row>
        <row r="28">
          <cell r="EQ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</row>
        <row r="33">
          <cell r="EL33"/>
          <cell r="EM33"/>
          <cell r="EN33"/>
          <cell r="EO33"/>
          <cell r="EP33"/>
          <cell r="EQ33">
            <v>6560</v>
          </cell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</row>
        <row r="47">
          <cell r="EQ47">
            <v>165962</v>
          </cell>
        </row>
        <row r="48">
          <cell r="EQ48"/>
        </row>
        <row r="52">
          <cell r="EQ52">
            <v>8630</v>
          </cell>
        </row>
        <row r="53">
          <cell r="EQ53"/>
        </row>
        <row r="57">
          <cell r="EQ57"/>
        </row>
        <row r="58">
          <cell r="EQ58"/>
        </row>
      </sheetData>
      <sheetData sheetId="5"/>
      <sheetData sheetId="6">
        <row r="4">
          <cell r="EQ4">
            <v>78</v>
          </cell>
        </row>
        <row r="5">
          <cell r="EQ5">
            <v>78</v>
          </cell>
        </row>
        <row r="8">
          <cell r="EQ8"/>
        </row>
        <row r="9">
          <cell r="EQ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</row>
        <row r="22">
          <cell r="EQ22">
            <v>12124</v>
          </cell>
        </row>
        <row r="23">
          <cell r="EQ23">
            <v>11683</v>
          </cell>
        </row>
        <row r="27">
          <cell r="EQ27">
            <v>444</v>
          </cell>
        </row>
        <row r="28">
          <cell r="EQ28">
            <v>494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</row>
        <row r="47">
          <cell r="EQ47">
            <v>27935</v>
          </cell>
        </row>
        <row r="48">
          <cell r="EQ48"/>
        </row>
        <row r="52">
          <cell r="EQ52">
            <v>7755</v>
          </cell>
        </row>
        <row r="53">
          <cell r="EQ53"/>
        </row>
        <row r="57">
          <cell r="EQ57"/>
        </row>
        <row r="58">
          <cell r="EQ58"/>
        </row>
      </sheetData>
      <sheetData sheetId="7"/>
      <sheetData sheetId="8">
        <row r="4">
          <cell r="EQ4">
            <v>729</v>
          </cell>
        </row>
        <row r="5">
          <cell r="EQ5">
            <v>735</v>
          </cell>
        </row>
        <row r="8">
          <cell r="EQ8"/>
        </row>
        <row r="9">
          <cell r="EQ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</row>
        <row r="22">
          <cell r="EQ22">
            <v>100454</v>
          </cell>
        </row>
        <row r="23">
          <cell r="EQ23">
            <v>95409</v>
          </cell>
        </row>
        <row r="27">
          <cell r="EQ27">
            <v>2537</v>
          </cell>
        </row>
        <row r="28">
          <cell r="EQ28">
            <v>2890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</row>
        <row r="47">
          <cell r="EQ47">
            <v>34780</v>
          </cell>
        </row>
        <row r="48">
          <cell r="EQ48">
            <v>66891</v>
          </cell>
        </row>
        <row r="52">
          <cell r="EQ52">
            <v>12997</v>
          </cell>
        </row>
        <row r="53">
          <cell r="EQ53">
            <v>73737</v>
          </cell>
        </row>
        <row r="57">
          <cell r="EQ57"/>
        </row>
        <row r="58">
          <cell r="EQ58"/>
        </row>
      </sheetData>
      <sheetData sheetId="9"/>
      <sheetData sheetId="10">
        <row r="4">
          <cell r="EQ4">
            <v>704</v>
          </cell>
        </row>
        <row r="5">
          <cell r="EQ5">
            <v>700</v>
          </cell>
        </row>
        <row r="8">
          <cell r="EQ8">
            <v>64</v>
          </cell>
        </row>
        <row r="9">
          <cell r="EQ9">
            <v>66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</row>
        <row r="22">
          <cell r="EQ22">
            <v>80476</v>
          </cell>
        </row>
        <row r="23">
          <cell r="EQ23">
            <v>88727</v>
          </cell>
        </row>
        <row r="27">
          <cell r="EQ27">
            <v>1939</v>
          </cell>
        </row>
        <row r="28">
          <cell r="EQ28">
            <v>1650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</row>
        <row r="47">
          <cell r="EQ47">
            <v>365546</v>
          </cell>
        </row>
        <row r="48">
          <cell r="EQ48">
            <v>311898</v>
          </cell>
        </row>
        <row r="52">
          <cell r="EQ52">
            <v>278306</v>
          </cell>
        </row>
        <row r="53">
          <cell r="EQ53">
            <v>363579</v>
          </cell>
        </row>
        <row r="57">
          <cell r="EQ57"/>
        </row>
        <row r="58">
          <cell r="EQ58"/>
        </row>
        <row r="70">
          <cell r="EQ70">
            <v>80636</v>
          </cell>
        </row>
        <row r="71">
          <cell r="EQ71">
            <v>8091</v>
          </cell>
        </row>
        <row r="73">
          <cell r="EQ73">
            <v>1829</v>
          </cell>
        </row>
        <row r="74">
          <cell r="EQ74">
            <v>3</v>
          </cell>
        </row>
      </sheetData>
      <sheetData sheetId="11">
        <row r="4">
          <cell r="EQ4">
            <v>18</v>
          </cell>
        </row>
        <row r="5">
          <cell r="EQ5">
            <v>18</v>
          </cell>
        </row>
        <row r="8">
          <cell r="EQ8"/>
        </row>
        <row r="9">
          <cell r="EQ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</row>
        <row r="22">
          <cell r="EQ22">
            <v>53</v>
          </cell>
        </row>
        <row r="23">
          <cell r="EQ23">
            <v>56</v>
          </cell>
        </row>
        <row r="27">
          <cell r="EQ27"/>
        </row>
        <row r="28">
          <cell r="EQ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12">
        <row r="8">
          <cell r="EQ8"/>
        </row>
        <row r="9">
          <cell r="EQ9"/>
        </row>
        <row r="15">
          <cell r="EL15"/>
          <cell r="EM15"/>
          <cell r="EN15"/>
          <cell r="EO15"/>
          <cell r="EP15"/>
          <cell r="EQ15">
            <v>13</v>
          </cell>
        </row>
        <row r="16">
          <cell r="EL16"/>
          <cell r="EM16"/>
          <cell r="EN16"/>
          <cell r="EO16"/>
          <cell r="EP16"/>
          <cell r="EQ16">
            <v>13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</row>
        <row r="22">
          <cell r="EQ22"/>
        </row>
        <row r="23">
          <cell r="EQ23"/>
        </row>
        <row r="27">
          <cell r="EQ27"/>
        </row>
        <row r="28">
          <cell r="EQ28"/>
        </row>
        <row r="32">
          <cell r="EL32"/>
          <cell r="EM32"/>
          <cell r="EN32"/>
          <cell r="EO32"/>
          <cell r="EP32"/>
          <cell r="EQ32">
            <v>2622</v>
          </cell>
        </row>
        <row r="33">
          <cell r="EL33"/>
          <cell r="EM33"/>
          <cell r="EN33"/>
          <cell r="EO33"/>
          <cell r="EP33"/>
          <cell r="EQ33">
            <v>3106</v>
          </cell>
        </row>
        <row r="37">
          <cell r="EL37"/>
          <cell r="EM37"/>
          <cell r="EN37"/>
          <cell r="EO37"/>
          <cell r="EP37"/>
          <cell r="EQ37"/>
        </row>
        <row r="38">
          <cell r="EL38"/>
          <cell r="EM38"/>
          <cell r="EN38"/>
          <cell r="EO38"/>
          <cell r="EP38"/>
          <cell r="EQ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</row>
        <row r="47">
          <cell r="EQ47">
            <v>4806</v>
          </cell>
        </row>
        <row r="48">
          <cell r="EQ48">
            <v>22</v>
          </cell>
        </row>
        <row r="52">
          <cell r="EQ52">
            <v>22405</v>
          </cell>
        </row>
        <row r="53">
          <cell r="EQ53"/>
        </row>
        <row r="57">
          <cell r="EQ57"/>
        </row>
        <row r="58">
          <cell r="EQ58"/>
        </row>
      </sheetData>
      <sheetData sheetId="13">
        <row r="4">
          <cell r="EQ4">
            <v>5717</v>
          </cell>
        </row>
        <row r="5">
          <cell r="EQ5">
            <v>5702</v>
          </cell>
        </row>
        <row r="8">
          <cell r="EQ8">
            <v>2</v>
          </cell>
        </row>
        <row r="9">
          <cell r="EQ9">
            <v>14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</row>
        <row r="22">
          <cell r="EQ22">
            <v>805012</v>
          </cell>
        </row>
        <row r="23">
          <cell r="EQ23">
            <v>799748</v>
          </cell>
        </row>
        <row r="27">
          <cell r="EQ27">
            <v>28617</v>
          </cell>
        </row>
        <row r="28">
          <cell r="EQ28">
            <v>28527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</row>
        <row r="47">
          <cell r="EQ47">
            <v>3786618</v>
          </cell>
        </row>
        <row r="48">
          <cell r="EQ48">
            <v>542373</v>
          </cell>
        </row>
        <row r="52">
          <cell r="EQ52">
            <v>2281493</v>
          </cell>
        </row>
        <row r="53">
          <cell r="EQ53">
            <v>835335</v>
          </cell>
        </row>
        <row r="57">
          <cell r="EQ57"/>
        </row>
        <row r="58">
          <cell r="EQ58"/>
        </row>
        <row r="70">
          <cell r="EQ70">
            <v>323098</v>
          </cell>
        </row>
        <row r="71">
          <cell r="EQ71">
            <v>476650</v>
          </cell>
        </row>
        <row r="73">
          <cell r="EQ73">
            <v>31262</v>
          </cell>
        </row>
        <row r="74">
          <cell r="EQ74">
            <v>46120</v>
          </cell>
        </row>
      </sheetData>
      <sheetData sheetId="14">
        <row r="4">
          <cell r="EQ4">
            <v>100</v>
          </cell>
        </row>
        <row r="5">
          <cell r="EQ5">
            <v>100</v>
          </cell>
        </row>
        <row r="8">
          <cell r="EQ8"/>
        </row>
        <row r="9">
          <cell r="EQ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</row>
        <row r="22">
          <cell r="EQ22">
            <v>15468</v>
          </cell>
        </row>
        <row r="23">
          <cell r="EQ23">
            <v>14253</v>
          </cell>
        </row>
        <row r="27">
          <cell r="EQ27">
            <v>198</v>
          </cell>
        </row>
        <row r="28">
          <cell r="EQ28">
            <v>199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15">
        <row r="4">
          <cell r="EQ4">
            <v>2</v>
          </cell>
        </row>
        <row r="5">
          <cell r="EQ5">
            <v>2</v>
          </cell>
        </row>
        <row r="8">
          <cell r="EQ8"/>
        </row>
        <row r="9">
          <cell r="EQ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</row>
        <row r="22">
          <cell r="EQ22">
            <v>6</v>
          </cell>
        </row>
        <row r="23">
          <cell r="EQ23">
            <v>7</v>
          </cell>
        </row>
        <row r="27">
          <cell r="EQ27"/>
        </row>
        <row r="28">
          <cell r="EQ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16">
        <row r="8">
          <cell r="EQ8"/>
        </row>
        <row r="9">
          <cell r="EQ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</row>
        <row r="47">
          <cell r="EQ47">
            <v>62966</v>
          </cell>
        </row>
        <row r="48">
          <cell r="EQ48"/>
        </row>
        <row r="52">
          <cell r="EQ52">
            <v>886</v>
          </cell>
        </row>
        <row r="53">
          <cell r="EQ53"/>
        </row>
        <row r="57">
          <cell r="EQ57"/>
        </row>
        <row r="58">
          <cell r="EQ58"/>
        </row>
      </sheetData>
      <sheetData sheetId="17"/>
      <sheetData sheetId="18"/>
      <sheetData sheetId="19"/>
      <sheetData sheetId="20">
        <row r="19">
          <cell r="EC19">
            <v>180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</row>
      </sheetData>
      <sheetData sheetId="21">
        <row r="4">
          <cell r="EQ4">
            <v>746</v>
          </cell>
        </row>
        <row r="5">
          <cell r="EQ5">
            <v>742</v>
          </cell>
        </row>
        <row r="8">
          <cell r="EQ8">
            <v>2</v>
          </cell>
        </row>
        <row r="9">
          <cell r="EQ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</row>
        <row r="22">
          <cell r="EQ22">
            <v>96549</v>
          </cell>
        </row>
        <row r="23">
          <cell r="EQ23">
            <v>93507</v>
          </cell>
        </row>
        <row r="27">
          <cell r="EQ27">
            <v>1173</v>
          </cell>
        </row>
        <row r="28">
          <cell r="EQ28">
            <v>1269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</row>
        <row r="47">
          <cell r="EQ47">
            <v>237082</v>
          </cell>
        </row>
        <row r="48">
          <cell r="EQ48"/>
        </row>
        <row r="52">
          <cell r="EQ52">
            <v>119859</v>
          </cell>
        </row>
        <row r="53">
          <cell r="EQ53"/>
        </row>
        <row r="57">
          <cell r="EQ57"/>
        </row>
        <row r="58">
          <cell r="EQ58"/>
        </row>
        <row r="70">
          <cell r="EQ70">
            <v>93267</v>
          </cell>
        </row>
        <row r="71">
          <cell r="EQ71">
            <v>240</v>
          </cell>
        </row>
      </sheetData>
      <sheetData sheetId="22">
        <row r="4">
          <cell r="EQ4">
            <v>381</v>
          </cell>
        </row>
        <row r="5">
          <cell r="EQ5">
            <v>382</v>
          </cell>
        </row>
        <row r="8">
          <cell r="EQ8"/>
        </row>
        <row r="9">
          <cell r="EQ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</row>
        <row r="22">
          <cell r="EQ22">
            <v>52769</v>
          </cell>
        </row>
        <row r="23">
          <cell r="EQ23">
            <v>52799</v>
          </cell>
        </row>
        <row r="27">
          <cell r="EQ27">
            <v>499</v>
          </cell>
        </row>
        <row r="28">
          <cell r="EQ28">
            <v>473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23">
        <row r="4">
          <cell r="EQ4">
            <v>351</v>
          </cell>
        </row>
        <row r="5">
          <cell r="EQ5">
            <v>351</v>
          </cell>
        </row>
        <row r="8">
          <cell r="EQ8"/>
        </row>
        <row r="9">
          <cell r="EQ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</row>
        <row r="22">
          <cell r="EQ22">
            <v>47352</v>
          </cell>
        </row>
        <row r="23">
          <cell r="EQ23">
            <v>46823</v>
          </cell>
        </row>
        <row r="27">
          <cell r="EQ27">
            <v>957</v>
          </cell>
        </row>
        <row r="28">
          <cell r="EQ28">
            <v>912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</row>
        <row r="47">
          <cell r="EQ47">
            <v>58234</v>
          </cell>
        </row>
        <row r="48">
          <cell r="EQ48">
            <v>169133</v>
          </cell>
        </row>
        <row r="52">
          <cell r="EQ52">
            <v>30074</v>
          </cell>
        </row>
        <row r="53">
          <cell r="EQ53">
            <v>201709</v>
          </cell>
        </row>
        <row r="57">
          <cell r="EQ57"/>
        </row>
        <row r="58">
          <cell r="EQ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</sheetData>
      <sheetData sheetId="25">
        <row r="8">
          <cell r="EQ8"/>
        </row>
        <row r="9">
          <cell r="EQ9"/>
        </row>
        <row r="15">
          <cell r="EL15">
            <v>89</v>
          </cell>
          <cell r="EM15">
            <v>3</v>
          </cell>
          <cell r="EN15"/>
          <cell r="EO15"/>
          <cell r="EP15"/>
        </row>
        <row r="16">
          <cell r="EL16">
            <v>89</v>
          </cell>
          <cell r="EM16">
            <v>4</v>
          </cell>
          <cell r="EN16"/>
          <cell r="EO16"/>
          <cell r="EP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G58"/>
        </row>
      </sheetData>
      <sheetData sheetId="26">
        <row r="8">
          <cell r="EQ8">
            <v>0</v>
          </cell>
        </row>
        <row r="9">
          <cell r="EQ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</row>
        <row r="37">
          <cell r="EL37"/>
          <cell r="EM37"/>
          <cell r="EN37"/>
          <cell r="EO37"/>
          <cell r="EP37"/>
          <cell r="EQ37"/>
        </row>
        <row r="38">
          <cell r="EL38"/>
          <cell r="EM38"/>
          <cell r="EN38"/>
          <cell r="EO38"/>
          <cell r="EP38"/>
          <cell r="EQ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</sheetData>
      <sheetData sheetId="27">
        <row r="4">
          <cell r="EQ4"/>
        </row>
        <row r="5">
          <cell r="EQ5"/>
        </row>
        <row r="8">
          <cell r="EQ8"/>
        </row>
        <row r="9">
          <cell r="EQ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</row>
        <row r="22">
          <cell r="EQ22"/>
        </row>
        <row r="23">
          <cell r="EQ23"/>
        </row>
        <row r="27">
          <cell r="EQ27"/>
        </row>
        <row r="28">
          <cell r="EQ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</row>
        <row r="47">
          <cell r="EQ47"/>
        </row>
        <row r="48">
          <cell r="EQ48"/>
        </row>
        <row r="52">
          <cell r="BH52"/>
        </row>
        <row r="53">
          <cell r="EQ53"/>
        </row>
        <row r="57">
          <cell r="BG57"/>
        </row>
        <row r="58">
          <cell r="BG58"/>
        </row>
      </sheetData>
      <sheetData sheetId="28">
        <row r="4">
          <cell r="EQ4"/>
        </row>
        <row r="5">
          <cell r="EQ5"/>
        </row>
        <row r="8">
          <cell r="EQ8"/>
        </row>
        <row r="9">
          <cell r="EQ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</row>
        <row r="22">
          <cell r="EQ22"/>
        </row>
        <row r="23">
          <cell r="EQ23"/>
        </row>
        <row r="27">
          <cell r="EQ27"/>
        </row>
        <row r="28">
          <cell r="EQ28"/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29">
        <row r="4">
          <cell r="EQ4">
            <v>392</v>
          </cell>
        </row>
        <row r="5">
          <cell r="EQ5">
            <v>370</v>
          </cell>
        </row>
        <row r="8">
          <cell r="EQ8"/>
        </row>
        <row r="9">
          <cell r="EQ9">
            <v>2</v>
          </cell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</row>
        <row r="22">
          <cell r="EQ22">
            <v>22918</v>
          </cell>
        </row>
        <row r="23">
          <cell r="EQ23">
            <v>21593</v>
          </cell>
        </row>
        <row r="27">
          <cell r="EQ27">
            <v>749</v>
          </cell>
        </row>
        <row r="28">
          <cell r="EQ28">
            <v>740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G58"/>
        </row>
        <row r="70">
          <cell r="EQ70">
            <v>7039</v>
          </cell>
        </row>
        <row r="71">
          <cell r="EQ71">
            <v>14554</v>
          </cell>
        </row>
        <row r="73">
          <cell r="EQ73">
            <v>853</v>
          </cell>
        </row>
        <row r="74">
          <cell r="EQ74">
            <v>1763</v>
          </cell>
        </row>
      </sheetData>
      <sheetData sheetId="30"/>
      <sheetData sheetId="31"/>
      <sheetData sheetId="32"/>
      <sheetData sheetId="33">
        <row r="4">
          <cell r="EQ4">
            <v>790</v>
          </cell>
        </row>
        <row r="5">
          <cell r="EQ5">
            <v>788</v>
          </cell>
        </row>
        <row r="8">
          <cell r="EQ8"/>
        </row>
        <row r="9">
          <cell r="EQ9">
            <v>1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</row>
        <row r="22">
          <cell r="EQ22">
            <v>47749</v>
          </cell>
        </row>
        <row r="23">
          <cell r="EQ23">
            <v>48079</v>
          </cell>
        </row>
        <row r="27">
          <cell r="EQ27">
            <v>1659</v>
          </cell>
        </row>
        <row r="28">
          <cell r="EQ28">
            <v>1920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G58"/>
        </row>
        <row r="70">
          <cell r="BG70">
            <v>26242</v>
          </cell>
          <cell r="EQ70">
            <v>17308</v>
          </cell>
        </row>
        <row r="71">
          <cell r="BG71">
            <v>44562</v>
          </cell>
          <cell r="EQ71">
            <v>30771</v>
          </cell>
        </row>
        <row r="73">
          <cell r="BG73">
            <v>1540</v>
          </cell>
          <cell r="EQ73">
            <v>630</v>
          </cell>
        </row>
        <row r="74">
          <cell r="BG74">
            <v>2614</v>
          </cell>
          <cell r="EQ74">
            <v>1119</v>
          </cell>
        </row>
      </sheetData>
      <sheetData sheetId="34"/>
      <sheetData sheetId="35">
        <row r="4">
          <cell r="EQ4">
            <v>13</v>
          </cell>
        </row>
        <row r="5">
          <cell r="EQ5">
            <v>13</v>
          </cell>
        </row>
        <row r="8">
          <cell r="EQ8"/>
        </row>
        <row r="9">
          <cell r="EQ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</row>
        <row r="22">
          <cell r="EQ22">
            <v>597</v>
          </cell>
        </row>
        <row r="23">
          <cell r="EQ23">
            <v>564</v>
          </cell>
        </row>
        <row r="27">
          <cell r="EQ27">
            <v>25</v>
          </cell>
        </row>
        <row r="28">
          <cell r="EQ28">
            <v>11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G58"/>
        </row>
      </sheetData>
      <sheetData sheetId="36"/>
      <sheetData sheetId="37">
        <row r="4">
          <cell r="EQ4">
            <v>46</v>
          </cell>
        </row>
        <row r="5">
          <cell r="EQ5">
            <v>46</v>
          </cell>
        </row>
        <row r="8">
          <cell r="EQ8"/>
        </row>
        <row r="9">
          <cell r="EQ9"/>
        </row>
        <row r="15">
          <cell r="EL15"/>
          <cell r="EM15"/>
          <cell r="EN15"/>
          <cell r="EO15"/>
          <cell r="EP15"/>
          <cell r="EQ15">
            <v>19</v>
          </cell>
        </row>
        <row r="16">
          <cell r="EL16"/>
          <cell r="EM16"/>
          <cell r="EN16"/>
          <cell r="EO16"/>
          <cell r="EP16"/>
          <cell r="EQ16">
            <v>19</v>
          </cell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</row>
        <row r="22">
          <cell r="EQ22">
            <v>2975</v>
          </cell>
        </row>
        <row r="23">
          <cell r="EQ23">
            <v>4191</v>
          </cell>
        </row>
        <row r="27">
          <cell r="EQ27">
            <v>86</v>
          </cell>
        </row>
        <row r="28">
          <cell r="EQ28">
            <v>99</v>
          </cell>
        </row>
        <row r="32">
          <cell r="EL32"/>
          <cell r="EM32"/>
          <cell r="EN32"/>
          <cell r="EO32"/>
          <cell r="EP32"/>
          <cell r="EQ32">
            <v>1153</v>
          </cell>
        </row>
        <row r="33">
          <cell r="EL33"/>
          <cell r="EM33"/>
          <cell r="EN33"/>
          <cell r="EO33"/>
          <cell r="EP33"/>
          <cell r="EQ33"/>
        </row>
        <row r="37">
          <cell r="EL37"/>
          <cell r="EM37"/>
          <cell r="EN37"/>
          <cell r="EO37"/>
          <cell r="EP37"/>
          <cell r="EQ37">
            <v>14</v>
          </cell>
        </row>
        <row r="38">
          <cell r="EL38"/>
          <cell r="EM38"/>
          <cell r="EN38"/>
          <cell r="EO38"/>
          <cell r="EP38"/>
          <cell r="EQ3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AJ57"/>
        </row>
        <row r="58">
          <cell r="AJ58"/>
        </row>
        <row r="70">
          <cell r="EQ70">
            <v>1949</v>
          </cell>
        </row>
        <row r="71">
          <cell r="EQ71">
            <v>2242</v>
          </cell>
        </row>
      </sheetData>
      <sheetData sheetId="38">
        <row r="4">
          <cell r="EQ4">
            <v>28</v>
          </cell>
        </row>
        <row r="5">
          <cell r="EQ5">
            <v>28</v>
          </cell>
        </row>
        <row r="8">
          <cell r="EQ8"/>
        </row>
        <row r="9">
          <cell r="EQ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</row>
        <row r="22">
          <cell r="EQ22">
            <v>1857</v>
          </cell>
        </row>
        <row r="23">
          <cell r="EQ23">
            <v>1728</v>
          </cell>
        </row>
        <row r="27">
          <cell r="EQ27">
            <v>53</v>
          </cell>
        </row>
        <row r="28">
          <cell r="EQ28">
            <v>14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AJ57"/>
        </row>
        <row r="58">
          <cell r="AJ58"/>
        </row>
      </sheetData>
      <sheetData sheetId="39"/>
      <sheetData sheetId="40">
        <row r="4">
          <cell r="EQ4">
            <v>161</v>
          </cell>
        </row>
        <row r="5">
          <cell r="EQ5">
            <v>161</v>
          </cell>
        </row>
        <row r="8">
          <cell r="EQ8"/>
        </row>
        <row r="9">
          <cell r="EQ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</row>
        <row r="22">
          <cell r="EQ22">
            <v>11271</v>
          </cell>
        </row>
        <row r="23">
          <cell r="EQ23">
            <v>10957</v>
          </cell>
        </row>
        <row r="27">
          <cell r="EQ27">
            <v>239</v>
          </cell>
        </row>
        <row r="28">
          <cell r="EQ28">
            <v>206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41">
        <row r="4">
          <cell r="EQ4"/>
        </row>
        <row r="5">
          <cell r="EQ5"/>
        </row>
        <row r="8">
          <cell r="EQ8"/>
        </row>
        <row r="9">
          <cell r="EQ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22">
          <cell r="EQ22"/>
        </row>
        <row r="23">
          <cell r="EQ23"/>
        </row>
        <row r="27">
          <cell r="EQ27"/>
        </row>
        <row r="28">
          <cell r="EQ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AJ57"/>
        </row>
        <row r="58">
          <cell r="AJ58"/>
        </row>
      </sheetData>
      <sheetData sheetId="42"/>
      <sheetData sheetId="43">
        <row r="4">
          <cell r="EQ4">
            <v>1804</v>
          </cell>
        </row>
        <row r="5">
          <cell r="EQ5">
            <v>1807</v>
          </cell>
        </row>
        <row r="8">
          <cell r="EQ8"/>
        </row>
        <row r="9">
          <cell r="EQ9">
            <v>3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</row>
        <row r="22">
          <cell r="EQ22">
            <v>95022</v>
          </cell>
        </row>
        <row r="23">
          <cell r="EQ23">
            <v>93445</v>
          </cell>
        </row>
        <row r="27">
          <cell r="EQ27">
            <v>3709</v>
          </cell>
        </row>
        <row r="28">
          <cell r="EQ28">
            <v>3614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  <row r="70">
          <cell r="EQ70">
            <v>27940</v>
          </cell>
        </row>
        <row r="71">
          <cell r="EQ71">
            <v>65505</v>
          </cell>
        </row>
        <row r="73">
          <cell r="EQ73">
            <v>5064</v>
          </cell>
        </row>
        <row r="74">
          <cell r="EQ74">
            <v>11873</v>
          </cell>
        </row>
      </sheetData>
      <sheetData sheetId="44">
        <row r="4">
          <cell r="EQ4">
            <v>16</v>
          </cell>
        </row>
        <row r="5">
          <cell r="EQ5">
            <v>16</v>
          </cell>
        </row>
        <row r="8">
          <cell r="EQ8"/>
        </row>
        <row r="9">
          <cell r="EQ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</row>
        <row r="22">
          <cell r="EQ22">
            <v>1059</v>
          </cell>
        </row>
        <row r="23">
          <cell r="EQ23">
            <v>938</v>
          </cell>
        </row>
        <row r="27">
          <cell r="EQ27">
            <v>45</v>
          </cell>
        </row>
        <row r="28">
          <cell r="EQ28">
            <v>29</v>
          </cell>
        </row>
        <row r="32">
          <cell r="EQ32"/>
        </row>
        <row r="33">
          <cell r="EQ33"/>
        </row>
        <row r="37">
          <cell r="EQ37"/>
        </row>
        <row r="38">
          <cell r="EQ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AJ57"/>
        </row>
        <row r="58">
          <cell r="AJ58"/>
        </row>
      </sheetData>
      <sheetData sheetId="45">
        <row r="4">
          <cell r="EQ4">
            <v>204</v>
          </cell>
        </row>
        <row r="5">
          <cell r="EQ5">
            <v>205</v>
          </cell>
        </row>
        <row r="8">
          <cell r="EQ8"/>
        </row>
        <row r="9">
          <cell r="EQ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</row>
        <row r="22">
          <cell r="EQ22">
            <v>14311</v>
          </cell>
        </row>
        <row r="23">
          <cell r="EQ23">
            <v>14398</v>
          </cell>
        </row>
        <row r="27">
          <cell r="EQ27">
            <v>252</v>
          </cell>
        </row>
        <row r="28">
          <cell r="EQ28">
            <v>296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46">
        <row r="4">
          <cell r="EQ4">
            <v>100</v>
          </cell>
        </row>
        <row r="5">
          <cell r="EQ5">
            <v>100</v>
          </cell>
        </row>
        <row r="8">
          <cell r="EQ8"/>
        </row>
        <row r="9">
          <cell r="EQ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</row>
        <row r="22">
          <cell r="EQ22">
            <v>6648</v>
          </cell>
        </row>
        <row r="23">
          <cell r="EQ23">
            <v>6423</v>
          </cell>
        </row>
        <row r="27">
          <cell r="EQ27">
            <v>158</v>
          </cell>
        </row>
        <row r="28">
          <cell r="EQ28">
            <v>162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</sheetData>
      <sheetData sheetId="47"/>
      <sheetData sheetId="48">
        <row r="4">
          <cell r="EQ4">
            <v>2743</v>
          </cell>
        </row>
        <row r="5">
          <cell r="EQ5">
            <v>2739</v>
          </cell>
        </row>
        <row r="8">
          <cell r="EQ8"/>
        </row>
        <row r="9">
          <cell r="EQ9">
            <v>5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</row>
        <row r="22">
          <cell r="EQ22">
            <v>123868</v>
          </cell>
        </row>
        <row r="23">
          <cell r="EQ23">
            <v>125794</v>
          </cell>
        </row>
        <row r="27">
          <cell r="EQ27">
            <v>4962</v>
          </cell>
        </row>
        <row r="28">
          <cell r="EQ28">
            <v>4398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  <row r="70">
          <cell r="EQ70">
            <v>36735</v>
          </cell>
        </row>
        <row r="71">
          <cell r="EQ71">
            <v>89059</v>
          </cell>
        </row>
        <row r="73">
          <cell r="EQ73">
            <v>1200</v>
          </cell>
        </row>
        <row r="74">
          <cell r="EQ74">
            <v>4512</v>
          </cell>
        </row>
      </sheetData>
      <sheetData sheetId="49">
        <row r="4">
          <cell r="EQ4">
            <v>228</v>
          </cell>
        </row>
        <row r="5">
          <cell r="EQ5">
            <v>228</v>
          </cell>
        </row>
        <row r="8">
          <cell r="EQ8"/>
        </row>
        <row r="9">
          <cell r="EQ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</row>
        <row r="22">
          <cell r="EQ22">
            <v>15793</v>
          </cell>
        </row>
        <row r="23">
          <cell r="EQ23">
            <v>15350</v>
          </cell>
        </row>
        <row r="27">
          <cell r="EQ27">
            <v>269</v>
          </cell>
        </row>
        <row r="28">
          <cell r="EQ28">
            <v>307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</sheetData>
      <sheetData sheetId="51"/>
      <sheetData sheetId="52">
        <row r="4">
          <cell r="EQ4">
            <v>30</v>
          </cell>
        </row>
        <row r="5">
          <cell r="EQ5">
            <v>30</v>
          </cell>
        </row>
        <row r="8">
          <cell r="EQ8">
            <v>0</v>
          </cell>
        </row>
        <row r="9">
          <cell r="EQ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</row>
        <row r="22">
          <cell r="EQ22">
            <v>2033</v>
          </cell>
        </row>
        <row r="23">
          <cell r="EQ23">
            <v>1969</v>
          </cell>
        </row>
        <row r="27">
          <cell r="EQ27">
            <v>92</v>
          </cell>
        </row>
        <row r="28">
          <cell r="EQ28">
            <v>103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</row>
        <row r="47">
          <cell r="EQ47">
            <v>1662</v>
          </cell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EQ58"/>
        </row>
      </sheetData>
      <sheetData sheetId="53">
        <row r="4">
          <cell r="EQ4">
            <v>13</v>
          </cell>
        </row>
        <row r="5">
          <cell r="EQ5">
            <v>13</v>
          </cell>
        </row>
        <row r="8">
          <cell r="EQ8"/>
        </row>
        <row r="9">
          <cell r="EQ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</row>
        <row r="22">
          <cell r="EQ22">
            <v>821</v>
          </cell>
        </row>
        <row r="23">
          <cell r="EQ23">
            <v>888</v>
          </cell>
        </row>
        <row r="27">
          <cell r="EQ27">
            <v>21</v>
          </cell>
        </row>
        <row r="28">
          <cell r="EQ28">
            <v>11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G58"/>
        </row>
      </sheetData>
      <sheetData sheetId="54">
        <row r="4">
          <cell r="EQ4">
            <v>63</v>
          </cell>
        </row>
        <row r="5">
          <cell r="EQ5">
            <v>63</v>
          </cell>
        </row>
        <row r="8">
          <cell r="EQ8"/>
        </row>
        <row r="9">
          <cell r="EQ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</row>
        <row r="22">
          <cell r="EQ22">
            <v>3883</v>
          </cell>
        </row>
        <row r="23">
          <cell r="EQ23">
            <v>3723</v>
          </cell>
        </row>
        <row r="27">
          <cell r="EQ27">
            <v>130</v>
          </cell>
        </row>
        <row r="28">
          <cell r="EQ28">
            <v>133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</row>
        <row r="47">
          <cell r="EQ47"/>
        </row>
        <row r="48">
          <cell r="EQ48"/>
        </row>
        <row r="52">
          <cell r="EQ52"/>
        </row>
        <row r="53">
          <cell r="EQ53"/>
        </row>
        <row r="57">
          <cell r="EQ57"/>
        </row>
        <row r="58">
          <cell r="BH58"/>
        </row>
        <row r="70">
          <cell r="EQ70">
            <v>1258</v>
          </cell>
        </row>
        <row r="71">
          <cell r="EQ71">
            <v>2465</v>
          </cell>
        </row>
      </sheetData>
      <sheetData sheetId="55"/>
      <sheetData sheetId="56"/>
      <sheetData sheetId="57"/>
      <sheetData sheetId="58">
        <row r="4">
          <cell r="EQ4"/>
        </row>
        <row r="5">
          <cell r="EQ5"/>
        </row>
        <row r="15">
          <cell r="EL15"/>
          <cell r="EM15"/>
          <cell r="EN15"/>
          <cell r="EO15"/>
          <cell r="EP15"/>
        </row>
        <row r="16">
          <cell r="EL16"/>
          <cell r="EM16"/>
          <cell r="EN16"/>
          <cell r="EO16"/>
          <cell r="EP16"/>
        </row>
        <row r="22">
          <cell r="EQ22"/>
        </row>
        <row r="23">
          <cell r="EQ23"/>
        </row>
        <row r="32">
          <cell r="EL32"/>
          <cell r="EM32"/>
          <cell r="EN32"/>
          <cell r="EO32"/>
          <cell r="EP32"/>
          <cell r="EQ32"/>
        </row>
        <row r="33">
          <cell r="EL33"/>
          <cell r="EM33"/>
          <cell r="EN33"/>
          <cell r="EO33"/>
          <cell r="EP33"/>
          <cell r="EQ33"/>
        </row>
        <row r="37">
          <cell r="EL37"/>
          <cell r="EM37"/>
          <cell r="EN37"/>
          <cell r="EO37"/>
          <cell r="EP37"/>
          <cell r="EQ37"/>
        </row>
        <row r="38">
          <cell r="EL38"/>
          <cell r="EM38"/>
          <cell r="EN38"/>
          <cell r="EO38"/>
          <cell r="EP38"/>
          <cell r="EQ38"/>
        </row>
      </sheetData>
      <sheetData sheetId="59">
        <row r="4">
          <cell r="EQ4">
            <v>2</v>
          </cell>
        </row>
        <row r="5">
          <cell r="EQ5">
            <v>2</v>
          </cell>
        </row>
        <row r="22">
          <cell r="EQ22">
            <v>145</v>
          </cell>
        </row>
        <row r="23">
          <cell r="EQ23">
            <v>143</v>
          </cell>
        </row>
        <row r="32">
          <cell r="EQ32"/>
        </row>
        <row r="33">
          <cell r="EQ33"/>
        </row>
      </sheetData>
      <sheetData sheetId="60">
        <row r="8">
          <cell r="EQ8">
            <v>2</v>
          </cell>
        </row>
        <row r="9">
          <cell r="EQ9">
            <v>2</v>
          </cell>
        </row>
        <row r="15">
          <cell r="EL15"/>
          <cell r="EM15"/>
          <cell r="EN15"/>
          <cell r="EO15"/>
          <cell r="EP15"/>
          <cell r="EQ15">
            <v>2</v>
          </cell>
        </row>
        <row r="16">
          <cell r="EL16"/>
          <cell r="EM16"/>
          <cell r="EN16"/>
          <cell r="EO16"/>
          <cell r="EP16"/>
          <cell r="EQ16">
            <v>2</v>
          </cell>
        </row>
        <row r="32">
          <cell r="EL32"/>
          <cell r="EM32"/>
          <cell r="EN32"/>
          <cell r="EO32"/>
          <cell r="EP32"/>
          <cell r="EQ32">
            <v>210</v>
          </cell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</row>
        <row r="37">
          <cell r="EL37"/>
          <cell r="EM37"/>
          <cell r="EN37"/>
          <cell r="EO37"/>
          <cell r="EP37"/>
          <cell r="EQ37"/>
        </row>
        <row r="38">
          <cell r="EL38"/>
          <cell r="EM38"/>
          <cell r="EN38"/>
          <cell r="EO38"/>
          <cell r="EP38"/>
          <cell r="EQ38"/>
        </row>
      </sheetData>
      <sheetData sheetId="61">
        <row r="4">
          <cell r="EQ4">
            <v>1</v>
          </cell>
        </row>
        <row r="5">
          <cell r="EQ5">
            <v>1</v>
          </cell>
        </row>
        <row r="15">
          <cell r="EL15"/>
          <cell r="EM15"/>
          <cell r="EN15"/>
          <cell r="EO15"/>
          <cell r="EP15"/>
          <cell r="EQ15">
            <v>2</v>
          </cell>
        </row>
        <row r="16">
          <cell r="EL16"/>
          <cell r="EM16"/>
          <cell r="EN16"/>
          <cell r="EO16"/>
          <cell r="EP16"/>
        </row>
        <row r="22">
          <cell r="EQ22">
            <v>66</v>
          </cell>
        </row>
        <row r="23">
          <cell r="EQ23">
            <v>17</v>
          </cell>
        </row>
        <row r="32">
          <cell r="EL32"/>
          <cell r="EM32"/>
          <cell r="EN32"/>
          <cell r="EO32"/>
          <cell r="EP32"/>
          <cell r="EQ32"/>
        </row>
        <row r="33">
          <cell r="EL33"/>
          <cell r="EM33"/>
          <cell r="EN33"/>
          <cell r="EO33"/>
          <cell r="EP33"/>
          <cell r="EQ33"/>
        </row>
        <row r="37">
          <cell r="EL37"/>
          <cell r="EM37"/>
          <cell r="EN37"/>
          <cell r="EO37"/>
          <cell r="EP37"/>
          <cell r="EQ37"/>
        </row>
        <row r="38">
          <cell r="EL38"/>
          <cell r="EM38"/>
          <cell r="EN38"/>
          <cell r="EO38"/>
          <cell r="EP38"/>
          <cell r="EQ38"/>
        </row>
      </sheetData>
      <sheetData sheetId="62"/>
      <sheetData sheetId="63"/>
      <sheetData sheetId="64">
        <row r="4">
          <cell r="EQ4">
            <v>22</v>
          </cell>
        </row>
        <row r="5">
          <cell r="EQ5">
            <v>22</v>
          </cell>
        </row>
        <row r="47">
          <cell r="EQ47">
            <v>690792</v>
          </cell>
        </row>
        <row r="48">
          <cell r="EQ48"/>
        </row>
        <row r="52">
          <cell r="EQ52">
            <v>538264</v>
          </cell>
        </row>
        <row r="53">
          <cell r="EQ53"/>
        </row>
        <row r="57">
          <cell r="EQ57"/>
        </row>
        <row r="58">
          <cell r="EQ58"/>
        </row>
      </sheetData>
      <sheetData sheetId="65">
        <row r="4">
          <cell r="EQ4">
            <v>35</v>
          </cell>
        </row>
        <row r="5">
          <cell r="EQ5">
            <v>35</v>
          </cell>
        </row>
        <row r="47">
          <cell r="EQ47">
            <v>51966</v>
          </cell>
        </row>
        <row r="48">
          <cell r="EQ48"/>
        </row>
        <row r="52">
          <cell r="EQ52">
            <v>40245</v>
          </cell>
        </row>
        <row r="53">
          <cell r="EQ53"/>
        </row>
        <row r="57">
          <cell r="EQ57"/>
        </row>
        <row r="58">
          <cell r="EQ58"/>
        </row>
      </sheetData>
      <sheetData sheetId="66"/>
      <sheetData sheetId="67">
        <row r="15">
          <cell r="EQ15">
            <v>22</v>
          </cell>
        </row>
        <row r="16">
          <cell r="EQ16">
            <v>22</v>
          </cell>
        </row>
        <row r="47">
          <cell r="EQ47">
            <v>19751</v>
          </cell>
        </row>
        <row r="48">
          <cell r="EQ48"/>
        </row>
        <row r="52">
          <cell r="EQ52">
            <v>76331</v>
          </cell>
        </row>
        <row r="53">
          <cell r="EQ53"/>
        </row>
        <row r="57">
          <cell r="EQ57"/>
        </row>
        <row r="58">
          <cell r="EQ58"/>
        </row>
      </sheetData>
      <sheetData sheetId="68">
        <row r="4">
          <cell r="EQ4">
            <v>90</v>
          </cell>
        </row>
        <row r="5">
          <cell r="EQ5">
            <v>90</v>
          </cell>
        </row>
        <row r="47">
          <cell r="EQ47">
            <v>8798625</v>
          </cell>
        </row>
        <row r="48">
          <cell r="EQ48"/>
        </row>
        <row r="52">
          <cell r="EQ52">
            <v>8629904</v>
          </cell>
        </row>
        <row r="53">
          <cell r="EQ53"/>
        </row>
        <row r="57">
          <cell r="EQ57"/>
        </row>
        <row r="58">
          <cell r="EQ58"/>
        </row>
      </sheetData>
      <sheetData sheetId="69">
        <row r="4">
          <cell r="EQ4">
            <v>90</v>
          </cell>
        </row>
        <row r="5">
          <cell r="EQ5">
            <v>90</v>
          </cell>
        </row>
        <row r="15">
          <cell r="EQ15">
            <v>18</v>
          </cell>
        </row>
        <row r="16">
          <cell r="EQ16">
            <v>18</v>
          </cell>
        </row>
        <row r="47">
          <cell r="EQ47">
            <v>5486832</v>
          </cell>
        </row>
        <row r="48">
          <cell r="EQ48">
            <v>4473</v>
          </cell>
        </row>
        <row r="52">
          <cell r="EQ52">
            <v>426416</v>
          </cell>
        </row>
        <row r="53">
          <cell r="EQ53">
            <v>200480</v>
          </cell>
        </row>
        <row r="57">
          <cell r="EQ57"/>
        </row>
        <row r="58">
          <cell r="EQ58"/>
        </row>
      </sheetData>
      <sheetData sheetId="70"/>
      <sheetData sheetId="71"/>
      <sheetData sheetId="72"/>
      <sheetData sheetId="73">
        <row r="4">
          <cell r="EQ4">
            <v>257</v>
          </cell>
        </row>
        <row r="5">
          <cell r="EQ5">
            <v>257</v>
          </cell>
        </row>
      </sheetData>
      <sheetData sheetId="74">
        <row r="4">
          <cell r="EQ4">
            <v>24</v>
          </cell>
        </row>
        <row r="5">
          <cell r="EQ5">
            <v>24</v>
          </cell>
        </row>
        <row r="47">
          <cell r="EQ47">
            <v>29016</v>
          </cell>
        </row>
        <row r="48">
          <cell r="EQ48"/>
        </row>
        <row r="52">
          <cell r="EQ52">
            <v>36311</v>
          </cell>
        </row>
        <row r="53">
          <cell r="EQ53"/>
        </row>
        <row r="57">
          <cell r="EQ57"/>
        </row>
        <row r="58">
          <cell r="EQ58"/>
        </row>
      </sheetData>
      <sheetData sheetId="75">
        <row r="4">
          <cell r="EQ4">
            <v>21</v>
          </cell>
        </row>
        <row r="5">
          <cell r="EQ5">
            <v>21</v>
          </cell>
        </row>
        <row r="47">
          <cell r="EQ47">
            <v>53347</v>
          </cell>
        </row>
        <row r="48">
          <cell r="EQ48"/>
        </row>
        <row r="52">
          <cell r="EQ52">
            <v>107296</v>
          </cell>
        </row>
        <row r="53">
          <cell r="EQ53"/>
        </row>
        <row r="57">
          <cell r="EQ57"/>
        </row>
        <row r="58">
          <cell r="EQ58"/>
        </row>
      </sheetData>
      <sheetData sheetId="76">
        <row r="4">
          <cell r="EQ4">
            <v>31</v>
          </cell>
        </row>
        <row r="5">
          <cell r="EQ5">
            <v>31</v>
          </cell>
        </row>
        <row r="8">
          <cell r="EQ8"/>
        </row>
        <row r="9">
          <cell r="EQ9"/>
        </row>
        <row r="47">
          <cell r="EQ47">
            <v>47822</v>
          </cell>
        </row>
        <row r="48">
          <cell r="EQ48"/>
        </row>
        <row r="52">
          <cell r="EQ52">
            <v>36650</v>
          </cell>
        </row>
        <row r="53">
          <cell r="EQ53"/>
        </row>
        <row r="57">
          <cell r="EQ57"/>
        </row>
        <row r="58">
          <cell r="EQ58"/>
        </row>
      </sheetData>
      <sheetData sheetId="77">
        <row r="4">
          <cell r="EQ4">
            <v>66</v>
          </cell>
        </row>
        <row r="5">
          <cell r="EQ5">
            <v>66</v>
          </cell>
        </row>
      </sheetData>
      <sheetData sheetId="78">
        <row r="4">
          <cell r="EQ4">
            <v>1370</v>
          </cell>
        </row>
        <row r="5">
          <cell r="EQ5">
            <v>1371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5" sqref="K1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42522</v>
      </c>
      <c r="B2" s="17"/>
      <c r="C2" s="17"/>
      <c r="D2" s="482" t="s">
        <v>185</v>
      </c>
      <c r="E2" s="482" t="s">
        <v>180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3"/>
      <c r="E3" s="484"/>
      <c r="F3" s="8" t="s">
        <v>2</v>
      </c>
      <c r="G3" s="8" t="s">
        <v>186</v>
      </c>
      <c r="H3" s="8" t="s">
        <v>177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1302098</v>
      </c>
      <c r="C5" s="300">
        <f>'Major Airline Stats'!I5</f>
        <v>1298305</v>
      </c>
      <c r="D5" s="5">
        <f>'Major Airline Stats'!I6</f>
        <v>2600403</v>
      </c>
      <c r="E5" s="9">
        <f>'[1]Monthly Summary'!D5</f>
        <v>2547321</v>
      </c>
      <c r="F5" s="39">
        <f>(D5-E5)/E5</f>
        <v>2.0838363127379706E-2</v>
      </c>
      <c r="G5" s="9">
        <f>+D5+'[2]Monthly Summary'!G5</f>
        <v>13555333</v>
      </c>
      <c r="H5" s="9">
        <f>'[1]Monthly Summary'!G5</f>
        <v>12907046</v>
      </c>
      <c r="I5" s="85">
        <f>(G5-H5)/H5</f>
        <v>5.0227371933128616E-2</v>
      </c>
      <c r="J5" s="9"/>
    </row>
    <row r="6" spans="1:14" x14ac:dyDescent="0.2">
      <c r="A6" s="67" t="s">
        <v>5</v>
      </c>
      <c r="B6" s="298">
        <f>'Regional Major'!L5</f>
        <v>376718</v>
      </c>
      <c r="C6" s="298">
        <f>'Regional Major'!L6</f>
        <v>377054</v>
      </c>
      <c r="D6" s="5">
        <f>B6+C6</f>
        <v>753772</v>
      </c>
      <c r="E6" s="9">
        <f>'[1]Monthly Summary'!D6</f>
        <v>728621</v>
      </c>
      <c r="F6" s="39">
        <f>(D6-E6)/E6</f>
        <v>3.4518631771524567E-2</v>
      </c>
      <c r="G6" s="9">
        <f>+D6+'[2]Monthly Summary'!G6</f>
        <v>4157625</v>
      </c>
      <c r="H6" s="9">
        <f>'[1]Monthly Summary'!G6</f>
        <v>4221856</v>
      </c>
      <c r="I6" s="85">
        <f>(G6-H6)/H6</f>
        <v>-1.5213924870957228E-2</v>
      </c>
      <c r="J6" s="20"/>
      <c r="K6" s="2"/>
    </row>
    <row r="7" spans="1:14" x14ac:dyDescent="0.2">
      <c r="A7" s="67" t="s">
        <v>6</v>
      </c>
      <c r="B7" s="9">
        <f>Charter!G5</f>
        <v>421</v>
      </c>
      <c r="C7" s="299">
        <f>Charter!G6</f>
        <v>366</v>
      </c>
      <c r="D7" s="5">
        <f>B7+C7</f>
        <v>787</v>
      </c>
      <c r="E7" s="9">
        <f>'[1]Monthly Summary'!D7</f>
        <v>355</v>
      </c>
      <c r="F7" s="39">
        <f>(D7-E7)/E7</f>
        <v>1.2169014084507042</v>
      </c>
      <c r="G7" s="9">
        <f>+D7+'[2]Monthly Summary'!G7</f>
        <v>2391</v>
      </c>
      <c r="H7" s="9">
        <f>'[1]Monthly Summary'!G7</f>
        <v>2921</v>
      </c>
      <c r="I7" s="85">
        <f>(G7-H7)/H7</f>
        <v>-0.18144471071550838</v>
      </c>
      <c r="J7" s="20"/>
      <c r="K7" s="2"/>
    </row>
    <row r="8" spans="1:14" x14ac:dyDescent="0.2">
      <c r="A8" s="70" t="s">
        <v>7</v>
      </c>
      <c r="B8" s="148">
        <f>SUM(B5:B7)</f>
        <v>1679237</v>
      </c>
      <c r="C8" s="148">
        <f>SUM(C5:C7)</f>
        <v>1675725</v>
      </c>
      <c r="D8" s="148">
        <f>SUM(D5:D7)</f>
        <v>3354962</v>
      </c>
      <c r="E8" s="148">
        <f>SUM(E5:E7)</f>
        <v>3276297</v>
      </c>
      <c r="F8" s="92">
        <f>(D8-E8)/E8</f>
        <v>2.401033850105775E-2</v>
      </c>
      <c r="G8" s="148">
        <f>SUM(G5:G7)</f>
        <v>17715349</v>
      </c>
      <c r="H8" s="148">
        <f>SUM(H5:H7)</f>
        <v>17131823</v>
      </c>
      <c r="I8" s="91">
        <f>(G8-H8)/H8</f>
        <v>3.4060940274715658E-2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51113</v>
      </c>
      <c r="C10" s="301">
        <f>'Major Airline Stats'!I10+'Regional Major'!L11</f>
        <v>50795</v>
      </c>
      <c r="D10" s="120">
        <f>SUM(B10:C10)</f>
        <v>101908</v>
      </c>
      <c r="E10" s="120">
        <f>'[1]Monthly Summary'!D10</f>
        <v>97964</v>
      </c>
      <c r="F10" s="93">
        <f>(D10-E10)/E10</f>
        <v>4.0259687232044428E-2</v>
      </c>
      <c r="G10" s="476">
        <f>+D10+'[2]Monthly Summary'!G10</f>
        <v>564163</v>
      </c>
      <c r="H10" s="120">
        <f>'[1]Monthly Summary'!G10</f>
        <v>529845</v>
      </c>
      <c r="I10" s="96">
        <f>(G10-H10)/H10</f>
        <v>6.4769885532561411E-2</v>
      </c>
      <c r="J10" s="264"/>
    </row>
    <row r="11" spans="1:14" ht="15.75" thickBot="1" x14ac:dyDescent="0.3">
      <c r="A11" s="69" t="s">
        <v>15</v>
      </c>
      <c r="B11" s="278">
        <f>B10+B8</f>
        <v>1730350</v>
      </c>
      <c r="C11" s="278">
        <f>C10+C8</f>
        <v>1726520</v>
      </c>
      <c r="D11" s="278">
        <f>D10+D8</f>
        <v>3456870</v>
      </c>
      <c r="E11" s="278">
        <f>E10+E8</f>
        <v>3374261</v>
      </c>
      <c r="F11" s="94">
        <f>(D11-E11)/E11</f>
        <v>2.4482101414205953E-2</v>
      </c>
      <c r="G11" s="278">
        <f>G8+G10</f>
        <v>18279512</v>
      </c>
      <c r="H11" s="278">
        <f>H8+H10</f>
        <v>17661668</v>
      </c>
      <c r="I11" s="97">
        <f>(G11-H11)/H11</f>
        <v>3.4982199869230922E-2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2" t="s">
        <v>185</v>
      </c>
      <c r="E13" s="482" t="s">
        <v>180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3"/>
      <c r="E14" s="484"/>
      <c r="F14" s="441" t="s">
        <v>2</v>
      </c>
      <c r="G14" s="441" t="s">
        <v>186</v>
      </c>
      <c r="H14" s="441" t="s">
        <v>177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9392</v>
      </c>
      <c r="C16" s="309">
        <f>'Major Airline Stats'!I16+'Major Airline Stats'!I20</f>
        <v>9388</v>
      </c>
      <c r="D16" s="47">
        <f t="shared" ref="D16:D21" si="0">SUM(B16:C16)</f>
        <v>18780</v>
      </c>
      <c r="E16" s="9">
        <f>'[1]Monthly Summary'!D16</f>
        <v>18754</v>
      </c>
      <c r="F16" s="95">
        <f t="shared" ref="F16:F22" si="1">(D16-E16)/E16</f>
        <v>1.3863709075397248E-3</v>
      </c>
      <c r="G16" s="9">
        <f>+D16+'[2]Monthly Summary'!G16</f>
        <v>102823</v>
      </c>
      <c r="H16" s="9">
        <f>'[1]Monthly Summary'!G16</f>
        <v>98524</v>
      </c>
      <c r="I16" s="262">
        <f t="shared" ref="I16:I22" si="2">(G16-H16)/H16</f>
        <v>4.3634038406885629E-2</v>
      </c>
      <c r="N16" s="130"/>
    </row>
    <row r="17" spans="1:12" x14ac:dyDescent="0.2">
      <c r="A17" s="68" t="s">
        <v>5</v>
      </c>
      <c r="B17" s="47">
        <f>'Regional Major'!L15+'Regional Major'!L18</f>
        <v>7069</v>
      </c>
      <c r="C17" s="47">
        <f>'Regional Major'!L16+'Regional Major'!L19</f>
        <v>7076</v>
      </c>
      <c r="D17" s="47">
        <f>SUM(B17:C17)</f>
        <v>14145</v>
      </c>
      <c r="E17" s="9">
        <f>'[1]Monthly Summary'!D17</f>
        <v>13523</v>
      </c>
      <c r="F17" s="95">
        <f t="shared" si="1"/>
        <v>4.5995711010870369E-2</v>
      </c>
      <c r="G17" s="9">
        <f>+D17+'[2]Monthly Summary'!G17</f>
        <v>80632</v>
      </c>
      <c r="H17" s="9">
        <f>'[1]Monthly Summary'!G17</f>
        <v>82193</v>
      </c>
      <c r="I17" s="262">
        <f t="shared" si="2"/>
        <v>-1.8991884953706521E-2</v>
      </c>
    </row>
    <row r="18" spans="1:12" x14ac:dyDescent="0.2">
      <c r="A18" s="68" t="s">
        <v>10</v>
      </c>
      <c r="B18" s="47">
        <f>Charter!G10</f>
        <v>9</v>
      </c>
      <c r="C18" s="47">
        <f>Charter!G11</f>
        <v>7</v>
      </c>
      <c r="D18" s="47">
        <f t="shared" si="0"/>
        <v>16</v>
      </c>
      <c r="E18" s="9">
        <f>'[1]Monthly Summary'!D18</f>
        <v>6</v>
      </c>
      <c r="F18" s="95">
        <f t="shared" si="1"/>
        <v>1.6666666666666667</v>
      </c>
      <c r="G18" s="9">
        <f>+D18+'[2]Monthly Summary'!G18</f>
        <v>35</v>
      </c>
      <c r="H18" s="9">
        <f>'[1]Monthly Summary'!G18</f>
        <v>45</v>
      </c>
      <c r="I18" s="262">
        <f t="shared" si="2"/>
        <v>-0.22222222222222221</v>
      </c>
    </row>
    <row r="19" spans="1:12" x14ac:dyDescent="0.2">
      <c r="A19" s="68" t="s">
        <v>11</v>
      </c>
      <c r="B19" s="47">
        <f>Cargo!M4</f>
        <v>610</v>
      </c>
      <c r="C19" s="47">
        <f>Cargo!M5</f>
        <v>610</v>
      </c>
      <c r="D19" s="47">
        <f t="shared" si="0"/>
        <v>1220</v>
      </c>
      <c r="E19" s="9">
        <f>'[1]Monthly Summary'!D19</f>
        <v>1109</v>
      </c>
      <c r="F19" s="95">
        <f t="shared" si="1"/>
        <v>0.10009017132551848</v>
      </c>
      <c r="G19" s="9">
        <f>+D19+'[2]Monthly Summary'!G19</f>
        <v>6730</v>
      </c>
      <c r="H19" s="9">
        <f>'[1]Monthly Summary'!G19</f>
        <v>6090</v>
      </c>
      <c r="I19" s="262">
        <f t="shared" si="2"/>
        <v>0.10509031198686371</v>
      </c>
    </row>
    <row r="20" spans="1:12" x14ac:dyDescent="0.2">
      <c r="A20" s="68" t="s">
        <v>158</v>
      </c>
      <c r="B20" s="47">
        <f>'[3]General Avation'!$EQ$4</f>
        <v>1370</v>
      </c>
      <c r="C20" s="47">
        <f>'[3]General Avation'!$EQ$5</f>
        <v>1371</v>
      </c>
      <c r="D20" s="47">
        <f t="shared" si="0"/>
        <v>2741</v>
      </c>
      <c r="E20" s="9">
        <f>'[1]Monthly Summary'!D20</f>
        <v>2266</v>
      </c>
      <c r="F20" s="95">
        <f t="shared" si="1"/>
        <v>0.20962047661076788</v>
      </c>
      <c r="G20" s="9">
        <f>+D20+'[2]Monthly Summary'!G20</f>
        <v>11116</v>
      </c>
      <c r="H20" s="9">
        <f>'[1]Monthly Summary'!G20</f>
        <v>10879</v>
      </c>
      <c r="I20" s="262">
        <f t="shared" si="2"/>
        <v>2.1785090541410056E-2</v>
      </c>
    </row>
    <row r="21" spans="1:12" ht="12.75" customHeight="1" x14ac:dyDescent="0.2">
      <c r="A21" s="68" t="s">
        <v>12</v>
      </c>
      <c r="B21" s="18">
        <f>'[3]Military '!$EQ$4</f>
        <v>66</v>
      </c>
      <c r="C21" s="18">
        <f>'[3]Military '!$EQ$5</f>
        <v>66</v>
      </c>
      <c r="D21" s="18">
        <f t="shared" si="0"/>
        <v>132</v>
      </c>
      <c r="E21" s="120">
        <f>'[1]Monthly Summary'!D21</f>
        <v>122</v>
      </c>
      <c r="F21" s="260">
        <f t="shared" si="1"/>
        <v>8.1967213114754092E-2</v>
      </c>
      <c r="G21" s="476">
        <f>+D21+'[2]Monthly Summary'!G21</f>
        <v>649</v>
      </c>
      <c r="H21" s="120">
        <f>'[1]Monthly Summary'!G21</f>
        <v>654</v>
      </c>
      <c r="I21" s="263">
        <f t="shared" si="2"/>
        <v>-7.6452599388379203E-3</v>
      </c>
    </row>
    <row r="22" spans="1:12" ht="15.75" thickBot="1" x14ac:dyDescent="0.3">
      <c r="A22" s="69" t="s">
        <v>31</v>
      </c>
      <c r="B22" s="279">
        <f>SUM(B16:B21)</f>
        <v>18516</v>
      </c>
      <c r="C22" s="279">
        <f>SUM(C16:C21)</f>
        <v>18518</v>
      </c>
      <c r="D22" s="279">
        <f>SUM(D16:D21)</f>
        <v>37034</v>
      </c>
      <c r="E22" s="279">
        <f>SUM(E16:E21)</f>
        <v>35780</v>
      </c>
      <c r="F22" s="275">
        <f t="shared" si="1"/>
        <v>3.5047512576858578E-2</v>
      </c>
      <c r="G22" s="279">
        <f>SUM(G16:G21)</f>
        <v>201985</v>
      </c>
      <c r="H22" s="279">
        <f>SUM(H16:H21)</f>
        <v>198385</v>
      </c>
      <c r="I22" s="276">
        <f t="shared" si="2"/>
        <v>1.8146533256042544E-2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2" t="s">
        <v>185</v>
      </c>
      <c r="E24" s="482" t="s">
        <v>180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441" t="s">
        <v>2</v>
      </c>
      <c r="G25" s="441" t="s">
        <v>186</v>
      </c>
      <c r="H25" s="441" t="s">
        <v>177</v>
      </c>
      <c r="I25" s="441" t="s">
        <v>2</v>
      </c>
    </row>
    <row r="26" spans="1:12" ht="15" x14ac:dyDescent="0.25">
      <c r="A26" s="65" t="s">
        <v>132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9037.2573530485406</v>
      </c>
      <c r="C27" s="22">
        <f>(Cargo!M21+'Major Airline Stats'!I33+'Regional Major'!L30)*0.00045359237</f>
        <v>5739.6771105381395</v>
      </c>
      <c r="D27" s="22">
        <f>(SUM(B27:C27)+('Cargo Summary'!E17*0.00045359237))</f>
        <v>14776.93446358668</v>
      </c>
      <c r="E27" s="9">
        <f>'[1]Monthly Summary'!D27</f>
        <v>15080.90621519559</v>
      </c>
      <c r="F27" s="98">
        <f>(D27-E27)/E27</f>
        <v>-2.01560667025849E-2</v>
      </c>
      <c r="G27" s="9">
        <f>+D27+'[2]Monthly Summary'!G27</f>
        <v>89287.182780936913</v>
      </c>
      <c r="H27" s="9">
        <f>'[1]Monthly Summary'!G27</f>
        <v>90631.632379986389</v>
      </c>
      <c r="I27" s="100">
        <f>(G27-H27)/H27</f>
        <v>-1.4834220279876173E-2</v>
      </c>
    </row>
    <row r="28" spans="1:12" x14ac:dyDescent="0.2">
      <c r="A28" s="62" t="s">
        <v>18</v>
      </c>
      <c r="B28" s="22">
        <f>(Cargo!M17+'Major Airline Stats'!I29+'Regional Major'!L26)*0.00045359237</f>
        <v>496.58839075229997</v>
      </c>
      <c r="C28" s="22">
        <f>(Cargo!M22+'Major Airline Stats'!I34+'Regional Major'!L31)*0.00045359237</f>
        <v>759.69464497080003</v>
      </c>
      <c r="D28" s="22">
        <f>SUM(B28:C28)</f>
        <v>1256.2830357231001</v>
      </c>
      <c r="E28" s="9">
        <f>'[1]Monthly Summary'!D28</f>
        <v>1222.3003489550699</v>
      </c>
      <c r="F28" s="98">
        <f>(D28-E28)/E28</f>
        <v>2.7802239275380662E-2</v>
      </c>
      <c r="G28" s="9">
        <f>+D28+'[2]Monthly Summary'!G28</f>
        <v>5675.9045389394232</v>
      </c>
      <c r="H28" s="9">
        <f>'[1]Monthly Summary'!G28</f>
        <v>6890.0558533060102</v>
      </c>
      <c r="I28" s="100">
        <f>(G28-H28)/H28</f>
        <v>-0.17621792046634988</v>
      </c>
    </row>
    <row r="29" spans="1:12" ht="15.75" thickBot="1" x14ac:dyDescent="0.3">
      <c r="A29" s="63" t="s">
        <v>65</v>
      </c>
      <c r="B29" s="54">
        <f>SUM(B27:B28)</f>
        <v>9533.8457438008409</v>
      </c>
      <c r="C29" s="54">
        <f>SUM(C27:C28)</f>
        <v>6499.3717555089397</v>
      </c>
      <c r="D29" s="54">
        <f>SUM(D27:D28)</f>
        <v>16033.21749930978</v>
      </c>
      <c r="E29" s="54">
        <f>SUM(E27:E28)</f>
        <v>16303.20656415066</v>
      </c>
      <c r="F29" s="99">
        <f>(D29-E29)/E29</f>
        <v>-1.6560488501357922E-2</v>
      </c>
      <c r="G29" s="54">
        <f>SUM(G27:G28)</f>
        <v>94963.087319876329</v>
      </c>
      <c r="H29" s="54">
        <f>SUM(H27:H28)</f>
        <v>97521.6882332924</v>
      </c>
      <c r="I29" s="101">
        <f>(G29-H29)/H29</f>
        <v>-2.6236224574941305E-2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1" t="s">
        <v>154</v>
      </c>
      <c r="C31" s="480"/>
      <c r="D31" s="481" t="s">
        <v>161</v>
      </c>
      <c r="E31" s="480"/>
      <c r="F31" s="420"/>
      <c r="G31" s="421"/>
      <c r="H31" s="419"/>
      <c r="I31" s="419"/>
    </row>
    <row r="32" spans="1:12" x14ac:dyDescent="0.2">
      <c r="A32" s="401" t="s">
        <v>155</v>
      </c>
      <c r="B32" s="402">
        <f>C8-B33</f>
        <v>920758</v>
      </c>
      <c r="C32" s="403">
        <f>B32/C8</f>
        <v>0.54946843903385101</v>
      </c>
      <c r="D32" s="404">
        <f>+B32+'[2]Monthly Summary'!$D$32</f>
        <v>5130395</v>
      </c>
      <c r="E32" s="405">
        <f>+D32/D34</f>
        <v>0.58123939928718116</v>
      </c>
      <c r="G32" s="428"/>
      <c r="H32" s="419"/>
      <c r="I32" s="418"/>
    </row>
    <row r="33" spans="1:14" ht="13.5" thickBot="1" x14ac:dyDescent="0.25">
      <c r="A33" s="406" t="s">
        <v>156</v>
      </c>
      <c r="B33" s="407">
        <f>'Major Airline Stats'!I51+'Regional Major'!L45</f>
        <v>754967</v>
      </c>
      <c r="C33" s="408">
        <f>+B33/C8</f>
        <v>0.45053156096614899</v>
      </c>
      <c r="D33" s="409">
        <f>+B33+'[2]Monthly Summary'!$D$33</f>
        <v>3696252</v>
      </c>
      <c r="E33" s="410">
        <f>+D33/D34</f>
        <v>0.41876060071281879</v>
      </c>
      <c r="G33" s="419"/>
      <c r="H33" s="419"/>
      <c r="I33" s="418"/>
    </row>
    <row r="34" spans="1:14" ht="13.5" thickBot="1" x14ac:dyDescent="0.25">
      <c r="B34" s="313"/>
      <c r="D34" s="411">
        <f>SUM(D32:D33)</f>
        <v>8826647</v>
      </c>
    </row>
    <row r="35" spans="1:14" ht="13.5" thickBot="1" x14ac:dyDescent="0.25">
      <c r="B35" s="479" t="s">
        <v>217</v>
      </c>
      <c r="C35" s="480"/>
      <c r="D35" s="481" t="s">
        <v>187</v>
      </c>
      <c r="E35" s="480"/>
    </row>
    <row r="36" spans="1:14" x14ac:dyDescent="0.2">
      <c r="A36" s="401" t="s">
        <v>155</v>
      </c>
      <c r="B36" s="402">
        <f>'[1]Monthly Summary'!$B$32</f>
        <v>849065</v>
      </c>
      <c r="C36" s="403">
        <f>+B36/B38</f>
        <v>0.52033502352665761</v>
      </c>
      <c r="D36" s="404">
        <f>'[1]Monthly Summary'!$D$32</f>
        <v>4800460</v>
      </c>
      <c r="E36" s="405">
        <f>+D36/D38</f>
        <v>0.56283385013334952</v>
      </c>
    </row>
    <row r="37" spans="1:14" ht="13.5" thickBot="1" x14ac:dyDescent="0.25">
      <c r="A37" s="406" t="s">
        <v>156</v>
      </c>
      <c r="B37" s="407">
        <f>'[1]Monthly Summary'!$B$33</f>
        <v>782701</v>
      </c>
      <c r="C37" s="410">
        <f>+B37/B38</f>
        <v>0.47966497647334239</v>
      </c>
      <c r="D37" s="409">
        <f>'[1]Monthly Summary'!$D$33</f>
        <v>3728629</v>
      </c>
      <c r="E37" s="410">
        <f>+D37/D38</f>
        <v>0.43716614986665048</v>
      </c>
    </row>
    <row r="38" spans="1:14" x14ac:dyDescent="0.2">
      <c r="B38" s="427">
        <f>+SUM(B36:B37)</f>
        <v>1631766</v>
      </c>
      <c r="D38" s="411">
        <f>SUM(D36:D37)</f>
        <v>8529089</v>
      </c>
    </row>
    <row r="39" spans="1:14" x14ac:dyDescent="0.2">
      <c r="A39" s="415" t="s">
        <v>157</v>
      </c>
    </row>
    <row r="40" spans="1:14" x14ac:dyDescent="0.2">
      <c r="A40" s="229" t="s">
        <v>159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08"/>
  <sheetViews>
    <sheetView topLeftCell="A34" zoomScaleNormal="100" zoomScaleSheetLayoutView="85" workbookViewId="0">
      <selection activeCell="G71" sqref="G71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7" t="s">
        <v>139</v>
      </c>
      <c r="B1" s="518"/>
      <c r="C1" s="265" t="s">
        <v>190</v>
      </c>
      <c r="D1" s="266" t="s">
        <v>144</v>
      </c>
      <c r="E1" s="267" t="s">
        <v>173</v>
      </c>
      <c r="F1" s="269" t="s">
        <v>101</v>
      </c>
      <c r="G1" s="268" t="s">
        <v>191</v>
      </c>
      <c r="H1" s="267" t="s">
        <v>174</v>
      </c>
      <c r="I1" s="269" t="s">
        <v>102</v>
      </c>
      <c r="J1" s="524" t="s">
        <v>143</v>
      </c>
      <c r="K1" s="525"/>
      <c r="L1" s="270" t="s">
        <v>192</v>
      </c>
      <c r="M1" s="388" t="s">
        <v>146</v>
      </c>
      <c r="N1" s="271" t="s">
        <v>175</v>
      </c>
      <c r="O1" s="347" t="s">
        <v>102</v>
      </c>
      <c r="P1" s="272" t="s">
        <v>193</v>
      </c>
      <c r="Q1" s="272" t="s">
        <v>176</v>
      </c>
      <c r="R1" s="273" t="s">
        <v>102</v>
      </c>
    </row>
    <row r="2" spans="1:20" s="224" customFormat="1" ht="13.5" thickBot="1" x14ac:dyDescent="0.25">
      <c r="A2" s="519">
        <v>42522</v>
      </c>
      <c r="B2" s="520"/>
      <c r="C2" s="521" t="s">
        <v>9</v>
      </c>
      <c r="D2" s="522"/>
      <c r="E2" s="522"/>
      <c r="F2" s="522"/>
      <c r="G2" s="522"/>
      <c r="H2" s="522"/>
      <c r="I2" s="523"/>
      <c r="J2" s="519">
        <v>42522</v>
      </c>
      <c r="K2" s="520"/>
      <c r="L2" s="514" t="s">
        <v>145</v>
      </c>
      <c r="M2" s="515"/>
      <c r="N2" s="515"/>
      <c r="O2" s="515"/>
      <c r="P2" s="515"/>
      <c r="Q2" s="515"/>
      <c r="R2" s="516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104</v>
      </c>
      <c r="B4" s="55"/>
      <c r="C4" s="357">
        <f>SUM(C5:C7)</f>
        <v>0</v>
      </c>
      <c r="D4" s="358">
        <f>C4/$C$64</f>
        <v>0</v>
      </c>
      <c r="E4" s="359">
        <f>SUM(E5:E7)</f>
        <v>180</v>
      </c>
      <c r="F4" s="360">
        <f>(C4-E4)/E4</f>
        <v>-1</v>
      </c>
      <c r="G4" s="357">
        <f>SUM(G5:G7)</f>
        <v>910</v>
      </c>
      <c r="H4" s="359">
        <f>SUM(H5:H7)</f>
        <v>1050</v>
      </c>
      <c r="I4" s="360">
        <f>(G4-H4)/H4</f>
        <v>-0.13333333333333333</v>
      </c>
      <c r="J4" s="356" t="s">
        <v>104</v>
      </c>
      <c r="K4" s="55"/>
      <c r="L4" s="357">
        <f>SUM(L5:L7)</f>
        <v>0</v>
      </c>
      <c r="M4" s="358">
        <f>L4/$L$64</f>
        <v>0</v>
      </c>
      <c r="N4" s="359">
        <f>SUM(N5:N7)</f>
        <v>9203</v>
      </c>
      <c r="O4" s="360">
        <f>(L4-N4)/N4</f>
        <v>-1</v>
      </c>
      <c r="P4" s="357">
        <f>SUM(P5:P7)</f>
        <v>36017</v>
      </c>
      <c r="Q4" s="359">
        <f>SUM(Q5:Q7)</f>
        <v>42989</v>
      </c>
      <c r="R4" s="360">
        <f>(P4-Q4)/Q4</f>
        <v>-0.16218102305240875</v>
      </c>
      <c r="T4" s="20"/>
    </row>
    <row r="5" spans="1:20" ht="14.1" customHeight="1" x14ac:dyDescent="0.2">
      <c r="A5" s="356"/>
      <c r="B5" s="442" t="s">
        <v>104</v>
      </c>
      <c r="C5" s="361">
        <v>0</v>
      </c>
      <c r="D5" s="39">
        <f>C5/$C$64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104</v>
      </c>
      <c r="L5" s="449">
        <v>0</v>
      </c>
      <c r="M5" s="450">
        <f>L5/$L$64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194</v>
      </c>
      <c r="C6" s="449">
        <f>'[3]Jazz Air'!$EQ$19</f>
        <v>0</v>
      </c>
      <c r="D6" s="450">
        <f>C6/$C$64</f>
        <v>0</v>
      </c>
      <c r="E6" s="299">
        <f>[3]AirCanada!$EC$19</f>
        <v>180</v>
      </c>
      <c r="F6" s="451">
        <f>(C6-E6)/E6</f>
        <v>-1</v>
      </c>
      <c r="G6" s="299">
        <f>SUM('[3]Jazz Air'!$EL$19:$EQ$19)</f>
        <v>185</v>
      </c>
      <c r="H6" s="299">
        <f>SUM('[3]Jazz Air'!$DX$19:$EC$19)</f>
        <v>1050</v>
      </c>
      <c r="I6" s="451">
        <f>(G6-H6)/H6</f>
        <v>-0.82380952380952377</v>
      </c>
      <c r="J6" s="452"/>
      <c r="K6" s="442" t="s">
        <v>194</v>
      </c>
      <c r="L6" s="449">
        <f>'[3]Jazz Air'!$EQ$41</f>
        <v>0</v>
      </c>
      <c r="M6" s="450">
        <f>L6/$L$64</f>
        <v>0</v>
      </c>
      <c r="N6" s="299">
        <f>[3]AirCanada!$EC$41</f>
        <v>9203</v>
      </c>
      <c r="O6" s="451">
        <f>(L6-N6)/N6</f>
        <v>-1</v>
      </c>
      <c r="P6" s="299">
        <f>SUM('[3]Jazz Air'!$EL$41:$EQ$41)</f>
        <v>6759</v>
      </c>
      <c r="Q6" s="299">
        <f>SUM([3]AirCanada!$DX$41:$EC$41)</f>
        <v>42989</v>
      </c>
      <c r="R6" s="451">
        <f>(P6-Q6)/Q6</f>
        <v>-0.84277373281537138</v>
      </c>
      <c r="T6" s="20"/>
    </row>
    <row r="7" spans="1:20" ht="14.1" customHeight="1" x14ac:dyDescent="0.2">
      <c r="A7" s="356"/>
      <c r="B7" s="442" t="s">
        <v>195</v>
      </c>
      <c r="C7" s="361">
        <f>'[3]Air Georgian'!$EQ$19</f>
        <v>0</v>
      </c>
      <c r="D7" s="39">
        <f>C7/$C$64</f>
        <v>0</v>
      </c>
      <c r="E7" s="9">
        <f>'[3]Air Georgian'!$EC$19</f>
        <v>0</v>
      </c>
      <c r="F7" s="86" t="e">
        <f>(C7-E7)/E7</f>
        <v>#DIV/0!</v>
      </c>
      <c r="G7" s="299">
        <f>SUM('[3]Air Georgian'!$EL$19:$EQ$19)</f>
        <v>725</v>
      </c>
      <c r="H7" s="299">
        <f>SUM('[3]Air Georgian'!$DX$19:$EC$19)</f>
        <v>0</v>
      </c>
      <c r="I7" s="451" t="e">
        <f>(G7-H7)/H7</f>
        <v>#DIV/0!</v>
      </c>
      <c r="J7" s="356"/>
      <c r="K7" s="442" t="s">
        <v>195</v>
      </c>
      <c r="L7" s="361">
        <f>'[3]Air Georgian'!$EQ$41</f>
        <v>0</v>
      </c>
      <c r="M7" s="39">
        <f>L7/$L$64</f>
        <v>0</v>
      </c>
      <c r="N7" s="9">
        <f>'[3]Air Georgian'!$EC$41</f>
        <v>0</v>
      </c>
      <c r="O7" s="86" t="e">
        <f>(L7-N7)/N7</f>
        <v>#DIV/0!</v>
      </c>
      <c r="P7" s="9">
        <f>SUM('[3]Air Georgian'!$EL$41:$EQ$41)</f>
        <v>29258</v>
      </c>
      <c r="Q7" s="9">
        <f>SUM('[3]Air Georgian'!$DX$41:$EC$41)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218</v>
      </c>
      <c r="B9" s="55"/>
      <c r="C9" s="357">
        <f>'[3]Air Choice One'!$EQ$19</f>
        <v>44</v>
      </c>
      <c r="D9" s="358">
        <f t="shared" ref="D9" si="0">C9/$C$64</f>
        <v>1.3363705391040244E-3</v>
      </c>
      <c r="E9" s="359">
        <f>'[3]Air Choice One'!$EC$19</f>
        <v>0</v>
      </c>
      <c r="F9" s="360" t="e">
        <f t="shared" ref="F9" si="1">(C9-E9)/E9</f>
        <v>#DIV/0!</v>
      </c>
      <c r="G9" s="359">
        <f>SUM('[3]Air Choice One'!$EL$19:$EQ$19)</f>
        <v>44</v>
      </c>
      <c r="H9" s="359">
        <f>SUM('[3]Air Choice One'!$DX$19:$EC$19)</f>
        <v>0</v>
      </c>
      <c r="I9" s="360" t="e">
        <f t="shared" ref="I9" si="2">(G9-H9)/H9</f>
        <v>#DIV/0!</v>
      </c>
      <c r="J9" s="356" t="s">
        <v>218</v>
      </c>
      <c r="K9" s="55"/>
      <c r="L9" s="357">
        <f>'[3]Air Choice One'!$EQ$41</f>
        <v>276</v>
      </c>
      <c r="M9" s="358">
        <f t="shared" ref="M9" si="3">L9/$L$64</f>
        <v>8.2285509849664971E-5</v>
      </c>
      <c r="N9" s="359">
        <f>'[3]Air Choice One'!$EC$41</f>
        <v>0</v>
      </c>
      <c r="O9" s="360" t="e">
        <f t="shared" ref="O9" si="4">(L9-N9)/N9</f>
        <v>#DIV/0!</v>
      </c>
      <c r="P9" s="359">
        <f>SUM('[3]Air Choice One'!$EL$41:$EQ$41)</f>
        <v>276</v>
      </c>
      <c r="Q9" s="359">
        <f>SUM('[3]Air Choice One'!$DX$41:$EC$41)</f>
        <v>0</v>
      </c>
      <c r="R9" s="360" t="e">
        <f t="shared" ref="R9" si="5">(P9-Q9)/Q9</f>
        <v>#DIV/0!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167</v>
      </c>
      <c r="B11" s="55"/>
      <c r="C11" s="357">
        <f>'[3]Air France'!$EQ$19</f>
        <v>54</v>
      </c>
      <c r="D11" s="358">
        <f>C11/$C$64</f>
        <v>1.6400911161731208E-3</v>
      </c>
      <c r="E11" s="359">
        <f>'[3]Air France'!$EC$19</f>
        <v>54</v>
      </c>
      <c r="F11" s="360">
        <f>(C11-E11)/E11</f>
        <v>0</v>
      </c>
      <c r="G11" s="359">
        <f>SUM('[3]Air France'!$EL$19:$EQ$19)</f>
        <v>90</v>
      </c>
      <c r="H11" s="359">
        <f>SUM('[3]Air France'!$DX$19:$EC$19)</f>
        <v>86</v>
      </c>
      <c r="I11" s="360">
        <f>(G11-H11)/H11</f>
        <v>4.6511627906976744E-2</v>
      </c>
      <c r="J11" s="356" t="s">
        <v>167</v>
      </c>
      <c r="K11" s="55"/>
      <c r="L11" s="357">
        <f>'[3]Air France'!$EQ$41</f>
        <v>13120</v>
      </c>
      <c r="M11" s="358">
        <f>L11/$L$64</f>
        <v>3.9115430769116099E-3</v>
      </c>
      <c r="N11" s="359">
        <f>'[3]Air France'!$EC$41</f>
        <v>13060</v>
      </c>
      <c r="O11" s="360">
        <f>(L11-N11)/N11</f>
        <v>4.5941807044410417E-3</v>
      </c>
      <c r="P11" s="359">
        <f>SUM('[3]Air France'!$EL$41:$EQ$41)</f>
        <v>17157</v>
      </c>
      <c r="Q11" s="359">
        <f>SUM('[3]Air France'!$DX$41:$EC$41)</f>
        <v>20467</v>
      </c>
      <c r="R11" s="360">
        <f>(P11-Q11)/Q11</f>
        <v>-0.16172375042751747</v>
      </c>
      <c r="T11" s="20"/>
    </row>
    <row r="12" spans="1:20" ht="14.1" customHeight="1" x14ac:dyDescent="0.2">
      <c r="A12" s="356"/>
      <c r="B12" s="55"/>
      <c r="C12" s="357"/>
      <c r="D12" s="358"/>
      <c r="E12" s="359"/>
      <c r="F12" s="360"/>
      <c r="G12" s="359"/>
      <c r="H12" s="359"/>
      <c r="I12" s="360"/>
      <c r="J12" s="356"/>
      <c r="K12" s="55"/>
      <c r="L12" s="361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6" t="s">
        <v>134</v>
      </c>
      <c r="B13" s="55"/>
      <c r="C13" s="357">
        <f>SUM(C14:C15)</f>
        <v>216</v>
      </c>
      <c r="D13" s="358">
        <f>C13/$C$64</f>
        <v>6.5603644646924832E-3</v>
      </c>
      <c r="E13" s="359">
        <f>SUM(E14:E15)</f>
        <v>120</v>
      </c>
      <c r="F13" s="360">
        <f>(C13-E13)/E13</f>
        <v>0.8</v>
      </c>
      <c r="G13" s="359">
        <f>SUM(G14:G15)</f>
        <v>1036</v>
      </c>
      <c r="H13" s="359">
        <f>SUM(H14:H15)</f>
        <v>606</v>
      </c>
      <c r="I13" s="360">
        <f>(G13-H13)/H13</f>
        <v>0.70957095709570961</v>
      </c>
      <c r="J13" s="356" t="s">
        <v>134</v>
      </c>
      <c r="K13" s="55"/>
      <c r="L13" s="357">
        <f>SUM(L14:L15)</f>
        <v>27809</v>
      </c>
      <c r="M13" s="358">
        <f>L13/$L$64</f>
        <v>8.2908613891642512E-3</v>
      </c>
      <c r="N13" s="359">
        <f>SUM(N14:N15)</f>
        <v>19022</v>
      </c>
      <c r="O13" s="360">
        <f>(L13-N13)/N13</f>
        <v>0.46193880769635159</v>
      </c>
      <c r="P13" s="359">
        <f>SUM(P14:P15)</f>
        <v>129617</v>
      </c>
      <c r="Q13" s="359">
        <f>SUM(Q14:Q15)</f>
        <v>86063</v>
      </c>
      <c r="R13" s="360">
        <f>(P13-Q13)/Q13</f>
        <v>0.50607113393676728</v>
      </c>
      <c r="T13" s="20"/>
    </row>
    <row r="14" spans="1:20" ht="14.1" customHeight="1" x14ac:dyDescent="0.2">
      <c r="A14" s="356"/>
      <c r="B14" s="442" t="s">
        <v>134</v>
      </c>
      <c r="C14" s="449">
        <f>[3]Alaska!$EQ$19</f>
        <v>156</v>
      </c>
      <c r="D14" s="450">
        <f>C14/$C$64</f>
        <v>4.7380410022779046E-3</v>
      </c>
      <c r="E14" s="299">
        <f>[3]Alaska!$EC$19</f>
        <v>120</v>
      </c>
      <c r="F14" s="451">
        <f>(C14-E14)/E14</f>
        <v>0.3</v>
      </c>
      <c r="G14" s="299">
        <f>SUM([3]Alaska!$EL$19:$EQ$19)</f>
        <v>792</v>
      </c>
      <c r="H14" s="299">
        <f>SUM([3]Alaska!$DX$19:$EC$19)</f>
        <v>606</v>
      </c>
      <c r="I14" s="451">
        <f>(G14-H14)/H14</f>
        <v>0.30693069306930693</v>
      </c>
      <c r="J14" s="356"/>
      <c r="K14" s="442" t="s">
        <v>134</v>
      </c>
      <c r="L14" s="449">
        <f>[3]Alaska!$EQ$41</f>
        <v>23807</v>
      </c>
      <c r="M14" s="450">
        <f>L14/$L$64</f>
        <v>7.0977214963441086E-3</v>
      </c>
      <c r="N14" s="299">
        <f>[3]Alaska!$EC$41</f>
        <v>19022</v>
      </c>
      <c r="O14" s="451">
        <f>(L14-N14)/N14</f>
        <v>0.25155083587425087</v>
      </c>
      <c r="P14" s="299">
        <f>SUM([3]Alaska!$EL$41:$EQ$41)</f>
        <v>113660</v>
      </c>
      <c r="Q14" s="299">
        <f>SUM([3]Alaska!$DX$41:$EC$41)</f>
        <v>86063</v>
      </c>
      <c r="R14" s="451">
        <f>(P14-Q14)/Q14</f>
        <v>0.32066044641715952</v>
      </c>
      <c r="T14" s="20"/>
    </row>
    <row r="15" spans="1:20" ht="14.1" customHeight="1" x14ac:dyDescent="0.2">
      <c r="A15" s="356"/>
      <c r="B15" s="442" t="s">
        <v>103</v>
      </c>
      <c r="C15" s="361">
        <f>'[3]Sky West_AS'!$EQ$19</f>
        <v>60</v>
      </c>
      <c r="D15" s="39">
        <f>C15/$C$64</f>
        <v>1.8223234624145787E-3</v>
      </c>
      <c r="E15" s="9">
        <f>'[3]Sky West_AS'!$EC$19</f>
        <v>0</v>
      </c>
      <c r="F15" s="86" t="e">
        <f>(C15-E15)/E15</f>
        <v>#DIV/0!</v>
      </c>
      <c r="G15" s="9">
        <f>SUM('[3]Sky West_AS'!$EL$19:$EQ$19)</f>
        <v>244</v>
      </c>
      <c r="H15" s="9">
        <f>SUM('[3]Sky West_AS'!$DX$19:$EC$19)</f>
        <v>0</v>
      </c>
      <c r="I15" s="86" t="e">
        <f>(G15-H15)/H15</f>
        <v>#DIV/0!</v>
      </c>
      <c r="J15" s="356"/>
      <c r="K15" s="442" t="s">
        <v>103</v>
      </c>
      <c r="L15" s="361">
        <f>'[3]Sky West_AS'!$EQ$41</f>
        <v>4002</v>
      </c>
      <c r="M15" s="39">
        <f>L15/$L$64</f>
        <v>1.193139892820142E-3</v>
      </c>
      <c r="N15" s="9">
        <f>'[3]Sky West_AS'!$EC$41</f>
        <v>0</v>
      </c>
      <c r="O15" s="86" t="e">
        <f>(L15-N15)/N15</f>
        <v>#DIV/0!</v>
      </c>
      <c r="P15" s="9">
        <f>SUM('[3]Sky West_AS'!$EL$41:$EQ$41)</f>
        <v>15957</v>
      </c>
      <c r="Q15" s="9">
        <f>SUM('[3]Sky West_AS'!$DX$41:$EC$41)</f>
        <v>0</v>
      </c>
      <c r="R15" s="86" t="e">
        <f>(P15-Q15)/Q15</f>
        <v>#DIV/0!</v>
      </c>
      <c r="T15" s="20"/>
    </row>
    <row r="16" spans="1:20" ht="14.1" customHeight="1" x14ac:dyDescent="0.2">
      <c r="A16" s="356"/>
      <c r="B16" s="55"/>
      <c r="C16" s="357"/>
      <c r="D16" s="358"/>
      <c r="E16" s="362"/>
      <c r="F16" s="360"/>
      <c r="G16" s="362"/>
      <c r="H16" s="362"/>
      <c r="I16" s="360"/>
      <c r="J16" s="356"/>
      <c r="K16" s="55"/>
      <c r="L16" s="363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6" t="s">
        <v>19</v>
      </c>
      <c r="B17" s="364"/>
      <c r="C17" s="357">
        <f>SUM(C18:C24)</f>
        <v>1905</v>
      </c>
      <c r="D17" s="358">
        <f t="shared" ref="D17:D24" si="6">C17/$C$64</f>
        <v>5.7858769931662869E-2</v>
      </c>
      <c r="E17" s="359">
        <f>SUM(E18:E24)</f>
        <v>1542</v>
      </c>
      <c r="F17" s="360">
        <f t="shared" ref="F17:F24" si="7">(C17-E17)/E17</f>
        <v>0.23540856031128404</v>
      </c>
      <c r="G17" s="357">
        <f>SUM(G18:G24)</f>
        <v>10640</v>
      </c>
      <c r="H17" s="359">
        <f>SUM(H18:H24)</f>
        <v>9447</v>
      </c>
      <c r="I17" s="360">
        <f t="shared" ref="I17:I24" si="8">(G17-H17)/H17</f>
        <v>0.12628347623584207</v>
      </c>
      <c r="J17" s="356" t="s">
        <v>19</v>
      </c>
      <c r="K17" s="364"/>
      <c r="L17" s="357">
        <f>SUM(L18:L24)</f>
        <v>226569</v>
      </c>
      <c r="M17" s="358">
        <f t="shared" ref="M17:M24" si="9">L17/$L$64</f>
        <v>6.7548353917133125E-2</v>
      </c>
      <c r="N17" s="359">
        <f>SUM(N18:N24)</f>
        <v>190888</v>
      </c>
      <c r="O17" s="360">
        <f t="shared" ref="O17:O24" si="10">(L17-N17)/N17</f>
        <v>0.18692112652445414</v>
      </c>
      <c r="P17" s="357">
        <f>SUM(P18:P24)</f>
        <v>1207918</v>
      </c>
      <c r="Q17" s="359">
        <f>SUM(Q18:Q24)</f>
        <v>1134375</v>
      </c>
      <c r="R17" s="360">
        <f t="shared" ref="R17:R24" si="11">(P17-Q17)/Q17</f>
        <v>6.4831294765840222E-2</v>
      </c>
      <c r="T17" s="20"/>
    </row>
    <row r="18" spans="1:20" ht="14.1" customHeight="1" x14ac:dyDescent="0.2">
      <c r="A18" s="53"/>
      <c r="B18" s="365" t="s">
        <v>19</v>
      </c>
      <c r="C18" s="361">
        <f>[3]American!$EQ$19</f>
        <v>1464</v>
      </c>
      <c r="D18" s="39">
        <f t="shared" si="6"/>
        <v>4.4464692482915714E-2</v>
      </c>
      <c r="E18" s="9">
        <f>[3]American!$EC$19</f>
        <v>641</v>
      </c>
      <c r="F18" s="86">
        <f t="shared" si="7"/>
        <v>1.2839313572542901</v>
      </c>
      <c r="G18" s="9">
        <f>SUM([3]American!$EL$19:$EQ$19)</f>
        <v>8543</v>
      </c>
      <c r="H18" s="9">
        <f>SUM([3]American!$DX$19:$EC$19)</f>
        <v>4101</v>
      </c>
      <c r="I18" s="86">
        <f t="shared" si="8"/>
        <v>1.0831504511094856</v>
      </c>
      <c r="J18" s="53"/>
      <c r="K18" s="365" t="s">
        <v>19</v>
      </c>
      <c r="L18" s="361">
        <f>[3]American!$EQ$41</f>
        <v>195863</v>
      </c>
      <c r="M18" s="39">
        <f t="shared" si="9"/>
        <v>5.8393792810452642E-2</v>
      </c>
      <c r="N18" s="9">
        <f>[3]American!$EC$41</f>
        <v>83934</v>
      </c>
      <c r="O18" s="86">
        <f t="shared" si="10"/>
        <v>1.3335358734243572</v>
      </c>
      <c r="P18" s="9">
        <f>SUM([3]American!$EL$41:$EQ$41)</f>
        <v>1086396</v>
      </c>
      <c r="Q18" s="9">
        <f>SUM([3]American!$DX$41:$EC$41)</f>
        <v>508922</v>
      </c>
      <c r="R18" s="86">
        <f t="shared" si="11"/>
        <v>1.134700405956119</v>
      </c>
      <c r="T18" s="20"/>
    </row>
    <row r="19" spans="1:20" ht="14.1" customHeight="1" x14ac:dyDescent="0.2">
      <c r="A19" s="53"/>
      <c r="B19" s="440" t="s">
        <v>22</v>
      </c>
      <c r="C19" s="361">
        <f>'[3]US Airways'!$EQ$19</f>
        <v>0</v>
      </c>
      <c r="D19" s="39">
        <f t="shared" si="6"/>
        <v>0</v>
      </c>
      <c r="E19" s="9">
        <f>'[3]US Airways'!$EC$19</f>
        <v>725</v>
      </c>
      <c r="F19" s="86">
        <f t="shared" si="7"/>
        <v>-1</v>
      </c>
      <c r="G19" s="9">
        <f>SUM('[3]US Airways'!$EL$19:$EQ$19)</f>
        <v>0</v>
      </c>
      <c r="H19" s="9">
        <f>SUM('[3]US Airways'!$DX$19:$EC$19)</f>
        <v>4153</v>
      </c>
      <c r="I19" s="86">
        <f t="shared" si="8"/>
        <v>-1</v>
      </c>
      <c r="J19" s="372"/>
      <c r="K19" s="365" t="s">
        <v>22</v>
      </c>
      <c r="L19" s="361">
        <f>'[3]US Airways'!$EQ$41</f>
        <v>0</v>
      </c>
      <c r="M19" s="39">
        <f t="shared" si="9"/>
        <v>0</v>
      </c>
      <c r="N19" s="9">
        <f>'[3]US Airways'!$EC$41</f>
        <v>95952</v>
      </c>
      <c r="O19" s="86">
        <f t="shared" si="10"/>
        <v>-1</v>
      </c>
      <c r="P19" s="9">
        <f>SUM('[3]US Airways'!$EL$41:$EQ$41)</f>
        <v>0</v>
      </c>
      <c r="Q19" s="9">
        <f>SUM('[3]US Airways'!$DX$41:$EC$41)</f>
        <v>550534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196</v>
      </c>
      <c r="C20" s="361">
        <f>'[3]American Eagle'!$EQ$19</f>
        <v>0</v>
      </c>
      <c r="D20" s="39">
        <f t="shared" si="6"/>
        <v>0</v>
      </c>
      <c r="E20" s="9">
        <f>'[3]American Eagle'!$EC$19</f>
        <v>176</v>
      </c>
      <c r="F20" s="86">
        <f t="shared" si="7"/>
        <v>-1</v>
      </c>
      <c r="G20" s="9">
        <f>SUM('[3]American Eagle'!$EL$19:$EQ$19)</f>
        <v>82</v>
      </c>
      <c r="H20" s="9">
        <f>SUM('[3]American Eagle'!$DX$19:$EC$19)</f>
        <v>989</v>
      </c>
      <c r="I20" s="86">
        <f t="shared" si="8"/>
        <v>-0.91708796764408496</v>
      </c>
      <c r="J20" s="53"/>
      <c r="K20" s="440" t="s">
        <v>196</v>
      </c>
      <c r="L20" s="361">
        <f>'[3]American Eagle'!$EQ$41</f>
        <v>0</v>
      </c>
      <c r="M20" s="39">
        <f t="shared" si="9"/>
        <v>0</v>
      </c>
      <c r="N20" s="9">
        <f>'[3]American Eagle'!$EC$41</f>
        <v>11002</v>
      </c>
      <c r="O20" s="86">
        <f t="shared" si="10"/>
        <v>-1</v>
      </c>
      <c r="P20" s="9">
        <f>SUM('[3]American Eagle'!$EL$41:$EQ$41)</f>
        <v>4094</v>
      </c>
      <c r="Q20" s="9">
        <f>SUM('[3]American Eagle'!$DX$41:$EC$41)</f>
        <v>61849</v>
      </c>
      <c r="R20" s="86">
        <f t="shared" si="11"/>
        <v>-0.93380652880402271</v>
      </c>
      <c r="T20" s="20"/>
    </row>
    <row r="21" spans="1:20" ht="14.1" customHeight="1" x14ac:dyDescent="0.2">
      <c r="A21" s="53"/>
      <c r="B21" s="440" t="s">
        <v>55</v>
      </c>
      <c r="C21" s="361">
        <f>[3]Republic!$EQ$19</f>
        <v>409</v>
      </c>
      <c r="D21" s="39">
        <f t="shared" si="6"/>
        <v>1.2422171602126044E-2</v>
      </c>
      <c r="E21" s="9">
        <f>[3]Republic!$EC$19</f>
        <v>0</v>
      </c>
      <c r="F21" s="86" t="e">
        <f t="shared" si="7"/>
        <v>#DIV/0!</v>
      </c>
      <c r="G21" s="9">
        <f>SUM([3]Republic!$EL$19:$EQ$19)</f>
        <v>1845</v>
      </c>
      <c r="H21" s="9">
        <f>SUM([3]Republic!$DX$19:$EC$19)</f>
        <v>192</v>
      </c>
      <c r="I21" s="86">
        <f t="shared" si="8"/>
        <v>8.609375</v>
      </c>
      <c r="J21" s="372"/>
      <c r="K21" s="367" t="s">
        <v>55</v>
      </c>
      <c r="L21" s="361">
        <f>[3]Republic!$EQ$41</f>
        <v>28709</v>
      </c>
      <c r="M21" s="39">
        <f t="shared" si="9"/>
        <v>8.5591837038914188E-3</v>
      </c>
      <c r="N21" s="9">
        <f>[3]Republic!$EC$41</f>
        <v>0</v>
      </c>
      <c r="O21" s="86" t="e">
        <f t="shared" si="10"/>
        <v>#DIV/0!</v>
      </c>
      <c r="P21" s="9">
        <f>SUM([3]Republic!$EL$41:$EQ$41)</f>
        <v>109453</v>
      </c>
      <c r="Q21" s="9">
        <f>SUM([3]Republic!$DX$41:$EC$41)</f>
        <v>12373</v>
      </c>
      <c r="R21" s="86">
        <f t="shared" si="11"/>
        <v>7.8461165440879332</v>
      </c>
      <c r="T21" s="20"/>
    </row>
    <row r="22" spans="1:20" ht="14.1" customHeight="1" x14ac:dyDescent="0.2">
      <c r="A22" s="53"/>
      <c r="B22" s="440" t="s">
        <v>220</v>
      </c>
      <c r="C22" s="361">
        <f>[3]PSA!$EQ$19</f>
        <v>32</v>
      </c>
      <c r="D22" s="39">
        <f t="shared" ref="D22" si="12">C22/$C$64</f>
        <v>9.7190584662110863E-4</v>
      </c>
      <c r="E22" s="9">
        <f>[3]PSA!$EC$19</f>
        <v>0</v>
      </c>
      <c r="F22" s="86" t="e">
        <f t="shared" ref="F22" si="13">(C22-E22)/E22</f>
        <v>#DIV/0!</v>
      </c>
      <c r="G22" s="9">
        <f>SUM([3]PSA!$EL$19:$EQ$19)</f>
        <v>50</v>
      </c>
      <c r="H22" s="9">
        <f>SUM([3]PSA!$DX$19:$EC$19)</f>
        <v>0</v>
      </c>
      <c r="I22" s="86" t="e">
        <f t="shared" ref="I22" si="14">(G22-H22)/H22</f>
        <v>#DIV/0!</v>
      </c>
      <c r="J22" s="372"/>
      <c r="K22" s="440" t="s">
        <v>220</v>
      </c>
      <c r="L22" s="361">
        <f>[3]PSA!$EQ$41</f>
        <v>1997</v>
      </c>
      <c r="M22" s="39">
        <f t="shared" ref="M22" si="15">L22/$L$64</f>
        <v>5.9537740278906134E-4</v>
      </c>
      <c r="N22" s="9">
        <f>[3]PSA!$EC$41</f>
        <v>0</v>
      </c>
      <c r="O22" s="86" t="e">
        <f t="shared" ref="O22" si="16">(L22-N22)/N22</f>
        <v>#DIV/0!</v>
      </c>
      <c r="P22" s="9">
        <f>SUM([3]PSA!$EL$41:$EQ$41)</f>
        <v>3084</v>
      </c>
      <c r="Q22" s="9">
        <f>SUM([3]PSA!$DX$41:$EC$41)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54</v>
      </c>
      <c r="C23" s="361">
        <f>[3]MESA!$EQ$19</f>
        <v>0</v>
      </c>
      <c r="D23" s="39">
        <f t="shared" si="6"/>
        <v>0</v>
      </c>
      <c r="E23" s="9">
        <f>[3]MESA!$EC$19</f>
        <v>0</v>
      </c>
      <c r="F23" s="86" t="e">
        <f t="shared" si="7"/>
        <v>#DIV/0!</v>
      </c>
      <c r="G23" s="9">
        <f>SUM([3]MESA!$EL$19:$EQ$19)</f>
        <v>14</v>
      </c>
      <c r="H23" s="9">
        <f>SUM([3]MESA!$DX$19:$EC$19)</f>
        <v>12</v>
      </c>
      <c r="I23" s="86">
        <f t="shared" si="8"/>
        <v>0.16666666666666666</v>
      </c>
      <c r="J23" s="372"/>
      <c r="K23" s="440" t="s">
        <v>54</v>
      </c>
      <c r="L23" s="361">
        <f>[3]MESA!$EQ$41</f>
        <v>0</v>
      </c>
      <c r="M23" s="39">
        <f t="shared" si="9"/>
        <v>0</v>
      </c>
      <c r="N23" s="9">
        <f>[3]MESA!$EC$41</f>
        <v>0</v>
      </c>
      <c r="O23" s="86" t="e">
        <f t="shared" si="10"/>
        <v>#DIV/0!</v>
      </c>
      <c r="P23" s="9">
        <f>SUM([3]MESA!$EL$41:$EQ$41)</f>
        <v>1079</v>
      </c>
      <c r="Q23" s="9">
        <f>SUM([3]MESA!$DX$41:$EC$41)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61">
        <f>'[3]Air Wisconsin'!$EQ$19</f>
        <v>0</v>
      </c>
      <c r="D24" s="39">
        <f t="shared" si="6"/>
        <v>0</v>
      </c>
      <c r="E24" s="9">
        <f>'[3]Air Wisconsin'!$EC$19</f>
        <v>0</v>
      </c>
      <c r="F24" s="86" t="e">
        <f t="shared" si="7"/>
        <v>#DIV/0!</v>
      </c>
      <c r="G24" s="9">
        <f>SUM('[3]Air Wisconsin'!$EL$19:$EQ$19)</f>
        <v>106</v>
      </c>
      <c r="H24" s="9">
        <f>SUM('[3]Air Wisconsin'!$DX$19:$EC$19)</f>
        <v>0</v>
      </c>
      <c r="I24" s="444" t="e">
        <f t="shared" si="8"/>
        <v>#DIV/0!</v>
      </c>
      <c r="J24" s="53"/>
      <c r="K24" s="445" t="s">
        <v>53</v>
      </c>
      <c r="L24" s="361">
        <f>'[3]Air Wisconsin'!$EQ$41</f>
        <v>0</v>
      </c>
      <c r="M24" s="39">
        <f t="shared" si="9"/>
        <v>0</v>
      </c>
      <c r="N24" s="9">
        <f>'[3]Air Wisconsin'!$EC$41</f>
        <v>0</v>
      </c>
      <c r="O24" s="86" t="e">
        <f t="shared" si="10"/>
        <v>#DIV/0!</v>
      </c>
      <c r="P24" s="9">
        <f>SUM('[3]Air Wisconsin'!$EL$41:$EQ$41)</f>
        <v>3812</v>
      </c>
      <c r="Q24" s="9">
        <f>SUM('[3]Air Wisconsin'!$DX$41:$EC$41)</f>
        <v>0</v>
      </c>
      <c r="R24" s="86" t="e">
        <f t="shared" si="11"/>
        <v>#DIV/0!</v>
      </c>
      <c r="T24" s="20"/>
    </row>
    <row r="25" spans="1:20" ht="14.1" customHeight="1" x14ac:dyDescent="0.2">
      <c r="A25" s="53"/>
      <c r="B25" s="366"/>
      <c r="C25" s="361"/>
      <c r="D25" s="39"/>
      <c r="E25" s="9"/>
      <c r="F25" s="86"/>
      <c r="G25" s="9"/>
      <c r="H25" s="9"/>
      <c r="I25" s="86"/>
      <c r="J25" s="53"/>
      <c r="K25" s="366"/>
      <c r="L25" s="361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6" t="s">
        <v>219</v>
      </c>
      <c r="B26" s="366"/>
      <c r="C26" s="357">
        <f>'[3]Boutique Air'!$EQ$19</f>
        <v>36</v>
      </c>
      <c r="D26" s="358">
        <f t="shared" ref="D26" si="18">C26/$C$64</f>
        <v>1.0933940774487472E-3</v>
      </c>
      <c r="E26" s="359">
        <f>'[3]Boutique Air'!$EC$19</f>
        <v>0</v>
      </c>
      <c r="F26" s="360" t="e">
        <f t="shared" ref="F26" si="19">(C26-E26)/E26</f>
        <v>#DIV/0!</v>
      </c>
      <c r="G26" s="359">
        <f>SUM('[3]Boutique Air'!$EL$19:$EQ$19)</f>
        <v>36</v>
      </c>
      <c r="H26" s="359">
        <f>SUM('[3]Boutique Air'!$DX$19:$EC$19)</f>
        <v>0</v>
      </c>
      <c r="I26" s="360" t="e">
        <f t="shared" ref="I26" si="20">(G26-H26)/H26</f>
        <v>#DIV/0!</v>
      </c>
      <c r="J26" s="356" t="s">
        <v>219</v>
      </c>
      <c r="K26" s="366"/>
      <c r="L26" s="357">
        <f>'[3]Boutique Air'!$EQ$41</f>
        <v>109</v>
      </c>
      <c r="M26" s="358">
        <f t="shared" ref="M26" si="21">L26/$L$64</f>
        <v>3.2496813672512616E-5</v>
      </c>
      <c r="N26" s="359">
        <f>'[3]Boutique Air'!$EC$41</f>
        <v>0</v>
      </c>
      <c r="O26" s="360" t="e">
        <f t="shared" ref="O26" si="22">(L26-N26)/N26</f>
        <v>#DIV/0!</v>
      </c>
      <c r="P26" s="359">
        <f>SUM('[3]Boutique Air'!$EL$41:$EQ$41)</f>
        <v>109</v>
      </c>
      <c r="Q26" s="359">
        <f>SUM('[3]Boutique Air'!$DX$41:$EC$41)</f>
        <v>0</v>
      </c>
      <c r="R26" s="360" t="e">
        <f t="shared" ref="R26" si="23">(P26-Q26)/Q26</f>
        <v>#DIV/0!</v>
      </c>
      <c r="T26" s="20"/>
    </row>
    <row r="27" spans="1:20" ht="14.1" customHeight="1" x14ac:dyDescent="0.2">
      <c r="A27" s="53"/>
      <c r="B27" s="366"/>
      <c r="C27" s="361"/>
      <c r="D27" s="39"/>
      <c r="E27" s="9"/>
      <c r="F27" s="86"/>
      <c r="G27" s="9"/>
      <c r="H27" s="9"/>
      <c r="I27" s="86"/>
      <c r="J27" s="53"/>
      <c r="K27" s="366"/>
      <c r="L27" s="361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6" t="s">
        <v>181</v>
      </c>
      <c r="B28" s="366"/>
      <c r="C28" s="357">
        <f>[3]Condor!$EQ$19</f>
        <v>26</v>
      </c>
      <c r="D28" s="358">
        <f t="shared" ref="D28" si="24">C28/$C$64</f>
        <v>7.8967350037965076E-4</v>
      </c>
      <c r="E28" s="359">
        <f>[3]Condor!$EC$19</f>
        <v>4</v>
      </c>
      <c r="F28" s="360">
        <f t="shared" ref="F28" si="25">(C28-E28)/E28</f>
        <v>5.5</v>
      </c>
      <c r="G28" s="359">
        <f>SUM([3]Condor!$EL$19:$EQ$19)</f>
        <v>26</v>
      </c>
      <c r="H28" s="359">
        <f>SUM([3]Condor!$DX$19:$EC$19)</f>
        <v>4</v>
      </c>
      <c r="I28" s="360">
        <f t="shared" ref="I28" si="26">(G28-H28)/H28</f>
        <v>5.5</v>
      </c>
      <c r="J28" s="356" t="s">
        <v>181</v>
      </c>
      <c r="K28" s="366"/>
      <c r="L28" s="357">
        <f>[3]Condor!$EQ$41</f>
        <v>5728</v>
      </c>
      <c r="M28" s="358">
        <f t="shared" ref="M28" si="27">L28/$L$64</f>
        <v>1.7077224652858006E-3</v>
      </c>
      <c r="N28" s="359">
        <f>[3]Condor!$EC$41</f>
        <v>960</v>
      </c>
      <c r="O28" s="360">
        <f t="shared" ref="O28" si="28">(L28-N28)/N28</f>
        <v>4.9666666666666668</v>
      </c>
      <c r="P28" s="359">
        <f>SUM([3]Condor!$EL$41:$EQ$41)</f>
        <v>5728</v>
      </c>
      <c r="Q28" s="359">
        <f>SUM([3]Condor!$DX$41:$EC$41)</f>
        <v>960</v>
      </c>
      <c r="R28" s="360">
        <f t="shared" ref="R28" si="29">(P28-Q28)/Q28</f>
        <v>4.9666666666666668</v>
      </c>
      <c r="T28" s="20"/>
    </row>
    <row r="29" spans="1:20" ht="14.1" customHeight="1" x14ac:dyDescent="0.2">
      <c r="A29" s="53"/>
      <c r="B29" s="366"/>
      <c r="C29" s="361"/>
      <c r="D29" s="39"/>
      <c r="E29" s="9"/>
      <c r="F29" s="86"/>
      <c r="G29" s="9"/>
      <c r="H29" s="9"/>
      <c r="I29" s="86"/>
      <c r="J29" s="53"/>
      <c r="K29" s="366"/>
      <c r="L29" s="361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6" t="s">
        <v>20</v>
      </c>
      <c r="B30" s="369"/>
      <c r="C30" s="357">
        <f>SUM(C31:C37)</f>
        <v>24789</v>
      </c>
      <c r="D30" s="358">
        <f t="shared" ref="D30:D37" si="30">C30/$C$64</f>
        <v>0.75289293849658312</v>
      </c>
      <c r="E30" s="359">
        <f>SUM(E31:E37)</f>
        <v>24534</v>
      </c>
      <c r="F30" s="360">
        <f t="shared" ref="F30:F37" si="31">(C30-E30)/E30</f>
        <v>1.0393739300562485E-2</v>
      </c>
      <c r="G30" s="362">
        <f>SUM(G31:G37)</f>
        <v>136832</v>
      </c>
      <c r="H30" s="362">
        <f>SUM(H31:H37)</f>
        <v>136520</v>
      </c>
      <c r="I30" s="360">
        <f>(G30-H30)/H30</f>
        <v>2.2853794315851159E-3</v>
      </c>
      <c r="J30" s="356" t="s">
        <v>20</v>
      </c>
      <c r="K30" s="369"/>
      <c r="L30" s="357">
        <f>SUM(L31:L37)</f>
        <v>2403472</v>
      </c>
      <c r="M30" s="358">
        <f t="shared" ref="M30:M37" si="32">L30/$L$64</f>
        <v>0.71656130046881872</v>
      </c>
      <c r="N30" s="359">
        <f>SUM(N31:N37)</f>
        <v>2435664</v>
      </c>
      <c r="O30" s="360">
        <f t="shared" ref="O30:O37" si="33">(L30-N30)/N30</f>
        <v>-1.32169297571422E-2</v>
      </c>
      <c r="P30" s="359">
        <f>SUM(P31:P37)</f>
        <v>12622880</v>
      </c>
      <c r="Q30" s="359">
        <f>SUM(Q31:Q37)</f>
        <v>12453592</v>
      </c>
      <c r="R30" s="360">
        <f t="shared" ref="R30:R37" si="34">(P30-Q30)/Q30</f>
        <v>1.3593507800801569E-2</v>
      </c>
      <c r="T30" s="426"/>
    </row>
    <row r="31" spans="1:20" ht="14.1" customHeight="1" x14ac:dyDescent="0.2">
      <c r="A31" s="53"/>
      <c r="B31" s="365" t="s">
        <v>20</v>
      </c>
      <c r="C31" s="361">
        <f>[3]Delta!$EQ$19</f>
        <v>12231</v>
      </c>
      <c r="D31" s="39">
        <f t="shared" si="30"/>
        <v>0.37148063781321183</v>
      </c>
      <c r="E31" s="9">
        <f>[3]Delta!$EC$19</f>
        <v>12285</v>
      </c>
      <c r="F31" s="86">
        <f t="shared" si="31"/>
        <v>-4.3956043956043956E-3</v>
      </c>
      <c r="G31" s="9">
        <f>SUM([3]Delta!$EL$19:$EQ$19)</f>
        <v>65701</v>
      </c>
      <c r="H31" s="9">
        <f>SUM([3]Delta!$DX$19:$EC$19)</f>
        <v>62628</v>
      </c>
      <c r="I31" s="86">
        <f t="shared" ref="I31:I37" si="35">(G31-H31)/H31</f>
        <v>4.9067509740052376E-2</v>
      </c>
      <c r="J31" s="53"/>
      <c r="K31" s="365" t="s">
        <v>20</v>
      </c>
      <c r="L31" s="361">
        <f>[3]Delta!$EQ$41</f>
        <v>1757305</v>
      </c>
      <c r="M31" s="39">
        <f t="shared" si="32"/>
        <v>0.52391571697958517</v>
      </c>
      <c r="N31" s="9">
        <f>[3]Delta!$EC$41</f>
        <v>1780235</v>
      </c>
      <c r="O31" s="86">
        <f t="shared" si="33"/>
        <v>-1.2880321979963319E-2</v>
      </c>
      <c r="P31" s="9">
        <f>SUM([3]Delta!$EL$41:$EQ$41)</f>
        <v>9022890</v>
      </c>
      <c r="Q31" s="9">
        <f>SUM([3]Delta!$DX$41:$EC$41)</f>
        <v>8683392</v>
      </c>
      <c r="R31" s="86">
        <f t="shared" si="34"/>
        <v>3.9097394198027685E-2</v>
      </c>
      <c r="T31" s="20"/>
    </row>
    <row r="32" spans="1:20" ht="14.1" customHeight="1" x14ac:dyDescent="0.2">
      <c r="A32" s="53"/>
      <c r="B32" s="367" t="s">
        <v>123</v>
      </c>
      <c r="C32" s="361">
        <f>[3]Compass!$EQ$19</f>
        <v>1632</v>
      </c>
      <c r="D32" s="39">
        <f t="shared" si="30"/>
        <v>4.956719817767654E-2</v>
      </c>
      <c r="E32" s="9">
        <f>[3]Compass!$EC$19</f>
        <v>1528</v>
      </c>
      <c r="F32" s="86">
        <f t="shared" si="31"/>
        <v>6.8062827225130892E-2</v>
      </c>
      <c r="G32" s="9">
        <f>SUM([3]Compass!$EL$19:$EQ$19)</f>
        <v>8404</v>
      </c>
      <c r="H32" s="9">
        <f>SUM([3]Compass!$DX$19:$EC$19)</f>
        <v>8485</v>
      </c>
      <c r="I32" s="86">
        <f t="shared" si="35"/>
        <v>-9.5462581025338826E-3</v>
      </c>
      <c r="J32" s="53"/>
      <c r="K32" s="367" t="s">
        <v>123</v>
      </c>
      <c r="L32" s="361">
        <f>[3]Compass!$EQ$41</f>
        <v>99088</v>
      </c>
      <c r="M32" s="39">
        <f t="shared" si="32"/>
        <v>2.9541690579650733E-2</v>
      </c>
      <c r="N32" s="9">
        <f>[3]Compass!$EC$41</f>
        <v>95709</v>
      </c>
      <c r="O32" s="86">
        <f t="shared" si="33"/>
        <v>3.5304934750127991E-2</v>
      </c>
      <c r="P32" s="9">
        <f>SUM([3]Compass!$EL$41:$EQ$41)</f>
        <v>499571</v>
      </c>
      <c r="Q32" s="9">
        <f>SUM([3]Compass!$DX$41:$EC$41)</f>
        <v>505974</v>
      </c>
      <c r="R32" s="86">
        <f t="shared" si="34"/>
        <v>-1.2654800444291604E-2</v>
      </c>
      <c r="T32" s="9"/>
    </row>
    <row r="33" spans="1:20" ht="14.1" customHeight="1" x14ac:dyDescent="0.2">
      <c r="A33" s="53"/>
      <c r="B33" s="366" t="s">
        <v>169</v>
      </c>
      <c r="C33" s="361">
        <f>[3]Pinnacle!$EQ$19</f>
        <v>4183</v>
      </c>
      <c r="D33" s="39">
        <f t="shared" si="30"/>
        <v>0.12704631738800304</v>
      </c>
      <c r="E33" s="9">
        <f>[3]Pinnacle!$EC$19</f>
        <v>4386</v>
      </c>
      <c r="F33" s="86">
        <f t="shared" si="31"/>
        <v>-4.6283629730962152E-2</v>
      </c>
      <c r="G33" s="9">
        <f>SUM([3]Pinnacle!$EL$19:$EQ$19)</f>
        <v>23886</v>
      </c>
      <c r="H33" s="9">
        <f>SUM([3]Pinnacle!$DX$19:$EC$19)</f>
        <v>30553</v>
      </c>
      <c r="I33" s="86">
        <f t="shared" si="35"/>
        <v>-0.21821097764540306</v>
      </c>
      <c r="J33" s="53"/>
      <c r="K33" s="366" t="s">
        <v>169</v>
      </c>
      <c r="L33" s="361">
        <f>[3]Pinnacle!$EQ$41</f>
        <v>221756</v>
      </c>
      <c r="M33" s="39">
        <f t="shared" si="32"/>
        <v>6.6113425805153281E-2</v>
      </c>
      <c r="N33" s="9">
        <f>[3]Pinnacle!$EC$41</f>
        <v>260835</v>
      </c>
      <c r="O33" s="86">
        <f t="shared" si="33"/>
        <v>-0.14982268483907452</v>
      </c>
      <c r="P33" s="9">
        <f>SUM([3]Pinnacle!$EL$41:$EQ$41)</f>
        <v>1318877</v>
      </c>
      <c r="Q33" s="9">
        <f>SUM([3]Pinnacle!$DX$41:$EC$41)</f>
        <v>1673557</v>
      </c>
      <c r="R33" s="86">
        <f t="shared" si="34"/>
        <v>-0.21193183142253297</v>
      </c>
      <c r="T33" s="20"/>
    </row>
    <row r="34" spans="1:20" ht="14.1" customHeight="1" x14ac:dyDescent="0.2">
      <c r="A34" s="53"/>
      <c r="B34" s="365" t="s">
        <v>165</v>
      </c>
      <c r="C34" s="361">
        <f>'[3]Go Jet'!$EQ$19</f>
        <v>130</v>
      </c>
      <c r="D34" s="39">
        <f t="shared" si="30"/>
        <v>3.9483675018982534E-3</v>
      </c>
      <c r="E34" s="9">
        <f>'[3]Go Jet'!$EC$19</f>
        <v>0</v>
      </c>
      <c r="F34" s="86" t="e">
        <f>(C34-E34)/E34</f>
        <v>#DIV/0!</v>
      </c>
      <c r="G34" s="9">
        <f>SUM('[3]Go Jet'!$EL$19:$EQ$19)</f>
        <v>130</v>
      </c>
      <c r="H34" s="9">
        <f>SUM('[3]Go Jet'!$DX$19:$EC$19)</f>
        <v>28</v>
      </c>
      <c r="I34" s="86">
        <f>(G34-H34)/H34</f>
        <v>3.6428571428571428</v>
      </c>
      <c r="J34" s="53"/>
      <c r="K34" s="365" t="s">
        <v>165</v>
      </c>
      <c r="L34" s="361">
        <f>'[3]Go Jet'!$EQ$41</f>
        <v>8319</v>
      </c>
      <c r="M34" s="39">
        <f t="shared" si="32"/>
        <v>2.4801925957947933E-3</v>
      </c>
      <c r="N34" s="9">
        <f>'[3]Go Jet'!$EC$41</f>
        <v>0</v>
      </c>
      <c r="O34" s="86" t="e">
        <f>(L34-N34)/N34</f>
        <v>#DIV/0!</v>
      </c>
      <c r="P34" s="9">
        <f>SUM('[3]Go Jet'!$EL$41:$EQ$41)</f>
        <v>8319</v>
      </c>
      <c r="Q34" s="9">
        <f>SUM('[3]Go Jet'!$DX$41:$EC$41)</f>
        <v>1577</v>
      </c>
      <c r="R34" s="86">
        <f>(P34-Q34)/Q34</f>
        <v>4.2752060875079261</v>
      </c>
      <c r="T34" s="335"/>
    </row>
    <row r="35" spans="1:20" ht="14.1" customHeight="1" x14ac:dyDescent="0.2">
      <c r="A35" s="53"/>
      <c r="B35" s="366" t="s">
        <v>103</v>
      </c>
      <c r="C35" s="361">
        <f>'[3]Sky West'!$EQ$19</f>
        <v>5658</v>
      </c>
      <c r="D35" s="39">
        <f t="shared" si="30"/>
        <v>0.17184510250569476</v>
      </c>
      <c r="E35" s="9">
        <f>'[3]Sky West'!$EC$19</f>
        <v>5115</v>
      </c>
      <c r="F35" s="86">
        <f t="shared" si="31"/>
        <v>0.10615835777126099</v>
      </c>
      <c r="G35" s="9">
        <f>SUM('[3]Sky West'!$EL$19:$EQ$19)</f>
        <v>33773</v>
      </c>
      <c r="H35" s="9">
        <f>SUM('[3]Sky West'!$DX$19:$EC$19)</f>
        <v>25447</v>
      </c>
      <c r="I35" s="86">
        <f t="shared" si="35"/>
        <v>0.32718984556136282</v>
      </c>
      <c r="J35" s="53"/>
      <c r="K35" s="366" t="s">
        <v>103</v>
      </c>
      <c r="L35" s="361">
        <f>'[3]Sky West'!$EQ$41</f>
        <v>260919</v>
      </c>
      <c r="M35" s="39">
        <f t="shared" si="32"/>
        <v>7.778932226255339E-2</v>
      </c>
      <c r="N35" s="9">
        <f>'[3]Sky West'!$EC$41</f>
        <v>226529</v>
      </c>
      <c r="O35" s="86">
        <f t="shared" si="33"/>
        <v>0.15181279218113355</v>
      </c>
      <c r="P35" s="9">
        <f>SUM('[3]Sky West'!$EL$41:$EQ$41)</f>
        <v>1510551</v>
      </c>
      <c r="Q35" s="9">
        <f>SUM('[3]Sky West'!$DX$41:$EC$41)</f>
        <v>1069705</v>
      </c>
      <c r="R35" s="86">
        <f t="shared" si="34"/>
        <v>0.41211922913326571</v>
      </c>
      <c r="T35" s="20"/>
    </row>
    <row r="36" spans="1:20" ht="14.1" customHeight="1" x14ac:dyDescent="0.2">
      <c r="A36" s="53"/>
      <c r="B36" s="366" t="s">
        <v>138</v>
      </c>
      <c r="C36" s="361">
        <f>'[3]Shuttle America_Delta'!$EQ$19</f>
        <v>126</v>
      </c>
      <c r="D36" s="39">
        <f t="shared" si="30"/>
        <v>3.8268792710706152E-3</v>
      </c>
      <c r="E36" s="9">
        <f>'[3]Shuttle America_Delta'!$EC$19</f>
        <v>212</v>
      </c>
      <c r="F36" s="86">
        <f t="shared" si="31"/>
        <v>-0.40566037735849059</v>
      </c>
      <c r="G36" s="9">
        <f>SUM('[3]Shuttle America_Delta'!$EL$19:$EQ$19)</f>
        <v>684</v>
      </c>
      <c r="H36" s="9">
        <f>SUM('[3]Shuttle America_Delta'!$DX$19:$EC$19)</f>
        <v>1959</v>
      </c>
      <c r="I36" s="86">
        <f t="shared" si="35"/>
        <v>-0.65084226646248089</v>
      </c>
      <c r="J36" s="53"/>
      <c r="K36" s="366" t="s">
        <v>138</v>
      </c>
      <c r="L36" s="361">
        <f>'[3]Shuttle America_Delta'!$EQ$41</f>
        <v>7606</v>
      </c>
      <c r="M36" s="39">
        <f t="shared" si="32"/>
        <v>2.2676216953498251E-3</v>
      </c>
      <c r="N36" s="9">
        <f>'[3]Shuttle America_Delta'!$EC$41</f>
        <v>10732</v>
      </c>
      <c r="O36" s="86">
        <f t="shared" si="33"/>
        <v>-0.29127841967946327</v>
      </c>
      <c r="P36" s="9">
        <f>SUM('[3]Shuttle America_Delta'!$EL$41:$EQ$41)</f>
        <v>34109</v>
      </c>
      <c r="Q36" s="9">
        <f>SUM('[3]Shuttle America_Delta'!$DX$41:$EC$41)</f>
        <v>103782</v>
      </c>
      <c r="R36" s="86">
        <f t="shared" si="34"/>
        <v>-0.67133992407161169</v>
      </c>
      <c r="T36" s="20"/>
    </row>
    <row r="37" spans="1:20" ht="14.1" customHeight="1" x14ac:dyDescent="0.2">
      <c r="A37" s="53"/>
      <c r="B37" s="443" t="s">
        <v>197</v>
      </c>
      <c r="C37" s="361">
        <f>'[3]Atlantic Southeast'!$EQ$19</f>
        <v>829</v>
      </c>
      <c r="D37" s="39">
        <f t="shared" si="30"/>
        <v>2.5178435839028093E-2</v>
      </c>
      <c r="E37" s="9">
        <f>'[3]Atlantic Southeast'!$EC$19</f>
        <v>1008</v>
      </c>
      <c r="F37" s="86">
        <f t="shared" si="31"/>
        <v>-0.17757936507936509</v>
      </c>
      <c r="G37" s="9">
        <f>SUM('[3]Atlantic Southeast'!$EL$19:$EQ$19)</f>
        <v>4254</v>
      </c>
      <c r="H37" s="9">
        <f>SUM('[3]Atlantic Southeast'!$DX$19:$EC$19)</f>
        <v>7420</v>
      </c>
      <c r="I37" s="86">
        <f t="shared" si="35"/>
        <v>-0.42668463611859836</v>
      </c>
      <c r="J37" s="53"/>
      <c r="K37" s="443" t="s">
        <v>197</v>
      </c>
      <c r="L37" s="361">
        <f>'[3]Atlantic Southeast'!$EQ$41</f>
        <v>48479</v>
      </c>
      <c r="M37" s="39">
        <f t="shared" si="32"/>
        <v>1.4453330550731551E-2</v>
      </c>
      <c r="N37" s="9">
        <f>'[3]Atlantic Southeast'!$EC$41</f>
        <v>61624</v>
      </c>
      <c r="O37" s="86">
        <f t="shared" si="33"/>
        <v>-0.21330974944826692</v>
      </c>
      <c r="P37" s="9">
        <f>SUM('[3]Atlantic Southeast'!$EL$41:$EQ$41)</f>
        <v>228563</v>
      </c>
      <c r="Q37" s="9">
        <f>SUM('[3]Atlantic Southeast'!$DX$41:$EC$41)</f>
        <v>415605</v>
      </c>
      <c r="R37" s="86">
        <f t="shared" si="34"/>
        <v>-0.45004752108372131</v>
      </c>
      <c r="T37" s="332"/>
    </row>
    <row r="38" spans="1:20" ht="14.1" customHeight="1" x14ac:dyDescent="0.2">
      <c r="A38" s="53"/>
      <c r="B38" s="370"/>
      <c r="C38" s="361"/>
      <c r="D38" s="39"/>
      <c r="E38" s="9"/>
      <c r="F38" s="86"/>
      <c r="G38" s="9"/>
      <c r="H38" s="9"/>
      <c r="I38" s="86"/>
      <c r="J38" s="53"/>
      <c r="K38" s="370"/>
      <c r="L38" s="361"/>
      <c r="M38" s="39"/>
      <c r="N38" s="9"/>
      <c r="O38" s="86"/>
      <c r="P38" s="9"/>
      <c r="Q38" s="9"/>
      <c r="R38" s="86"/>
      <c r="T38" s="332"/>
    </row>
    <row r="39" spans="1:20" s="7" customFormat="1" ht="14.1" customHeight="1" x14ac:dyDescent="0.2">
      <c r="A39" s="356" t="s">
        <v>50</v>
      </c>
      <c r="B39" s="371"/>
      <c r="C39" s="357">
        <f>[3]Frontier!$EQ$19</f>
        <v>200</v>
      </c>
      <c r="D39" s="358">
        <f>C39/$C$64</f>
        <v>6.0744115413819289E-3</v>
      </c>
      <c r="E39" s="359">
        <f>[3]Frontier!$EC$19</f>
        <v>392</v>
      </c>
      <c r="F39" s="360">
        <f>(C39-E39)/E39</f>
        <v>-0.48979591836734693</v>
      </c>
      <c r="G39" s="359">
        <f>SUM([3]Frontier!$EL$19:$EQ$19)</f>
        <v>1078</v>
      </c>
      <c r="H39" s="359">
        <f>SUM([3]Frontier!$DX$19:$EC$19)</f>
        <v>1424</v>
      </c>
      <c r="I39" s="360">
        <f>(G39-H39)/H39</f>
        <v>-0.24297752808988765</v>
      </c>
      <c r="J39" s="356" t="s">
        <v>50</v>
      </c>
      <c r="K39" s="371"/>
      <c r="L39" s="357">
        <f>[3]Frontier!$EQ$41</f>
        <v>29721</v>
      </c>
      <c r="M39" s="358">
        <f>L39/$L$64</f>
        <v>8.8608972400068577E-3</v>
      </c>
      <c r="N39" s="359">
        <f>[3]Frontier!$EC$41</f>
        <v>52167</v>
      </c>
      <c r="O39" s="360">
        <f>(L39-N39)/N39</f>
        <v>-0.43027201104146301</v>
      </c>
      <c r="P39" s="359">
        <f>SUM([3]Frontier!$EL$41:$EQ$41)</f>
        <v>157381</v>
      </c>
      <c r="Q39" s="359">
        <f>SUM([3]Frontier!$DX$41:$EC$41)</f>
        <v>186217</v>
      </c>
      <c r="R39" s="360">
        <f>(P39-Q39)/Q39</f>
        <v>-0.15485159786700461</v>
      </c>
      <c r="T39" s="334"/>
    </row>
    <row r="40" spans="1:20" s="7" customFormat="1" ht="14.1" customHeight="1" x14ac:dyDescent="0.2">
      <c r="A40" s="356"/>
      <c r="B40" s="371"/>
      <c r="C40" s="357"/>
      <c r="D40" s="358"/>
      <c r="E40" s="359"/>
      <c r="F40" s="360"/>
      <c r="G40" s="359"/>
      <c r="H40" s="359"/>
      <c r="I40" s="360"/>
      <c r="J40" s="356"/>
      <c r="K40" s="371"/>
      <c r="L40" s="361"/>
      <c r="M40" s="39"/>
      <c r="N40" s="9"/>
      <c r="O40" s="86"/>
      <c r="P40" s="9"/>
      <c r="Q40" s="9"/>
      <c r="R40" s="86"/>
      <c r="T40" s="334"/>
    </row>
    <row r="41" spans="1:20" s="7" customFormat="1" ht="14.1" customHeight="1" x14ac:dyDescent="0.2">
      <c r="A41" s="356" t="s">
        <v>164</v>
      </c>
      <c r="B41" s="371"/>
      <c r="C41" s="357">
        <f>'[3]Great Lakes'!$EQ$19</f>
        <v>4</v>
      </c>
      <c r="D41" s="358">
        <f>C41/$C$64</f>
        <v>1.2148823082763858E-4</v>
      </c>
      <c r="E41" s="359">
        <f>'[3]Great Lakes'!$EC$19</f>
        <v>340</v>
      </c>
      <c r="F41" s="360">
        <f>(C41-E41)/E41</f>
        <v>-0.9882352941176471</v>
      </c>
      <c r="G41" s="359">
        <f>SUM('[3]Great Lakes'!$EL$19:$EQ$19)</f>
        <v>571</v>
      </c>
      <c r="H41" s="359">
        <f>SUM('[3]Great Lakes'!$DX$19:$EC$19)</f>
        <v>1237</v>
      </c>
      <c r="I41" s="360">
        <f>(G41-H41)/H41</f>
        <v>-0.53839935327405009</v>
      </c>
      <c r="J41" s="356" t="s">
        <v>164</v>
      </c>
      <c r="K41" s="371"/>
      <c r="L41" s="357">
        <f>'[3]Great Lakes'!$EQ$41</f>
        <v>13</v>
      </c>
      <c r="M41" s="358">
        <f>L41/$L$64</f>
        <v>3.8757667682813208E-6</v>
      </c>
      <c r="N41" s="359">
        <f>'[3]Great Lakes'!$EC$41</f>
        <v>1000</v>
      </c>
      <c r="O41" s="360">
        <f>(L41-N41)/N41</f>
        <v>-0.98699999999999999</v>
      </c>
      <c r="P41" s="359">
        <f>SUM('[3]Great Lakes'!$EL$41:$EQ$41)</f>
        <v>1557</v>
      </c>
      <c r="Q41" s="359">
        <f>SUM('[3]Great Lakes'!$DX$41:$EC$41)</f>
        <v>4176</v>
      </c>
      <c r="R41" s="360">
        <f>(P41-Q41)/Q41</f>
        <v>-0.62715517241379315</v>
      </c>
      <c r="T41" s="334"/>
    </row>
    <row r="42" spans="1:20" s="7" customFormat="1" ht="14.1" customHeight="1" x14ac:dyDescent="0.2">
      <c r="A42" s="356"/>
      <c r="B42" s="371"/>
      <c r="C42" s="357"/>
      <c r="D42" s="358"/>
      <c r="E42" s="359"/>
      <c r="F42" s="360"/>
      <c r="G42" s="359"/>
      <c r="H42" s="359"/>
      <c r="I42" s="360"/>
      <c r="J42" s="356"/>
      <c r="K42" s="371"/>
      <c r="L42" s="361"/>
      <c r="M42" s="39"/>
      <c r="N42" s="9"/>
      <c r="O42" s="86"/>
      <c r="P42" s="9"/>
      <c r="Q42" s="9"/>
      <c r="R42" s="86"/>
      <c r="T42" s="334"/>
    </row>
    <row r="43" spans="1:20" s="7" customFormat="1" ht="14.1" customHeight="1" x14ac:dyDescent="0.2">
      <c r="A43" s="356" t="s">
        <v>51</v>
      </c>
      <c r="B43" s="371"/>
      <c r="C43" s="357">
        <f>[3]Icelandair!$EQ$19</f>
        <v>60</v>
      </c>
      <c r="D43" s="358">
        <f>C43/$C$64</f>
        <v>1.8223234624145787E-3</v>
      </c>
      <c r="E43" s="359">
        <f>[3]Icelandair!$EC$19</f>
        <v>60</v>
      </c>
      <c r="F43" s="360">
        <f>(C43-E43)/E43</f>
        <v>0</v>
      </c>
      <c r="G43" s="359">
        <f>SUM([3]Icelandair!$EL$19:$EQ$19)</f>
        <v>126</v>
      </c>
      <c r="H43" s="359">
        <f>SUM([3]Icelandair!$DX$19:$EC$19)</f>
        <v>90</v>
      </c>
      <c r="I43" s="360">
        <f>(G43-H43)/H43</f>
        <v>0.4</v>
      </c>
      <c r="J43" s="356" t="s">
        <v>51</v>
      </c>
      <c r="K43" s="371"/>
      <c r="L43" s="357">
        <f>[3]Icelandair!$EQ$41</f>
        <v>11790</v>
      </c>
      <c r="M43" s="358">
        <f>L43/$L$64</f>
        <v>3.5150223229259057E-3</v>
      </c>
      <c r="N43" s="359">
        <f>[3]Icelandair!$EC$41</f>
        <v>9944</v>
      </c>
      <c r="O43" s="360">
        <f>(L43-N43)/N43</f>
        <v>0.18563958165728078</v>
      </c>
      <c r="P43" s="359">
        <f>SUM([3]Icelandair!$EL$41:$EQ$41)</f>
        <v>21602</v>
      </c>
      <c r="Q43" s="359">
        <f>SUM([3]Icelandair!$DX$41:$EC$41)</f>
        <v>13969</v>
      </c>
      <c r="R43" s="360">
        <f>(P43-Q43)/Q43</f>
        <v>0.54642422506979738</v>
      </c>
      <c r="T43" s="20"/>
    </row>
    <row r="44" spans="1:20" s="7" customFormat="1" ht="14.1" customHeight="1" x14ac:dyDescent="0.2">
      <c r="A44" s="356"/>
      <c r="B44" s="371"/>
      <c r="C44" s="357"/>
      <c r="D44" s="358"/>
      <c r="E44" s="359"/>
      <c r="F44" s="360"/>
      <c r="G44" s="359"/>
      <c r="H44" s="359"/>
      <c r="I44" s="360"/>
      <c r="J44" s="356"/>
      <c r="K44" s="371"/>
      <c r="L44" s="361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8" t="s">
        <v>135</v>
      </c>
      <c r="B45" s="55"/>
      <c r="C45" s="357">
        <f>SUM(C46:C46)</f>
        <v>1490</v>
      </c>
      <c r="D45" s="358">
        <f>C45/$C$64</f>
        <v>4.5254365983295367E-2</v>
      </c>
      <c r="E45" s="359">
        <f>SUM(E46:E46)</f>
        <v>1368</v>
      </c>
      <c r="F45" s="360">
        <f>(C45-E45)/E45</f>
        <v>8.9181286549707597E-2</v>
      </c>
      <c r="G45" s="357">
        <f>SUM(G46:G46)</f>
        <v>8262</v>
      </c>
      <c r="H45" s="359">
        <f>SUM(H46:H46)</f>
        <v>7616</v>
      </c>
      <c r="I45" s="360">
        <f>(G45-H45)/H45</f>
        <v>8.4821428571428575E-2</v>
      </c>
      <c r="J45" s="356" t="s">
        <v>135</v>
      </c>
      <c r="K45" s="55"/>
      <c r="L45" s="357">
        <f>SUM(L46:L46)</f>
        <v>190056</v>
      </c>
      <c r="M45" s="358">
        <f>L45/$L$64</f>
        <v>5.6662517608651902E-2</v>
      </c>
      <c r="N45" s="359">
        <f>SUM(N46:N46)</f>
        <v>167089</v>
      </c>
      <c r="O45" s="360">
        <f>(L45-N45)/N45</f>
        <v>0.1374536923436013</v>
      </c>
      <c r="P45" s="357">
        <f>SUM(P46:P46)</f>
        <v>1000861</v>
      </c>
      <c r="Q45" s="359">
        <f>SUM(Q46:Q46)</f>
        <v>901044</v>
      </c>
      <c r="R45" s="360">
        <f>(P45-Q45)/Q45</f>
        <v>0.11077927382014641</v>
      </c>
      <c r="T45" s="20"/>
    </row>
    <row r="46" spans="1:20" ht="14.1" customHeight="1" x14ac:dyDescent="0.2">
      <c r="A46" s="368"/>
      <c r="B46" s="55" t="s">
        <v>135</v>
      </c>
      <c r="C46" s="436">
        <f>[3]Southwest!$EQ$19</f>
        <v>1490</v>
      </c>
      <c r="D46" s="437">
        <f>C46/$C$64</f>
        <v>4.5254365983295367E-2</v>
      </c>
      <c r="E46" s="300">
        <f>[3]Southwest!$EC$19</f>
        <v>1368</v>
      </c>
      <c r="F46" s="438">
        <f>(C46-E46)/E46</f>
        <v>8.9181286549707597E-2</v>
      </c>
      <c r="G46" s="300">
        <f>SUM([3]Southwest!$EL$19:$EQ$19)</f>
        <v>8262</v>
      </c>
      <c r="H46" s="300">
        <f>SUM([3]Southwest!$DX$19:$EC$19)</f>
        <v>7616</v>
      </c>
      <c r="I46" s="438">
        <f>(G46-H46)/H46</f>
        <v>8.4821428571428575E-2</v>
      </c>
      <c r="J46" s="356"/>
      <c r="K46" s="55" t="s">
        <v>135</v>
      </c>
      <c r="L46" s="436">
        <f>[3]Southwest!$EQ$41</f>
        <v>190056</v>
      </c>
      <c r="M46" s="437">
        <f>L46/$L$64</f>
        <v>5.6662517608651902E-2</v>
      </c>
      <c r="N46" s="300">
        <f>[3]Southwest!$EC$41</f>
        <v>167089</v>
      </c>
      <c r="O46" s="438">
        <f>(L46-N46)/N46</f>
        <v>0.1374536923436013</v>
      </c>
      <c r="P46" s="300">
        <f>SUM([3]Southwest!$EL$41:$EQ$41)</f>
        <v>1000861</v>
      </c>
      <c r="Q46" s="300">
        <f>SUM([3]Southwest!$DX$41:$EC$41)</f>
        <v>901044</v>
      </c>
      <c r="R46" s="438">
        <f>(P46-Q46)/Q46</f>
        <v>0.11077927382014641</v>
      </c>
      <c r="T46" s="20"/>
    </row>
    <row r="47" spans="1:20" ht="14.1" customHeight="1" x14ac:dyDescent="0.2">
      <c r="A47" s="356"/>
      <c r="B47" s="55"/>
      <c r="C47" s="357"/>
      <c r="D47" s="358"/>
      <c r="E47" s="359"/>
      <c r="F47" s="360"/>
      <c r="G47" s="359"/>
      <c r="H47" s="359"/>
      <c r="I47" s="360"/>
      <c r="J47" s="356"/>
      <c r="K47" s="55"/>
      <c r="L47" s="361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6" t="s">
        <v>166</v>
      </c>
      <c r="B48" s="55"/>
      <c r="C48" s="357">
        <f>[3]Spirit!$EQ$19</f>
        <v>763</v>
      </c>
      <c r="D48" s="358">
        <f>C48/$C$64</f>
        <v>2.3173880030372056E-2</v>
      </c>
      <c r="E48" s="359">
        <f>[3]Spirit!$EC$19</f>
        <v>553</v>
      </c>
      <c r="F48" s="360">
        <f>(C48-E48)/E48</f>
        <v>0.379746835443038</v>
      </c>
      <c r="G48" s="359">
        <f>SUM([3]Spirit!$EL$19:$EQ$19)</f>
        <v>4227</v>
      </c>
      <c r="H48" s="359">
        <f>SUM([3]Spirit!$DX$19:$EC$19)</f>
        <v>3746</v>
      </c>
      <c r="I48" s="360">
        <f>(G48-H48)/H48</f>
        <v>0.12840363053924186</v>
      </c>
      <c r="J48" s="356" t="s">
        <v>166</v>
      </c>
      <c r="K48" s="55"/>
      <c r="L48" s="357">
        <f>[3]Spirit!$EQ$41</f>
        <v>105568</v>
      </c>
      <c r="M48" s="358">
        <f>L48/$L$64</f>
        <v>3.1473611245686345E-2</v>
      </c>
      <c r="N48" s="359">
        <f>[3]Spirit!$EC$41</f>
        <v>71006</v>
      </c>
      <c r="O48" s="360">
        <f>(L48-N48)/N48</f>
        <v>0.48674759879446805</v>
      </c>
      <c r="P48" s="359">
        <f>SUM([3]Spirit!$EL$41:$EQ$41)</f>
        <v>595248</v>
      </c>
      <c r="Q48" s="359">
        <f>SUM([3]Spirit!$DX$41:$EC$41)</f>
        <v>507704</v>
      </c>
      <c r="R48" s="360">
        <f>(P48-Q48)/Q48</f>
        <v>0.17243118037281566</v>
      </c>
      <c r="T48" s="20"/>
    </row>
    <row r="49" spans="1:20" ht="14.1" customHeight="1" x14ac:dyDescent="0.2">
      <c r="A49" s="356"/>
      <c r="B49" s="55"/>
      <c r="C49" s="357"/>
      <c r="D49" s="358"/>
      <c r="E49" s="359"/>
      <c r="F49" s="360"/>
      <c r="G49" s="359"/>
      <c r="H49" s="359"/>
      <c r="I49" s="360"/>
      <c r="J49" s="356"/>
      <c r="K49" s="55"/>
      <c r="L49" s="361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6" t="s">
        <v>52</v>
      </c>
      <c r="B50" s="371"/>
      <c r="C50" s="357">
        <f>'[3]Sun Country'!$EQ$19</f>
        <v>1550</v>
      </c>
      <c r="D50" s="358">
        <f>C50/$C$64</f>
        <v>4.7076689445709946E-2</v>
      </c>
      <c r="E50" s="359">
        <f>'[3]Sun Country'!$EC$19</f>
        <v>1452</v>
      </c>
      <c r="F50" s="360">
        <f>(C50-E50)/E50</f>
        <v>6.7493112947658404E-2</v>
      </c>
      <c r="G50" s="359">
        <f>SUM('[3]Sun Country'!$EL$19:$EQ$19)</f>
        <v>9957</v>
      </c>
      <c r="H50" s="359">
        <f>SUM('[3]Sun Country'!$DX$19:$EC$19)</f>
        <v>9665</v>
      </c>
      <c r="I50" s="360">
        <f>(G50-H50)/H50</f>
        <v>3.0212105535437146E-2</v>
      </c>
      <c r="J50" s="356" t="s">
        <v>52</v>
      </c>
      <c r="K50" s="371"/>
      <c r="L50" s="357">
        <f>'[3]Sun Country'!$EQ$41</f>
        <v>172872</v>
      </c>
      <c r="M50" s="358">
        <f>L50/$L$64</f>
        <v>5.1539350212794502E-2</v>
      </c>
      <c r="N50" s="359">
        <f>'[3]Sun Country'!$EC$41</f>
        <v>162218</v>
      </c>
      <c r="O50" s="360">
        <f>(L50-N50)/N50</f>
        <v>6.5677051868473293E-2</v>
      </c>
      <c r="P50" s="359">
        <f>SUM('[3]Sun Country'!$EL$41:$EQ$41)</f>
        <v>1121816</v>
      </c>
      <c r="Q50" s="359">
        <f>SUM('[3]Sun Country'!$DX$41:$EC$41)</f>
        <v>1073474</v>
      </c>
      <c r="R50" s="360">
        <f>(P50-Q50)/Q50</f>
        <v>4.503322856445522E-2</v>
      </c>
      <c r="T50" s="20"/>
    </row>
    <row r="51" spans="1:20" s="7" customFormat="1" ht="14.1" customHeight="1" x14ac:dyDescent="0.2">
      <c r="A51" s="356"/>
      <c r="B51" s="371"/>
      <c r="C51" s="357"/>
      <c r="D51" s="358"/>
      <c r="E51" s="359"/>
      <c r="F51" s="360"/>
      <c r="G51" s="359"/>
      <c r="H51" s="359"/>
      <c r="I51" s="360"/>
      <c r="J51" s="356"/>
      <c r="K51" s="371"/>
      <c r="L51" s="361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6" t="s">
        <v>21</v>
      </c>
      <c r="B52" s="364"/>
      <c r="C52" s="357">
        <f>SUM(C53:C59)</f>
        <v>1788</v>
      </c>
      <c r="D52" s="358">
        <f>C52/$C$64</f>
        <v>5.4305239179954445E-2</v>
      </c>
      <c r="E52" s="359">
        <f>SUM(E53:E59)</f>
        <v>1678</v>
      </c>
      <c r="F52" s="360">
        <f t="shared" ref="F52:F59" si="36">(C52-E52)/E52</f>
        <v>6.5554231227651971E-2</v>
      </c>
      <c r="G52" s="359">
        <f>SUM(G53:G59)</f>
        <v>9620</v>
      </c>
      <c r="H52" s="359">
        <f>SUM(H53:H59)</f>
        <v>9226</v>
      </c>
      <c r="I52" s="360">
        <f t="shared" ref="I52:I59" si="37">(G52-H52)/H52</f>
        <v>4.2705397788857576E-2</v>
      </c>
      <c r="J52" s="356" t="s">
        <v>21</v>
      </c>
      <c r="K52" s="364"/>
      <c r="L52" s="357">
        <f>SUM(L53:L59)</f>
        <v>167072</v>
      </c>
      <c r="M52" s="358">
        <f>L52/$L$64</f>
        <v>4.9810161962330526E-2</v>
      </c>
      <c r="N52" s="359">
        <f>SUM(N53:N59)</f>
        <v>143721</v>
      </c>
      <c r="O52" s="360">
        <f t="shared" ref="O52:O59" si="38">(L52-N52)/N52</f>
        <v>0.16247451659813111</v>
      </c>
      <c r="P52" s="359">
        <f>SUM(P53:P59)</f>
        <v>794791</v>
      </c>
      <c r="Q52" s="359">
        <f>SUM(Q53:Q59)</f>
        <v>703872</v>
      </c>
      <c r="R52" s="360">
        <f t="shared" ref="R52:R59" si="39">(P52-Q52)/Q52</f>
        <v>0.12916979223495181</v>
      </c>
      <c r="T52" s="20"/>
    </row>
    <row r="53" spans="1:20" s="7" customFormat="1" ht="14.1" customHeight="1" x14ac:dyDescent="0.2">
      <c r="A53" s="372"/>
      <c r="B53" s="440" t="s">
        <v>21</v>
      </c>
      <c r="C53" s="361">
        <f>[3]United!$EQ$19</f>
        <v>702</v>
      </c>
      <c r="D53" s="39">
        <f>C53/$C$64</f>
        <v>2.1321184510250571E-2</v>
      </c>
      <c r="E53" s="9">
        <f>[3]United!$EC$19+[3]Continental!$EC$19</f>
        <v>760</v>
      </c>
      <c r="F53" s="86">
        <f t="shared" si="36"/>
        <v>-7.6315789473684212E-2</v>
      </c>
      <c r="G53" s="9">
        <f>SUM([3]United!$EL$19:$EQ$19)</f>
        <v>3370</v>
      </c>
      <c r="H53" s="9">
        <f>SUM([3]United!$DX$19:$EC$19)+SUM([3]Continental!$DX$19:$EC$19)</f>
        <v>3168</v>
      </c>
      <c r="I53" s="86">
        <f t="shared" si="37"/>
        <v>6.3762626262626257E-2</v>
      </c>
      <c r="J53" s="372"/>
      <c r="K53" s="440" t="s">
        <v>21</v>
      </c>
      <c r="L53" s="361">
        <f>[3]United!$EQ$41</f>
        <v>94175</v>
      </c>
      <c r="M53" s="39">
        <f>L53/$L$64</f>
        <v>2.8076948877145645E-2</v>
      </c>
      <c r="N53" s="9">
        <f>[3]United!$EC$41+[3]Continental!$EC$41</f>
        <v>90734</v>
      </c>
      <c r="O53" s="86">
        <f t="shared" si="38"/>
        <v>3.7924041704322523E-2</v>
      </c>
      <c r="P53" s="9">
        <f>SUM([3]United!$EL$41:$EQ$41)</f>
        <v>410652</v>
      </c>
      <c r="Q53" s="9">
        <f>SUM([3]United!$DX$41:$EC$41)+SUM([3]Continental!$DX$41:$EC$41)</f>
        <v>370124</v>
      </c>
      <c r="R53" s="86">
        <f t="shared" si="39"/>
        <v>0.10949843836119787</v>
      </c>
      <c r="T53" s="20"/>
    </row>
    <row r="54" spans="1:20" s="7" customFormat="1" ht="14.1" customHeight="1" x14ac:dyDescent="0.2">
      <c r="A54" s="372"/>
      <c r="B54" s="440" t="s">
        <v>197</v>
      </c>
      <c r="C54" s="361">
        <f>'[3]Continental Express'!$EQ$19</f>
        <v>26</v>
      </c>
      <c r="D54" s="39">
        <f>C54/$C$63</f>
        <v>1.8381053375751148E-3</v>
      </c>
      <c r="E54" s="9">
        <f>'[3]Continental Express'!$EC$19</f>
        <v>240</v>
      </c>
      <c r="F54" s="86">
        <f t="shared" si="36"/>
        <v>-0.89166666666666672</v>
      </c>
      <c r="G54" s="9">
        <f>SUM('[3]Continental Express'!$EL$19:$EQ$19)</f>
        <v>1106</v>
      </c>
      <c r="H54" s="9">
        <f>SUM('[3]Continental Express'!$DX$19:$EC$19)</f>
        <v>1622</v>
      </c>
      <c r="I54" s="86">
        <f t="shared" si="37"/>
        <v>-0.31812577065351416</v>
      </c>
      <c r="J54" s="53"/>
      <c r="K54" s="440" t="s">
        <v>197</v>
      </c>
      <c r="L54" s="361">
        <f>'[3]Continental Express'!$EQ$41</f>
        <v>1161</v>
      </c>
      <c r="M54" s="39">
        <f>L54/$L$63</f>
        <v>1.5402535514717978E-3</v>
      </c>
      <c r="N54" s="9">
        <f>'[3]Continental Express'!$EC$41</f>
        <v>10011</v>
      </c>
      <c r="O54" s="86">
        <f t="shared" si="38"/>
        <v>-0.88402756967335927</v>
      </c>
      <c r="P54" s="9">
        <f>SUM('[3]Continental Express'!$EL$41:$EQ$41)</f>
        <v>72988</v>
      </c>
      <c r="Q54" s="9">
        <f>SUM('[3]Continental Express'!$DX$41:$EC$41)</f>
        <v>64269</v>
      </c>
      <c r="R54" s="86">
        <f t="shared" si="39"/>
        <v>0.13566416157089733</v>
      </c>
      <c r="T54" s="20"/>
    </row>
    <row r="55" spans="1:20" s="7" customFormat="1" ht="14.1" customHeight="1" x14ac:dyDescent="0.2">
      <c r="A55" s="372"/>
      <c r="B55" s="365" t="s">
        <v>165</v>
      </c>
      <c r="C55" s="361">
        <f>'[3]Go Jet_UA'!$EQ$19</f>
        <v>56</v>
      </c>
      <c r="D55" s="39">
        <f>C55/$C$64</f>
        <v>1.7008352315869401E-3</v>
      </c>
      <c r="E55" s="9">
        <f>'[3]Go Jet_UA'!$EC$19</f>
        <v>56</v>
      </c>
      <c r="F55" s="86">
        <f t="shared" si="36"/>
        <v>0</v>
      </c>
      <c r="G55" s="9">
        <f>SUM('[3]Go Jet_UA'!$EL$19:$EQ$19)</f>
        <v>238</v>
      </c>
      <c r="H55" s="9">
        <f>SUM('[3]Go Jet_UA'!$DX$19:$EC$19)</f>
        <v>276</v>
      </c>
      <c r="I55" s="86">
        <f t="shared" si="37"/>
        <v>-0.13768115942028986</v>
      </c>
      <c r="J55" s="372"/>
      <c r="K55" s="365" t="s">
        <v>165</v>
      </c>
      <c r="L55" s="361">
        <f>'[3]Go Jet_UA'!$EQ$41</f>
        <v>3585</v>
      </c>
      <c r="M55" s="39">
        <f>L55/$L$64</f>
        <v>1.0688172203298875E-3</v>
      </c>
      <c r="N55" s="9">
        <f>'[3]Go Jet_UA'!$EC$41</f>
        <v>3393</v>
      </c>
      <c r="O55" s="86">
        <f t="shared" si="38"/>
        <v>5.6587091069849688E-2</v>
      </c>
      <c r="P55" s="9">
        <f>SUM('[3]Go Jet_UA'!$EL$41:$EQ$41)</f>
        <v>15017</v>
      </c>
      <c r="Q55" s="9">
        <f>SUM('[3]Go Jet_UA'!$DX$41:$EC$41)</f>
        <v>17004</v>
      </c>
      <c r="R55" s="86">
        <f t="shared" si="39"/>
        <v>-0.11685485768054575</v>
      </c>
      <c r="T55" s="20"/>
    </row>
    <row r="56" spans="1:20" s="7" customFormat="1" ht="14.1" customHeight="1" x14ac:dyDescent="0.2">
      <c r="A56" s="372"/>
      <c r="B56" s="365" t="s">
        <v>54</v>
      </c>
      <c r="C56" s="361">
        <f>[3]MESA_UA!$EQ$19</f>
        <v>322</v>
      </c>
      <c r="D56" s="39">
        <f>C56/$C$64</f>
        <v>9.7798025816249051E-3</v>
      </c>
      <c r="E56" s="9">
        <f>[3]MESA_UA!$EC$19</f>
        <v>296</v>
      </c>
      <c r="F56" s="86">
        <f>(C56-E56)/E56</f>
        <v>8.7837837837837843E-2</v>
      </c>
      <c r="G56" s="9">
        <f>SUM([3]MESA_UA!$EL$19:$EQ$19)</f>
        <v>1350</v>
      </c>
      <c r="H56" s="9">
        <f>SUM([3]MESA_UA!$DX$19:$EC$19)</f>
        <v>1318</v>
      </c>
      <c r="I56" s="86">
        <f>(G56-H56)/H56</f>
        <v>2.4279210925644917E-2</v>
      </c>
      <c r="J56" s="372"/>
      <c r="K56" s="365" t="s">
        <v>54</v>
      </c>
      <c r="L56" s="361">
        <f>[3]MESA_UA!$EQ$41</f>
        <v>22228</v>
      </c>
      <c r="M56" s="39">
        <f>L56/$L$64</f>
        <v>6.6269649019505541E-3</v>
      </c>
      <c r="N56" s="9">
        <f>[3]MESA_UA!$EC$41</f>
        <v>18745</v>
      </c>
      <c r="O56" s="86">
        <f>(L56-N56)/N56</f>
        <v>0.18580954921312351</v>
      </c>
      <c r="P56" s="9">
        <f>SUM([3]MESA_UA!$EL$41:$EQ$41)</f>
        <v>72986</v>
      </c>
      <c r="Q56" s="9">
        <f>SUM([3]MESA_UA!$DX$41:$EC$41)</f>
        <v>77953</v>
      </c>
      <c r="R56" s="86">
        <f t="shared" si="39"/>
        <v>-6.3717881287442435E-2</v>
      </c>
      <c r="T56" s="20"/>
    </row>
    <row r="57" spans="1:20" ht="14.1" customHeight="1" x14ac:dyDescent="0.2">
      <c r="A57" s="53"/>
      <c r="B57" s="440" t="s">
        <v>55</v>
      </c>
      <c r="C57" s="361">
        <f>[3]Republic_UA!$EQ$19</f>
        <v>200</v>
      </c>
      <c r="D57" s="39">
        <f t="shared" ref="D57" si="40">C57/$C$64</f>
        <v>6.0744115413819289E-3</v>
      </c>
      <c r="E57" s="9">
        <f>[3]Republic_UA!$EC$19</f>
        <v>0</v>
      </c>
      <c r="F57" s="86" t="e">
        <f t="shared" ref="F57" si="41">(C57-E57)/E57</f>
        <v>#DIV/0!</v>
      </c>
      <c r="G57" s="9">
        <f>SUM([3]Republic_UA!$EL$19:$EQ$19)</f>
        <v>878</v>
      </c>
      <c r="H57" s="9">
        <f>SUM([3]Republic_UA!$DX$19:$EC$19)</f>
        <v>0</v>
      </c>
      <c r="I57" s="86" t="e">
        <f t="shared" ref="I57" si="42">(G57-H57)/H57</f>
        <v>#DIV/0!</v>
      </c>
      <c r="J57" s="372"/>
      <c r="K57" s="367" t="s">
        <v>213</v>
      </c>
      <c r="L57" s="361">
        <f>[3]Republic_UA!$EQ$41</f>
        <v>13071</v>
      </c>
      <c r="M57" s="39">
        <f t="shared" ref="M57" si="43">L57/$L$64</f>
        <v>3.896934417554242E-3</v>
      </c>
      <c r="N57" s="9">
        <f>[3]Republic_UA!$EC$41</f>
        <v>0</v>
      </c>
      <c r="O57" s="86" t="e">
        <f t="shared" ref="O57" si="44">(L57-N57)/N57</f>
        <v>#DIV/0!</v>
      </c>
      <c r="P57" s="9">
        <f>SUM([3]Republic_UA!$EL$41:$EQ$41)</f>
        <v>52714</v>
      </c>
      <c r="Q57" s="9">
        <f>SUM([3]Republic_UA!$DX$41:$EC$41)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2"/>
      <c r="B58" s="365" t="s">
        <v>103</v>
      </c>
      <c r="C58" s="361">
        <f>'[3]Sky West_UA'!$EQ$19</f>
        <v>456</v>
      </c>
      <c r="D58" s="39">
        <f>C58/$C$64</f>
        <v>1.3849658314350798E-2</v>
      </c>
      <c r="E58" s="9">
        <f>'[3]Sky West_UA'!$EC$19+'[3]Sky West_CO'!$EC$19</f>
        <v>246</v>
      </c>
      <c r="F58" s="86">
        <f t="shared" si="36"/>
        <v>0.85365853658536583</v>
      </c>
      <c r="G58" s="9">
        <f>SUM('[3]Sky West_UA'!$EL$19:$EQ$19)</f>
        <v>2164</v>
      </c>
      <c r="H58" s="9">
        <f>SUM('[3]Sky West_UA'!$DX$19:$EC$19)+SUM('[3]Sky West_CO'!$DX$19:$EC$19)</f>
        <v>1764</v>
      </c>
      <c r="I58" s="86">
        <f t="shared" si="37"/>
        <v>0.22675736961451248</v>
      </c>
      <c r="J58" s="372"/>
      <c r="K58" s="365" t="s">
        <v>103</v>
      </c>
      <c r="L58" s="361">
        <f>'[3]Sky West_UA'!$EQ$41</f>
        <v>31143</v>
      </c>
      <c r="M58" s="39">
        <f>L58/$L$64</f>
        <v>9.2848464972757824E-3</v>
      </c>
      <c r="N58" s="9">
        <f>'[3]Sky West_UA'!$EC$41+'[3]Sky West_CO'!$EC$41</f>
        <v>15751</v>
      </c>
      <c r="O58" s="86">
        <f t="shared" si="38"/>
        <v>0.97720779633039168</v>
      </c>
      <c r="P58" s="9">
        <f>SUM('[3]Sky West_UA'!$EL$41:$EQ$41)</f>
        <v>140378</v>
      </c>
      <c r="Q58" s="9">
        <f>SUM('[3]Sky West_UA'!$DX$41:$EC$41)+SUM('[3]Sky West_CO'!$DX$41:$EC$41)</f>
        <v>111301</v>
      </c>
      <c r="R58" s="86">
        <f t="shared" si="39"/>
        <v>0.26124652968077555</v>
      </c>
      <c r="T58" s="20"/>
    </row>
    <row r="59" spans="1:20" s="7" customFormat="1" ht="14.1" customHeight="1" x14ac:dyDescent="0.2">
      <c r="A59" s="372"/>
      <c r="B59" s="367" t="s">
        <v>138</v>
      </c>
      <c r="C59" s="361">
        <f>'[3]Shuttle America'!$EQ$19</f>
        <v>26</v>
      </c>
      <c r="D59" s="39">
        <f>C59/$C$64</f>
        <v>7.8967350037965076E-4</v>
      </c>
      <c r="E59" s="9">
        <f>'[3]Shuttle America'!$EC$19</f>
        <v>80</v>
      </c>
      <c r="F59" s="86">
        <f t="shared" si="36"/>
        <v>-0.67500000000000004</v>
      </c>
      <c r="G59" s="9">
        <f>SUM('[3]Shuttle America'!$EL$19:$EQ$19)</f>
        <v>514</v>
      </c>
      <c r="H59" s="9">
        <f>SUM('[3]Shuttle America'!$DX$19:$EC$19)</f>
        <v>1078</v>
      </c>
      <c r="I59" s="86">
        <f t="shared" si="37"/>
        <v>-0.52319109461966606</v>
      </c>
      <c r="J59" s="372"/>
      <c r="K59" s="367" t="s">
        <v>138</v>
      </c>
      <c r="L59" s="361">
        <f>'[3]Shuttle America'!$EQ$41</f>
        <v>1709</v>
      </c>
      <c r="M59" s="39">
        <f>L59/$L$64</f>
        <v>5.0951426207636753E-4</v>
      </c>
      <c r="N59" s="9">
        <f>'[3]Shuttle America'!$EC$41</f>
        <v>5087</v>
      </c>
      <c r="O59" s="86">
        <f t="shared" si="38"/>
        <v>-0.66404560644780819</v>
      </c>
      <c r="P59" s="9">
        <f>SUM('[3]Shuttle America'!$EL$41:$EQ$41)</f>
        <v>30056</v>
      </c>
      <c r="Q59" s="9">
        <f>SUM('[3]Shuttle America'!$DX$41:$EC$41)</f>
        <v>63221</v>
      </c>
      <c r="R59" s="86">
        <f t="shared" si="39"/>
        <v>-0.5245883488081492</v>
      </c>
      <c r="T59" s="20"/>
    </row>
    <row r="60" spans="1:20" s="7" customFormat="1" ht="14.1" customHeight="1" thickBot="1" x14ac:dyDescent="0.25">
      <c r="A60" s="372"/>
      <c r="B60" s="367"/>
      <c r="C60" s="373"/>
      <c r="D60" s="374"/>
      <c r="E60" s="375"/>
      <c r="F60" s="376"/>
      <c r="G60" s="377"/>
      <c r="H60" s="377"/>
      <c r="I60" s="376"/>
      <c r="J60" s="447"/>
      <c r="K60" s="448"/>
      <c r="L60" s="373"/>
      <c r="M60" s="374"/>
      <c r="N60" s="377"/>
      <c r="O60" s="376"/>
      <c r="P60" s="377"/>
      <c r="Q60" s="377"/>
      <c r="R60" s="376"/>
      <c r="T60" s="20"/>
    </row>
    <row r="61" spans="1:20" s="229" customFormat="1" ht="14.1" customHeight="1" thickBot="1" x14ac:dyDescent="0.25">
      <c r="B61" s="264"/>
      <c r="C61" s="359"/>
      <c r="D61" s="358"/>
      <c r="E61" s="359"/>
      <c r="F61" s="358"/>
      <c r="G61" s="446"/>
      <c r="H61" s="359"/>
      <c r="I61" s="358"/>
      <c r="J61" s="378"/>
      <c r="K61" s="264"/>
      <c r="L61" s="379"/>
      <c r="M61" s="378"/>
      <c r="N61" s="380"/>
      <c r="O61" s="378"/>
      <c r="P61" s="230"/>
      <c r="Q61" s="230"/>
      <c r="R61" s="230"/>
      <c r="T61" s="228"/>
    </row>
    <row r="62" spans="1:20" ht="14.1" customHeight="1" x14ac:dyDescent="0.2">
      <c r="B62" s="381" t="s">
        <v>140</v>
      </c>
      <c r="C62" s="459">
        <f>+C64-C63</f>
        <v>18780</v>
      </c>
      <c r="D62" s="471">
        <f>C62/$C$64</f>
        <v>0.57038724373576311</v>
      </c>
      <c r="E62" s="461">
        <f>+E64-E63</f>
        <v>18754</v>
      </c>
      <c r="F62" s="462">
        <f>(C62-E62)/E62</f>
        <v>1.3863709075397248E-3</v>
      </c>
      <c r="G62" s="459">
        <f>+G64-G63</f>
        <v>102823</v>
      </c>
      <c r="H62" s="461">
        <f>+H64-H63</f>
        <v>98524</v>
      </c>
      <c r="I62" s="468">
        <f>(G62-H62)/H62</f>
        <v>4.3634038406885629E-2</v>
      </c>
      <c r="K62" s="381" t="s">
        <v>140</v>
      </c>
      <c r="L62" s="459">
        <f>+L64-L63</f>
        <v>2600403</v>
      </c>
      <c r="M62" s="460">
        <f>+L62/L64</f>
        <v>0.77527350242608095</v>
      </c>
      <c r="N62" s="461">
        <f>+N64-N63</f>
        <v>2547321</v>
      </c>
      <c r="O62" s="462">
        <f>(L62-N62)/N62</f>
        <v>2.0838363127379706E-2</v>
      </c>
      <c r="P62" s="459">
        <f>+P64-P63</f>
        <v>13555333</v>
      </c>
      <c r="Q62" s="461">
        <f>+Q64-Q63</f>
        <v>12907046</v>
      </c>
      <c r="R62" s="468">
        <f>(P62-Q62)/Q62</f>
        <v>5.0227371933128616E-2</v>
      </c>
    </row>
    <row r="63" spans="1:20" ht="14.1" customHeight="1" x14ac:dyDescent="0.2">
      <c r="B63" s="333" t="s">
        <v>141</v>
      </c>
      <c r="C63" s="463">
        <f>C59+C37+C35+C33+C32+C36+C20+C58+C55+C34+C54+C56+C24+C23+C21+C15+C7+C6+C57+C22</f>
        <v>14145</v>
      </c>
      <c r="D63" s="435">
        <f>C63/$C$64</f>
        <v>0.42961275626423689</v>
      </c>
      <c r="E63" s="382">
        <f>E59+E37+E35+E33+E32+E36+E20+E58+E55+E34+E54+E56+E24+E23+E21+E15+E7+E6+E57</f>
        <v>13523</v>
      </c>
      <c r="F63" s="384">
        <f>(C63-E63)/E63</f>
        <v>4.5995711010870369E-2</v>
      </c>
      <c r="G63" s="463">
        <f>G59+G37+G35+G33+G32+G36+G20+G58+G55+G34+G54+G56+G24+G23+G21+G15+G7+G6+G57+G22</f>
        <v>80632</v>
      </c>
      <c r="H63" s="463">
        <f>H59+H37+H35+H33+H32+H36+H20+H58+H55+H34+H54+H56+H24+H23+H21+H15+H7+H6+H57+H22</f>
        <v>82193</v>
      </c>
      <c r="I63" s="469">
        <f>(G63-H63)/H63</f>
        <v>-1.8991884953706521E-2</v>
      </c>
      <c r="K63" s="333" t="s">
        <v>141</v>
      </c>
      <c r="L63" s="463">
        <f>L59+L37+L35+L33+L32+L36+L20+L58+L55+L34+L54+L56+L24+L23+L21+L15+L7+L6+L57+L22</f>
        <v>753772</v>
      </c>
      <c r="M63" s="383">
        <f>+L63/L64</f>
        <v>0.22472649757391908</v>
      </c>
      <c r="N63" s="382">
        <f>N59+N37+N35+N33+N32+N36+N20+N58+N55+N34+N54+N56+N24+N23+N21+N15+N7+N6+N57</f>
        <v>728621</v>
      </c>
      <c r="O63" s="384">
        <f>(L63-N63)/N63</f>
        <v>3.4518631771524567E-2</v>
      </c>
      <c r="P63" s="463">
        <f>P59+P37+P35+P33+P32+P36+P20+P58+P55+P34+P54+P56+P24+P23+P21+P15+P7+P6+P57+P22</f>
        <v>4157625</v>
      </c>
      <c r="Q63" s="463">
        <f>Q59+Q37+Q35+Q33+Q32+Q36+Q20+Q58+Q55+Q34+Q54+Q56+Q24+Q23+Q21+Q15+Q7+Q6+Q57+Q22</f>
        <v>4221856</v>
      </c>
      <c r="R63" s="469">
        <f>(P63-Q63)/Q63</f>
        <v>-1.5213924870957228E-2</v>
      </c>
    </row>
    <row r="64" spans="1:20" ht="14.1" customHeight="1" thickBot="1" x14ac:dyDescent="0.25">
      <c r="B64" s="333" t="s">
        <v>142</v>
      </c>
      <c r="C64" s="464">
        <f>C52+C50+C45+C43+C39+C30+C17+C13+C4+C41+C48+C28+C26+C9+C11</f>
        <v>32925</v>
      </c>
      <c r="D64" s="472">
        <f>+C64/C64</f>
        <v>1</v>
      </c>
      <c r="E64" s="466">
        <f>E52+E50+E45+E43+E39+E30+E17+E13+E4+E41+E48+E28+E26+E11+E9</f>
        <v>32277</v>
      </c>
      <c r="F64" s="467">
        <f>(C64-E64)/E64</f>
        <v>2.0076215261641415E-2</v>
      </c>
      <c r="G64" s="464">
        <f>G52+G50+G45+G43+G39+G30+G17+G13+G4+G41+G48+G28+G26+G11+G9</f>
        <v>183455</v>
      </c>
      <c r="H64" s="464">
        <f>H52+H50+H45+H43+H39+H30+H17+H13+H4+H41+H48+H28+H26+H11+H9</f>
        <v>180717</v>
      </c>
      <c r="I64" s="470">
        <f>(G64-H64)/H64</f>
        <v>1.5150760581461623E-2</v>
      </c>
      <c r="K64" s="333" t="s">
        <v>142</v>
      </c>
      <c r="L64" s="464">
        <f>L52+L50+L45+L43+L39+L30+L17+L13+L4+L41+L48+L9+L11+L26+L28</f>
        <v>3354175</v>
      </c>
      <c r="M64" s="465">
        <f>+L64/L64</f>
        <v>1</v>
      </c>
      <c r="N64" s="466">
        <f>N52+N50+N45+N43+N39+N30+N17+N13+N4+N41+N48+N9+N11+N26+N28</f>
        <v>3275942</v>
      </c>
      <c r="O64" s="467">
        <f>(L64-N64)/N64</f>
        <v>2.3881069933472571E-2</v>
      </c>
      <c r="P64" s="464">
        <f>P52+P50+P45+P43+P39+P30+P17+P13+P4+P41+P48+P11+P9+P26+P28</f>
        <v>17712958</v>
      </c>
      <c r="Q64" s="464">
        <f>Q52+Q50+Q45+Q43+Q39+Q30+Q17+Q13+Q4+Q41+Q48+Q11+Q9+Q26+Q28</f>
        <v>17128902</v>
      </c>
      <c r="R64" s="470">
        <f>(P64-Q64)/Q64</f>
        <v>3.4097690558332346E-2</v>
      </c>
    </row>
    <row r="65" spans="2:18" x14ac:dyDescent="0.2">
      <c r="B65" s="33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264"/>
      <c r="D66" s="4"/>
      <c r="E66" s="425"/>
      <c r="F66" s="227"/>
      <c r="G66" s="4"/>
      <c r="H66" s="4"/>
      <c r="I66"/>
      <c r="J66"/>
      <c r="K66"/>
      <c r="M66"/>
      <c r="O66"/>
      <c r="P66" s="2"/>
      <c r="Q66" s="2"/>
    </row>
    <row r="67" spans="2:18" x14ac:dyDescent="0.2">
      <c r="B67" s="333"/>
      <c r="D67" s="4"/>
      <c r="E67" s="425"/>
      <c r="F67" s="227"/>
      <c r="G67" s="4"/>
      <c r="H67" s="4"/>
      <c r="I67"/>
      <c r="J67"/>
      <c r="K67"/>
      <c r="M67"/>
      <c r="O67"/>
      <c r="P67" s="2"/>
      <c r="Q67" s="2"/>
    </row>
    <row r="68" spans="2:18" x14ac:dyDescent="0.2">
      <c r="B68" s="264"/>
      <c r="D68" s="4"/>
      <c r="E68" s="425"/>
      <c r="F68" s="227"/>
      <c r="G68" s="4"/>
      <c r="H68" s="4"/>
      <c r="I68"/>
      <c r="J68"/>
      <c r="K68"/>
      <c r="M68"/>
      <c r="O68"/>
      <c r="P68" s="2"/>
      <c r="Q68" s="2"/>
    </row>
    <row r="69" spans="2:18" x14ac:dyDescent="0.2">
      <c r="D69" s="4"/>
      <c r="E69" s="227"/>
      <c r="F69" s="227"/>
      <c r="G69" s="4"/>
      <c r="H69" s="7"/>
      <c r="I69"/>
      <c r="J69"/>
      <c r="K69"/>
      <c r="L69"/>
      <c r="M69"/>
      <c r="N69"/>
      <c r="O69"/>
      <c r="P69" s="130"/>
    </row>
    <row r="70" spans="2:18" x14ac:dyDescent="0.2">
      <c r="D70" s="4"/>
      <c r="E70" s="227"/>
      <c r="F70" s="227"/>
      <c r="G70" s="4"/>
      <c r="H70" s="7"/>
      <c r="I70"/>
      <c r="J70"/>
      <c r="K70"/>
      <c r="M70"/>
      <c r="N70"/>
      <c r="O70"/>
    </row>
    <row r="71" spans="2:18" x14ac:dyDescent="0.2">
      <c r="D71" s="4"/>
      <c r="E71" s="3"/>
      <c r="G71" s="4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D138" s="2"/>
      <c r="E138" s="3"/>
      <c r="G138"/>
      <c r="H138"/>
      <c r="I138"/>
      <c r="J138"/>
      <c r="K138"/>
      <c r="L138"/>
      <c r="M138"/>
      <c r="N138"/>
      <c r="O138"/>
    </row>
    <row r="139" spans="4:15" x14ac:dyDescent="0.2">
      <c r="D139" s="2"/>
      <c r="E139" s="3"/>
      <c r="G139"/>
      <c r="H139"/>
      <c r="I139"/>
      <c r="J139"/>
      <c r="K139"/>
      <c r="L139"/>
      <c r="M139"/>
      <c r="N139"/>
      <c r="O139"/>
    </row>
    <row r="140" spans="4:15" x14ac:dyDescent="0.2">
      <c r="D140" s="2"/>
      <c r="E140" s="3"/>
      <c r="G140"/>
      <c r="H140"/>
      <c r="I140"/>
      <c r="J140"/>
      <c r="K140"/>
      <c r="L140"/>
      <c r="M140"/>
      <c r="N140"/>
      <c r="O140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F1190" s="37"/>
      <c r="G1190" s="231"/>
      <c r="H1190" s="5"/>
      <c r="I1190" s="37"/>
      <c r="K1190" s="11"/>
    </row>
    <row r="1191" spans="6:11" x14ac:dyDescent="0.2">
      <c r="F1191" s="37"/>
      <c r="G1191" s="231"/>
      <c r="H1191" s="5"/>
      <c r="I1191" s="37"/>
      <c r="K1191" s="11"/>
    </row>
    <row r="1192" spans="6:11" x14ac:dyDescent="0.2">
      <c r="F1192" s="37"/>
      <c r="G1192" s="231"/>
      <c r="H1192" s="5"/>
      <c r="I1192" s="37"/>
      <c r="K1192" s="11"/>
    </row>
    <row r="1193" spans="6:11" x14ac:dyDescent="0.2">
      <c r="F1193" s="37"/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  <row r="4705" spans="7:11" x14ac:dyDescent="0.2">
      <c r="G4705" s="231"/>
      <c r="H4705" s="5"/>
      <c r="I4705" s="37"/>
      <c r="K4705" s="11"/>
    </row>
    <row r="4706" spans="7:11" x14ac:dyDescent="0.2">
      <c r="G4706" s="231"/>
      <c r="H4706" s="5"/>
      <c r="I4706" s="37"/>
      <c r="K4706" s="11"/>
    </row>
    <row r="4707" spans="7:11" x14ac:dyDescent="0.2">
      <c r="G4707" s="231"/>
      <c r="H4707" s="5"/>
      <c r="I4707" s="37"/>
      <c r="K4707" s="11"/>
    </row>
    <row r="4708" spans="7:11" x14ac:dyDescent="0.2">
      <c r="G4708" s="231"/>
      <c r="H4708" s="5"/>
      <c r="I4708" s="37"/>
      <c r="K470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June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F17" sqref="F1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42522</v>
      </c>
      <c r="B1" s="456" t="s">
        <v>19</v>
      </c>
      <c r="C1" s="456" t="s">
        <v>20</v>
      </c>
      <c r="D1" s="456" t="s">
        <v>21</v>
      </c>
      <c r="E1" s="456" t="s">
        <v>166</v>
      </c>
      <c r="F1" s="456" t="s">
        <v>181</v>
      </c>
      <c r="G1" s="456" t="s">
        <v>167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[3]American!$EQ$22</f>
        <v>100454</v>
      </c>
      <c r="C4" s="21">
        <f>[3]Delta!$EQ$22+[3]Delta!$EQ$32</f>
        <v>880175</v>
      </c>
      <c r="D4" s="21">
        <f>[3]United!$EQ$22</f>
        <v>47352</v>
      </c>
      <c r="E4" s="21">
        <f>[3]Spirit!$EQ$22</f>
        <v>52769</v>
      </c>
      <c r="F4" s="21">
        <f>[3]Condor!$EQ$22+[3]Condor!$EQ$32</f>
        <v>2622</v>
      </c>
      <c r="G4" s="21">
        <f>'[3]Air France'!$EQ$22+'[3]Air France'!$EQ$32</f>
        <v>6560</v>
      </c>
      <c r="H4" s="21">
        <f>'Other Major Airline Stats'!J5</f>
        <v>212166</v>
      </c>
      <c r="I4" s="286">
        <f>SUM(B4:H4)</f>
        <v>1302098</v>
      </c>
    </row>
    <row r="5" spans="1:18" x14ac:dyDescent="0.2">
      <c r="A5" s="62" t="s">
        <v>34</v>
      </c>
      <c r="B5" s="14">
        <f>[3]American!$EQ$23</f>
        <v>95409</v>
      </c>
      <c r="C5" s="14">
        <f>[3]Delta!$EQ$23+[3]Delta!$EQ$33</f>
        <v>877130</v>
      </c>
      <c r="D5" s="14">
        <f>[3]United!$EQ$23</f>
        <v>46823</v>
      </c>
      <c r="E5" s="14">
        <f>[3]Spirit!$EQ$23</f>
        <v>52799</v>
      </c>
      <c r="F5" s="14">
        <f>[3]Condor!$EQ$23+[3]Condor!$EQ$33</f>
        <v>3106</v>
      </c>
      <c r="G5" s="14">
        <f>'[3]Air France'!$EQ$23+'[3]Air France'!$EQ$33</f>
        <v>6560</v>
      </c>
      <c r="H5" s="14">
        <f>'Other Major Airline Stats'!J6</f>
        <v>216478</v>
      </c>
      <c r="I5" s="287">
        <f>SUM(B5:H5)</f>
        <v>1298305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195863</v>
      </c>
      <c r="C6" s="34">
        <f t="shared" si="0"/>
        <v>1757305</v>
      </c>
      <c r="D6" s="34">
        <f t="shared" si="0"/>
        <v>94175</v>
      </c>
      <c r="E6" s="34">
        <f t="shared" si="0"/>
        <v>105568</v>
      </c>
      <c r="F6" s="34">
        <f t="shared" ref="F6:G6" si="1">SUM(F4:F5)</f>
        <v>5728</v>
      </c>
      <c r="G6" s="34">
        <f t="shared" si="1"/>
        <v>13120</v>
      </c>
      <c r="H6" s="34">
        <f t="shared" si="0"/>
        <v>428644</v>
      </c>
      <c r="I6" s="288">
        <f>SUM(B6:H6)</f>
        <v>2600403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[3]American!$EQ$27</f>
        <v>2537</v>
      </c>
      <c r="C9" s="21">
        <f>[3]Delta!$EQ$27+[3]Delta!$EQ$37</f>
        <v>30553</v>
      </c>
      <c r="D9" s="21">
        <f>[3]United!$EQ$27</f>
        <v>957</v>
      </c>
      <c r="E9" s="21">
        <f>[3]Spirit!$EQ$27</f>
        <v>499</v>
      </c>
      <c r="F9" s="21">
        <f>[3]Condor!$EQ$27+[3]Condor!$EQ$37</f>
        <v>0</v>
      </c>
      <c r="G9" s="21">
        <f>'[3]Air France'!$EQ$27+'[3]Air France'!$EQ$37</f>
        <v>11</v>
      </c>
      <c r="H9" s="21">
        <f>'Other Major Airline Stats'!J10</f>
        <v>3796</v>
      </c>
      <c r="I9" s="286">
        <f>SUM(B9:H9)</f>
        <v>38353</v>
      </c>
    </row>
    <row r="10" spans="1:18" x14ac:dyDescent="0.2">
      <c r="A10" s="62" t="s">
        <v>36</v>
      </c>
      <c r="B10" s="14">
        <f>[3]American!$EQ$28</f>
        <v>2890</v>
      </c>
      <c r="C10" s="14">
        <f>[3]Delta!$EQ$28+[3]Delta!$EQ$38</f>
        <v>30427</v>
      </c>
      <c r="D10" s="14">
        <f>[3]United!$EQ$28</f>
        <v>912</v>
      </c>
      <c r="E10" s="14">
        <f>[3]Spirit!$EQ$28</f>
        <v>473</v>
      </c>
      <c r="F10" s="14">
        <f>[3]Condor!$EQ$28+[3]Condor!$EQ$38</f>
        <v>0</v>
      </c>
      <c r="G10" s="14">
        <f>'[3]Air France'!$EQ$28+'[3]Air France'!$EQ$38</f>
        <v>6</v>
      </c>
      <c r="H10" s="14">
        <f>'Other Major Airline Stats'!J11</f>
        <v>3673</v>
      </c>
      <c r="I10" s="287">
        <f>SUM(B10:H10)</f>
        <v>38381</v>
      </c>
    </row>
    <row r="11" spans="1:18" ht="15.75" thickBot="1" x14ac:dyDescent="0.3">
      <c r="A11" s="63" t="s">
        <v>37</v>
      </c>
      <c r="B11" s="289">
        <f t="shared" ref="B11:H11" si="2">SUM(B9:B10)</f>
        <v>5427</v>
      </c>
      <c r="C11" s="289">
        <f t="shared" si="2"/>
        <v>60980</v>
      </c>
      <c r="D11" s="289">
        <f t="shared" si="2"/>
        <v>1869</v>
      </c>
      <c r="E11" s="289">
        <f t="shared" si="2"/>
        <v>972</v>
      </c>
      <c r="F11" s="289">
        <f t="shared" ref="F11:G11" si="3">SUM(F9:F10)</f>
        <v>0</v>
      </c>
      <c r="G11" s="289">
        <f t="shared" si="3"/>
        <v>17</v>
      </c>
      <c r="H11" s="289">
        <f t="shared" si="2"/>
        <v>7469</v>
      </c>
      <c r="I11" s="290">
        <f>SUM(B11:H11)</f>
        <v>76734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[3]American!$EQ$4</f>
        <v>729</v>
      </c>
      <c r="C15" s="21">
        <f>[3]Delta!$EQ$4+[3]Delta!$EQ$15</f>
        <v>6115</v>
      </c>
      <c r="D15" s="21">
        <f>[3]United!$EQ$4</f>
        <v>351</v>
      </c>
      <c r="E15" s="21">
        <f>[3]Spirit!$EQ$4</f>
        <v>381</v>
      </c>
      <c r="F15" s="21">
        <f>[3]Condor!$EQ$15</f>
        <v>13</v>
      </c>
      <c r="G15" s="21">
        <f>'[3]Air France'!$EQ$4+'[3]Air France'!$EQ$15</f>
        <v>27</v>
      </c>
      <c r="H15" s="21">
        <f>'Other Major Airline Stats'!J16</f>
        <v>1708</v>
      </c>
      <c r="I15" s="27">
        <f>SUM(B15:H15)</f>
        <v>9324</v>
      </c>
    </row>
    <row r="16" spans="1:18" x14ac:dyDescent="0.2">
      <c r="A16" s="62" t="s">
        <v>26</v>
      </c>
      <c r="B16" s="14">
        <f>[3]American!$EQ$5</f>
        <v>735</v>
      </c>
      <c r="C16" s="14">
        <f>[3]Delta!$EQ$5+[3]Delta!$EQ$16</f>
        <v>6100</v>
      </c>
      <c r="D16" s="14">
        <f>[3]United!$EQ$5</f>
        <v>351</v>
      </c>
      <c r="E16" s="14">
        <f>[3]Spirit!$EQ$5</f>
        <v>382</v>
      </c>
      <c r="F16" s="14">
        <f>[3]Condor!$EQ$16</f>
        <v>13</v>
      </c>
      <c r="G16" s="14">
        <f>'[3]Air France'!$EQ$5+'[3]Air France'!$EQ$16</f>
        <v>27</v>
      </c>
      <c r="H16" s="14">
        <f>'Other Major Airline Stats'!J17</f>
        <v>1700</v>
      </c>
      <c r="I16" s="33">
        <f>SUM(B16:H16)</f>
        <v>9308</v>
      </c>
    </row>
    <row r="17" spans="1:9" x14ac:dyDescent="0.2">
      <c r="A17" s="62" t="s">
        <v>27</v>
      </c>
      <c r="B17" s="293">
        <f t="shared" ref="B17:H17" si="4">SUM(B15:B16)</f>
        <v>1464</v>
      </c>
      <c r="C17" s="291">
        <f t="shared" si="4"/>
        <v>12215</v>
      </c>
      <c r="D17" s="291">
        <f t="shared" si="4"/>
        <v>702</v>
      </c>
      <c r="E17" s="291">
        <f t="shared" si="4"/>
        <v>763</v>
      </c>
      <c r="F17" s="291">
        <f t="shared" ref="F17:G17" si="5">SUM(F15:F16)</f>
        <v>26</v>
      </c>
      <c r="G17" s="291">
        <f t="shared" si="5"/>
        <v>54</v>
      </c>
      <c r="H17" s="291">
        <f t="shared" si="4"/>
        <v>3408</v>
      </c>
      <c r="I17" s="292">
        <f>SUM(B17:H17)</f>
        <v>18632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[3]American!$EQ$8</f>
        <v>0</v>
      </c>
      <c r="C19" s="21">
        <f>[3]Delta!$EQ$8</f>
        <v>2</v>
      </c>
      <c r="D19" s="21">
        <f>[3]United!$EQ$8</f>
        <v>0</v>
      </c>
      <c r="E19" s="21">
        <f>[3]Spirit!$EQ$8</f>
        <v>0</v>
      </c>
      <c r="F19" s="21">
        <f>[3]Condor!$EQ$8</f>
        <v>0</v>
      </c>
      <c r="G19" s="21">
        <f>'[3]Air France'!$EQ$8</f>
        <v>0</v>
      </c>
      <c r="H19" s="21">
        <f>'Other Major Airline Stats'!J20</f>
        <v>66</v>
      </c>
      <c r="I19" s="27">
        <f>SUM(B19:H19)</f>
        <v>68</v>
      </c>
    </row>
    <row r="20" spans="1:9" x14ac:dyDescent="0.2">
      <c r="A20" s="62" t="s">
        <v>29</v>
      </c>
      <c r="B20" s="14">
        <f>[3]American!$EQ$9</f>
        <v>0</v>
      </c>
      <c r="C20" s="14">
        <f>[3]Delta!$EQ$9</f>
        <v>14</v>
      </c>
      <c r="D20" s="14">
        <f>[3]United!$EQ$9</f>
        <v>0</v>
      </c>
      <c r="E20" s="14">
        <f>[3]Spirit!$EQ$9</f>
        <v>0</v>
      </c>
      <c r="F20" s="14">
        <f>[3]Condor!$EQ$9</f>
        <v>0</v>
      </c>
      <c r="G20" s="14">
        <f>'[3]Air France'!$EQ$9</f>
        <v>0</v>
      </c>
      <c r="H20" s="14">
        <f>'Other Major Airline Stats'!J21</f>
        <v>66</v>
      </c>
      <c r="I20" s="33">
        <f>SUM(B20:H20)</f>
        <v>80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16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132</v>
      </c>
      <c r="I21" s="176">
        <f>SUM(B21:H21)</f>
        <v>148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1464</v>
      </c>
      <c r="C23" s="28">
        <f t="shared" si="8"/>
        <v>12231</v>
      </c>
      <c r="D23" s="28">
        <f t="shared" si="8"/>
        <v>702</v>
      </c>
      <c r="E23" s="28">
        <f>E17+E21</f>
        <v>763</v>
      </c>
      <c r="F23" s="28">
        <f t="shared" ref="F23:G23" si="9">F17+F21</f>
        <v>26</v>
      </c>
      <c r="G23" s="28">
        <f t="shared" si="9"/>
        <v>54</v>
      </c>
      <c r="H23" s="28">
        <f t="shared" si="8"/>
        <v>3540</v>
      </c>
      <c r="I23" s="29">
        <f>SUM(B23:H23)</f>
        <v>18780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[3]American!$EQ$47</f>
        <v>34780</v>
      </c>
      <c r="C28" s="21">
        <f>[3]Delta!$EQ$47</f>
        <v>3786618</v>
      </c>
      <c r="D28" s="21">
        <f>[3]United!$EQ$47</f>
        <v>58234</v>
      </c>
      <c r="E28" s="21">
        <f>[3]Spirit!$EQ$47</f>
        <v>0</v>
      </c>
      <c r="F28" s="21">
        <f>[3]Condor!$EQ$47</f>
        <v>4806</v>
      </c>
      <c r="G28" s="21">
        <f>'[3]Air France'!$EQ$47</f>
        <v>165962</v>
      </c>
      <c r="H28" s="21">
        <f>'Other Major Airline Stats'!J28</f>
        <v>693529</v>
      </c>
      <c r="I28" s="27">
        <f>SUM(B28:H28)</f>
        <v>4743929</v>
      </c>
    </row>
    <row r="29" spans="1:9" x14ac:dyDescent="0.2">
      <c r="A29" s="62" t="s">
        <v>41</v>
      </c>
      <c r="B29" s="14">
        <f>[3]American!$EQ$48</f>
        <v>66891</v>
      </c>
      <c r="C29" s="14">
        <f>[3]Delta!$EQ$48</f>
        <v>542373</v>
      </c>
      <c r="D29" s="14">
        <f>[3]United!$EQ$48</f>
        <v>169133</v>
      </c>
      <c r="E29" s="14">
        <f>[3]Spirit!$EQ$48</f>
        <v>0</v>
      </c>
      <c r="F29" s="14">
        <f>[3]Condor!$EQ$48</f>
        <v>22</v>
      </c>
      <c r="G29" s="14">
        <f>'[3]Air France'!$EQ$48</f>
        <v>0</v>
      </c>
      <c r="H29" s="14">
        <f>'Other Major Airline Stats'!J29</f>
        <v>311898</v>
      </c>
      <c r="I29" s="33">
        <f>SUM(B29:H29)</f>
        <v>1090317</v>
      </c>
    </row>
    <row r="30" spans="1:9" x14ac:dyDescent="0.2">
      <c r="A30" s="66" t="s">
        <v>42</v>
      </c>
      <c r="B30" s="293">
        <f t="shared" ref="B30:H30" si="10">SUM(B28:B29)</f>
        <v>101671</v>
      </c>
      <c r="C30" s="293">
        <f t="shared" si="10"/>
        <v>4328991</v>
      </c>
      <c r="D30" s="293">
        <f t="shared" si="10"/>
        <v>227367</v>
      </c>
      <c r="E30" s="293">
        <f t="shared" si="10"/>
        <v>0</v>
      </c>
      <c r="F30" s="293">
        <f t="shared" ref="F30:G30" si="11">SUM(F28:F29)</f>
        <v>4828</v>
      </c>
      <c r="G30" s="293">
        <f t="shared" si="11"/>
        <v>165962</v>
      </c>
      <c r="H30" s="293">
        <f t="shared" si="10"/>
        <v>1005427</v>
      </c>
      <c r="I30" s="27">
        <f>SUM(B30:H30)</f>
        <v>5834246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[3]American!$EQ$52</f>
        <v>12997</v>
      </c>
      <c r="C33" s="21">
        <f>[3]Delta!$EQ$52</f>
        <v>2281493</v>
      </c>
      <c r="D33" s="21">
        <f>[3]United!$EQ$52</f>
        <v>30074</v>
      </c>
      <c r="E33" s="21">
        <f>[3]Spirit!$EQ$52</f>
        <v>0</v>
      </c>
      <c r="F33" s="21">
        <f>[3]Condor!$EQ$52</f>
        <v>22405</v>
      </c>
      <c r="G33" s="21">
        <f>'[3]Air France'!$EQ$52</f>
        <v>8630</v>
      </c>
      <c r="H33" s="21">
        <f>'Other Major Airline Stats'!J33</f>
        <v>406806</v>
      </c>
      <c r="I33" s="27">
        <f t="shared" si="12"/>
        <v>2762405</v>
      </c>
    </row>
    <row r="34" spans="1:9" x14ac:dyDescent="0.2">
      <c r="A34" s="62" t="s">
        <v>41</v>
      </c>
      <c r="B34" s="14">
        <f>[3]American!$EQ$53</f>
        <v>73737</v>
      </c>
      <c r="C34" s="14">
        <f>[3]Delta!$EQ$53</f>
        <v>835335</v>
      </c>
      <c r="D34" s="14">
        <f>[3]United!$EQ$53</f>
        <v>201709</v>
      </c>
      <c r="E34" s="14">
        <f>[3]Spirit!$EQ$53</f>
        <v>0</v>
      </c>
      <c r="F34" s="14">
        <f>[3]Condor!$EQ$53</f>
        <v>0</v>
      </c>
      <c r="G34" s="14">
        <f>'[3]Air France'!$EQ$53</f>
        <v>0</v>
      </c>
      <c r="H34" s="14">
        <f>'Other Major Airline Stats'!J34</f>
        <v>363579</v>
      </c>
      <c r="I34" s="33">
        <f t="shared" si="12"/>
        <v>1474360</v>
      </c>
    </row>
    <row r="35" spans="1:9" x14ac:dyDescent="0.2">
      <c r="A35" s="66" t="s">
        <v>44</v>
      </c>
      <c r="B35" s="293">
        <f t="shared" ref="B35:H35" si="13">SUM(B33:B34)</f>
        <v>86734</v>
      </c>
      <c r="C35" s="293">
        <f t="shared" si="13"/>
        <v>3116828</v>
      </c>
      <c r="D35" s="293">
        <f t="shared" si="13"/>
        <v>231783</v>
      </c>
      <c r="E35" s="293">
        <f t="shared" si="13"/>
        <v>0</v>
      </c>
      <c r="F35" s="293">
        <f t="shared" ref="F35:G35" si="14">SUM(F33:F34)</f>
        <v>22405</v>
      </c>
      <c r="G35" s="293">
        <f t="shared" si="14"/>
        <v>8630</v>
      </c>
      <c r="H35" s="293">
        <f t="shared" si="13"/>
        <v>770385</v>
      </c>
      <c r="I35" s="27">
        <f t="shared" si="12"/>
        <v>4236765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[3]American!$EQ$57</f>
        <v>0</v>
      </c>
      <c r="C38" s="21">
        <f>[3]Delta!$EQ$57</f>
        <v>0</v>
      </c>
      <c r="D38" s="21">
        <f>[3]United!$EQ$57</f>
        <v>0</v>
      </c>
      <c r="E38" s="21">
        <f>[3]Spirit!$EQ$57</f>
        <v>0</v>
      </c>
      <c r="F38" s="21">
        <f>[3]Condor!$EQ$57</f>
        <v>0</v>
      </c>
      <c r="G38" s="21">
        <f>'[3]Air France'!$EQ$57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[3]American!$EQ$58</f>
        <v>0</v>
      </c>
      <c r="C39" s="14">
        <f>[3]Delta!$EQ$58</f>
        <v>0</v>
      </c>
      <c r="D39" s="14">
        <f>[3]United!$EQ$58</f>
        <v>0</v>
      </c>
      <c r="E39" s="14">
        <f>[3]Spirit!$EQ$58</f>
        <v>0</v>
      </c>
      <c r="F39" s="14">
        <f>[3]Condor!$EQ$58</f>
        <v>0</v>
      </c>
      <c r="G39" s="14">
        <f>'[3]Air France'!$EQ$58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47777</v>
      </c>
      <c r="C43" s="21">
        <f t="shared" si="17"/>
        <v>6068111</v>
      </c>
      <c r="D43" s="21">
        <f t="shared" si="17"/>
        <v>88308</v>
      </c>
      <c r="E43" s="21">
        <f>E28+E33+E38</f>
        <v>0</v>
      </c>
      <c r="F43" s="21">
        <f t="shared" ref="F43:G43" si="18">F28+F33+F38</f>
        <v>27211</v>
      </c>
      <c r="G43" s="21">
        <f t="shared" si="18"/>
        <v>174592</v>
      </c>
      <c r="H43" s="21">
        <f t="shared" si="17"/>
        <v>1100335</v>
      </c>
      <c r="I43" s="27">
        <f>SUM(B43:H43)</f>
        <v>7506334</v>
      </c>
    </row>
    <row r="44" spans="1:9" x14ac:dyDescent="0.2">
      <c r="A44" s="62" t="s">
        <v>41</v>
      </c>
      <c r="B44" s="14">
        <f t="shared" si="17"/>
        <v>140628</v>
      </c>
      <c r="C44" s="14">
        <f t="shared" si="17"/>
        <v>1377708</v>
      </c>
      <c r="D44" s="14">
        <f t="shared" si="17"/>
        <v>370842</v>
      </c>
      <c r="E44" s="14">
        <f>E29+E34+E39</f>
        <v>0</v>
      </c>
      <c r="F44" s="14">
        <f t="shared" ref="F44:G44" si="19">F29+F34+F39</f>
        <v>22</v>
      </c>
      <c r="G44" s="14">
        <f t="shared" si="19"/>
        <v>0</v>
      </c>
      <c r="H44" s="14">
        <f t="shared" si="17"/>
        <v>675477</v>
      </c>
      <c r="I44" s="27">
        <f>SUM(B44:H44)</f>
        <v>2564677</v>
      </c>
    </row>
    <row r="45" spans="1:9" ht="15.75" thickBot="1" x14ac:dyDescent="0.3">
      <c r="A45" s="63" t="s">
        <v>49</v>
      </c>
      <c r="B45" s="294">
        <f t="shared" ref="B45:H45" si="20">SUM(B43:B44)</f>
        <v>188405</v>
      </c>
      <c r="C45" s="294">
        <f t="shared" si="20"/>
        <v>7445819</v>
      </c>
      <c r="D45" s="294">
        <f t="shared" si="20"/>
        <v>459150</v>
      </c>
      <c r="E45" s="294">
        <f t="shared" si="20"/>
        <v>0</v>
      </c>
      <c r="F45" s="294">
        <f t="shared" ref="F45:G45" si="21">SUM(F43:F44)</f>
        <v>27233</v>
      </c>
      <c r="G45" s="294">
        <f t="shared" si="21"/>
        <v>174592</v>
      </c>
      <c r="H45" s="294">
        <f t="shared" si="20"/>
        <v>1775812</v>
      </c>
      <c r="I45" s="295">
        <f>SUM(B45:H45)</f>
        <v>10071011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127</v>
      </c>
      <c r="C47" s="323">
        <f>[3]Delta!$EQ$70+[3]Delta!$EQ$73</f>
        <v>354360</v>
      </c>
      <c r="D47" s="310"/>
      <c r="E47" s="310"/>
      <c r="F47" s="310"/>
      <c r="G47" s="310"/>
      <c r="H47" s="310"/>
      <c r="I47" s="311">
        <f>SUM(B47:H47)</f>
        <v>354360</v>
      </c>
    </row>
    <row r="48" spans="1:9" hidden="1" x14ac:dyDescent="0.2">
      <c r="A48" s="386" t="s">
        <v>128</v>
      </c>
      <c r="C48" s="323">
        <f>[3]Delta!$EQ$71+[3]Delta!$EQ$74</f>
        <v>522770</v>
      </c>
      <c r="D48" s="310"/>
      <c r="E48" s="310"/>
      <c r="F48" s="310"/>
      <c r="G48" s="310"/>
      <c r="H48" s="310"/>
      <c r="I48" s="311">
        <f>SUM(B48:H48)</f>
        <v>522770</v>
      </c>
    </row>
    <row r="49" spans="1:9" hidden="1" x14ac:dyDescent="0.2">
      <c r="A49" s="387" t="s">
        <v>129</v>
      </c>
      <c r="C49" s="324">
        <f>SUM(C47:C48)</f>
        <v>877130</v>
      </c>
      <c r="I49" s="311">
        <f>SUM(B49:H49)</f>
        <v>877130</v>
      </c>
    </row>
    <row r="50" spans="1:9" x14ac:dyDescent="0.2">
      <c r="A50" s="385" t="s">
        <v>127</v>
      </c>
      <c r="B50" s="398"/>
      <c r="C50" s="326">
        <f>[3]Delta!$EQ$70+[3]Delta!$EQ$73</f>
        <v>354360</v>
      </c>
      <c r="D50" s="398"/>
      <c r="E50" s="398"/>
      <c r="F50" s="398"/>
      <c r="G50" s="398"/>
      <c r="H50" s="325">
        <f>'Other Major Airline Stats'!J48</f>
        <v>175732</v>
      </c>
      <c r="I50" s="314">
        <f>SUM(B50:H50)</f>
        <v>530092</v>
      </c>
    </row>
    <row r="51" spans="1:9" x14ac:dyDescent="0.2">
      <c r="A51" s="400" t="s">
        <v>128</v>
      </c>
      <c r="B51" s="398"/>
      <c r="C51" s="326">
        <f>[3]Delta!$EQ$71+[3]Delta!$EQ$74</f>
        <v>522770</v>
      </c>
      <c r="D51" s="398"/>
      <c r="E51" s="398"/>
      <c r="F51" s="398"/>
      <c r="G51" s="398"/>
      <c r="H51" s="325">
        <f>+'Other Major Airline Stats'!J49</f>
        <v>8334</v>
      </c>
      <c r="I51" s="314">
        <f>SUM(B51:H51)</f>
        <v>531104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A2" sqref="A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9">
        <v>42522</v>
      </c>
      <c r="B2" s="455" t="s">
        <v>50</v>
      </c>
      <c r="C2" s="455" t="s">
        <v>164</v>
      </c>
      <c r="D2" s="454" t="s">
        <v>218</v>
      </c>
      <c r="E2" s="454" t="s">
        <v>219</v>
      </c>
      <c r="F2" s="455" t="s">
        <v>51</v>
      </c>
      <c r="G2" s="454" t="s">
        <v>135</v>
      </c>
      <c r="H2" s="454" t="s">
        <v>52</v>
      </c>
      <c r="I2" s="454" t="s">
        <v>134</v>
      </c>
      <c r="J2" s="277" t="s">
        <v>64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[3]Frontier!$EQ$22</f>
        <v>15468</v>
      </c>
      <c r="C5" s="146">
        <f>'[3]Great Lakes'!$EQ$22</f>
        <v>6</v>
      </c>
      <c r="D5" s="146">
        <f>'[3]Air Choice One'!$EQ$22</f>
        <v>125</v>
      </c>
      <c r="E5" s="146">
        <f>'[3]Boutique Air'!$EQ$22</f>
        <v>53</v>
      </c>
      <c r="F5" s="146">
        <f>[3]Icelandair!$EQ$32</f>
        <v>5528</v>
      </c>
      <c r="G5" s="118">
        <f>[3]Southwest!$EQ$22</f>
        <v>96549</v>
      </c>
      <c r="H5" s="118">
        <f>'[3]Sun Country'!$EQ$22+'[3]Sun Country'!$EQ$32</f>
        <v>82313</v>
      </c>
      <c r="I5" s="118">
        <f>[3]Alaska!$EQ$22</f>
        <v>12124</v>
      </c>
      <c r="J5" s="147">
        <f>SUM(B5:I5)</f>
        <v>212166</v>
      </c>
      <c r="M5" s="130"/>
    </row>
    <row r="6" spans="1:13" x14ac:dyDescent="0.2">
      <c r="A6" s="62" t="s">
        <v>34</v>
      </c>
      <c r="B6" s="146">
        <f>[3]Frontier!$EQ$23</f>
        <v>14253</v>
      </c>
      <c r="C6" s="146">
        <f>'[3]Great Lakes'!$EQ$23</f>
        <v>7</v>
      </c>
      <c r="D6" s="146">
        <f>'[3]Air Choice One'!$EQ$23</f>
        <v>151</v>
      </c>
      <c r="E6" s="146">
        <f>'[3]Boutique Air'!$EQ$23</f>
        <v>56</v>
      </c>
      <c r="F6" s="146">
        <f>[3]Icelandair!$EQ$33</f>
        <v>6262</v>
      </c>
      <c r="G6" s="118">
        <f>[3]Southwest!$EQ$23</f>
        <v>93507</v>
      </c>
      <c r="H6" s="118">
        <f>'[3]Sun Country'!$EQ$23+'[3]Sun Country'!$EQ$33</f>
        <v>90559</v>
      </c>
      <c r="I6" s="118">
        <f>[3]Alaska!$EQ$23</f>
        <v>11683</v>
      </c>
      <c r="J6" s="147">
        <f>SUM(B6:I6)</f>
        <v>216478</v>
      </c>
    </row>
    <row r="7" spans="1:13" ht="15" x14ac:dyDescent="0.25">
      <c r="A7" s="60" t="s">
        <v>7</v>
      </c>
      <c r="B7" s="155">
        <f t="shared" ref="B7:I7" si="0">SUM(B5:B6)</f>
        <v>29721</v>
      </c>
      <c r="C7" s="155">
        <f t="shared" si="0"/>
        <v>13</v>
      </c>
      <c r="D7" s="155">
        <f t="shared" ref="D7:E7" si="1">SUM(D5:D6)</f>
        <v>276</v>
      </c>
      <c r="E7" s="155">
        <f t="shared" si="1"/>
        <v>109</v>
      </c>
      <c r="F7" s="155">
        <f t="shared" si="0"/>
        <v>11790</v>
      </c>
      <c r="G7" s="155">
        <f t="shared" si="0"/>
        <v>190056</v>
      </c>
      <c r="H7" s="155">
        <f>SUM(H5:H6)</f>
        <v>172872</v>
      </c>
      <c r="I7" s="155">
        <f t="shared" si="0"/>
        <v>23807</v>
      </c>
      <c r="J7" s="156">
        <f>SUM(B7:I7)</f>
        <v>428644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[3]Frontier!$EQ$27</f>
        <v>198</v>
      </c>
      <c r="C10" s="154">
        <f>'[3]Great Lakes'!$EQ$27</f>
        <v>0</v>
      </c>
      <c r="D10" s="154">
        <f>'[3]Air Choice One'!$EQ$27</f>
        <v>0</v>
      </c>
      <c r="E10" s="154">
        <f>'[3]Boutique Air'!$EQ$27</f>
        <v>0</v>
      </c>
      <c r="F10" s="154">
        <f>[3]Icelandair!$EQ$37</f>
        <v>38</v>
      </c>
      <c r="G10" s="154">
        <f>[3]Southwest!$EQ$27</f>
        <v>1173</v>
      </c>
      <c r="H10" s="154">
        <f>'[3]Sun Country'!$EQ$27+'[3]Sun Country'!$EQ$37</f>
        <v>1943</v>
      </c>
      <c r="I10" s="154">
        <f>[3]Alaska!$EQ$27</f>
        <v>444</v>
      </c>
      <c r="J10" s="147">
        <f>SUM(B10:I10)</f>
        <v>3796</v>
      </c>
    </row>
    <row r="11" spans="1:13" x14ac:dyDescent="0.2">
      <c r="A11" s="62" t="s">
        <v>36</v>
      </c>
      <c r="B11" s="157">
        <f>[3]Frontier!$EQ$28</f>
        <v>199</v>
      </c>
      <c r="C11" s="157">
        <f>'[3]Great Lakes'!$EQ$28</f>
        <v>0</v>
      </c>
      <c r="D11" s="157">
        <f>'[3]Air Choice One'!$EQ$28</f>
        <v>0</v>
      </c>
      <c r="E11" s="157">
        <f>'[3]Boutique Air'!$EQ$28</f>
        <v>0</v>
      </c>
      <c r="F11" s="157">
        <f>[3]Icelandair!$EQ$38</f>
        <v>58</v>
      </c>
      <c r="G11" s="157">
        <f>[3]Southwest!$EQ$28</f>
        <v>1269</v>
      </c>
      <c r="H11" s="157">
        <f>'[3]Sun Country'!$EQ$28+'[3]Sun Country'!$EQ$38</f>
        <v>1653</v>
      </c>
      <c r="I11" s="157">
        <f>[3]Alaska!$EQ$28</f>
        <v>494</v>
      </c>
      <c r="J11" s="147">
        <f>SUM(B11:I11)</f>
        <v>3673</v>
      </c>
    </row>
    <row r="12" spans="1:13" ht="15.75" thickBot="1" x14ac:dyDescent="0.3">
      <c r="A12" s="63" t="s">
        <v>37</v>
      </c>
      <c r="B12" s="150">
        <f t="shared" ref="B12:I12" si="2">SUM(B10:B11)</f>
        <v>397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96</v>
      </c>
      <c r="G12" s="150">
        <f t="shared" si="2"/>
        <v>2442</v>
      </c>
      <c r="H12" s="150">
        <f>SUM(H10:H11)</f>
        <v>3596</v>
      </c>
      <c r="I12" s="150">
        <f t="shared" si="2"/>
        <v>938</v>
      </c>
      <c r="J12" s="158">
        <f>SUM(B12:I12)</f>
        <v>7469</v>
      </c>
      <c r="M12" s="130"/>
    </row>
    <row r="13" spans="1:13" ht="15" x14ac:dyDescent="0.25">
      <c r="A13" s="59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[3]Frontier!$EQ$4</f>
        <v>100</v>
      </c>
      <c r="C16" s="146">
        <f>'[3]Great Lakes'!$EQ$4</f>
        <v>2</v>
      </c>
      <c r="D16" s="146">
        <f>'[3]Air Choice One'!$EQ$4</f>
        <v>22</v>
      </c>
      <c r="E16" s="146">
        <f>'[3]Boutique Air'!$EQ$4</f>
        <v>18</v>
      </c>
      <c r="F16" s="146">
        <f>[3]Icelandair!$EQ$15</f>
        <v>30</v>
      </c>
      <c r="G16" s="106">
        <f>[3]Southwest!$EQ$4</f>
        <v>746</v>
      </c>
      <c r="H16" s="118">
        <f>'[3]Sun Country'!$EQ$4+'[3]Sun Country'!$EQ$15</f>
        <v>712</v>
      </c>
      <c r="I16" s="118">
        <f>[3]Alaska!$EQ$4</f>
        <v>78</v>
      </c>
      <c r="J16" s="147">
        <f>SUM(B16:I16)</f>
        <v>1708</v>
      </c>
    </row>
    <row r="17" spans="1:257" x14ac:dyDescent="0.2">
      <c r="A17" s="62" t="s">
        <v>26</v>
      </c>
      <c r="B17" s="146">
        <f>[3]Frontier!$EQ$5</f>
        <v>100</v>
      </c>
      <c r="C17" s="146">
        <f>'[3]Great Lakes'!$EQ$5</f>
        <v>2</v>
      </c>
      <c r="D17" s="146">
        <f>'[3]Air Choice One'!$EQ$5</f>
        <v>22</v>
      </c>
      <c r="E17" s="146">
        <f>'[3]Boutique Air'!$EQ$5</f>
        <v>18</v>
      </c>
      <c r="F17" s="146">
        <f>[3]Icelandair!$EQ$16</f>
        <v>30</v>
      </c>
      <c r="G17" s="106">
        <f>[3]Southwest!$EQ$5</f>
        <v>742</v>
      </c>
      <c r="H17" s="118">
        <f>'[3]Sun Country'!$EQ$5+'[3]Sun Country'!$EQ$16</f>
        <v>708</v>
      </c>
      <c r="I17" s="118">
        <f>[3]Alaska!$EQ$5</f>
        <v>78</v>
      </c>
      <c r="J17" s="147">
        <f>SUM(B17:I17)</f>
        <v>1700</v>
      </c>
    </row>
    <row r="18" spans="1:257" x14ac:dyDescent="0.2">
      <c r="A18" s="66" t="s">
        <v>27</v>
      </c>
      <c r="B18" s="148">
        <f t="shared" ref="B18:I18" si="4">SUM(B16:B17)</f>
        <v>200</v>
      </c>
      <c r="C18" s="148">
        <f t="shared" si="4"/>
        <v>4</v>
      </c>
      <c r="D18" s="148">
        <f t="shared" ref="D18:E18" si="5">SUM(D16:D17)</f>
        <v>44</v>
      </c>
      <c r="E18" s="148">
        <f t="shared" si="5"/>
        <v>36</v>
      </c>
      <c r="F18" s="148">
        <f t="shared" si="4"/>
        <v>60</v>
      </c>
      <c r="G18" s="148">
        <f t="shared" si="4"/>
        <v>1488</v>
      </c>
      <c r="H18" s="148">
        <f t="shared" si="4"/>
        <v>1420</v>
      </c>
      <c r="I18" s="148">
        <f t="shared" si="4"/>
        <v>156</v>
      </c>
      <c r="J18" s="149">
        <f>SUM(B18:I18)</f>
        <v>3408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[3]Frontier!$EQ$8</f>
        <v>0</v>
      </c>
      <c r="C20" s="146">
        <f>'[3]Great Lakes'!$EQ$8</f>
        <v>0</v>
      </c>
      <c r="D20" s="146">
        <f>'[3]Air Choice One'!$EQ$8</f>
        <v>0</v>
      </c>
      <c r="E20" s="146">
        <f>'[3]Boutique Air'!$EQ$8</f>
        <v>0</v>
      </c>
      <c r="F20" s="146">
        <f>[3]Icelandair!$EQ$8</f>
        <v>0</v>
      </c>
      <c r="G20" s="118">
        <f>[3]Southwest!$EQ$8</f>
        <v>2</v>
      </c>
      <c r="H20" s="118">
        <f>'[3]Sun Country'!$EQ$8</f>
        <v>64</v>
      </c>
      <c r="I20" s="118">
        <f>[3]Alaska!$EQ$8</f>
        <v>0</v>
      </c>
      <c r="J20" s="147">
        <f>SUM(B20:I20)</f>
        <v>66</v>
      </c>
    </row>
    <row r="21" spans="1:257" x14ac:dyDescent="0.2">
      <c r="A21" s="62" t="s">
        <v>29</v>
      </c>
      <c r="B21" s="146">
        <f>[3]Frontier!$EQ$9</f>
        <v>0</v>
      </c>
      <c r="C21" s="146">
        <f>'[3]Great Lakes'!$EQ$9</f>
        <v>0</v>
      </c>
      <c r="D21" s="146">
        <f>'[3]Air Choice One'!$EQ$9</f>
        <v>0</v>
      </c>
      <c r="E21" s="146">
        <f>'[3]Boutique Air'!$EQ$9</f>
        <v>0</v>
      </c>
      <c r="F21" s="146">
        <f>[3]Icelandair!$EQ$9</f>
        <v>0</v>
      </c>
      <c r="G21" s="118">
        <f>[3]Southwest!$EQ$9</f>
        <v>0</v>
      </c>
      <c r="H21" s="118">
        <f>'[3]Sun Country'!$EQ$9</f>
        <v>66</v>
      </c>
      <c r="I21" s="118">
        <f>[3]Alaska!$EQ$9</f>
        <v>0</v>
      </c>
      <c r="J21" s="147">
        <f>SUM(B21:I21)</f>
        <v>66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2</v>
      </c>
      <c r="H22" s="148">
        <f t="shared" si="6"/>
        <v>130</v>
      </c>
      <c r="I22" s="148">
        <f t="shared" si="6"/>
        <v>0</v>
      </c>
      <c r="J22" s="149">
        <f>SUM(B22:I22)</f>
        <v>132</v>
      </c>
    </row>
    <row r="23" spans="1:257" ht="15.75" thickBot="1" x14ac:dyDescent="0.3">
      <c r="A23" s="63" t="s">
        <v>31</v>
      </c>
      <c r="B23" s="150">
        <f t="shared" ref="B23:I23" si="8">B22+B18</f>
        <v>200</v>
      </c>
      <c r="C23" s="150">
        <f t="shared" si="8"/>
        <v>4</v>
      </c>
      <c r="D23" s="150">
        <f t="shared" ref="D23:E23" si="9">D22+D18</f>
        <v>44</v>
      </c>
      <c r="E23" s="150">
        <f t="shared" si="9"/>
        <v>36</v>
      </c>
      <c r="F23" s="150">
        <f t="shared" si="8"/>
        <v>60</v>
      </c>
      <c r="G23" s="150">
        <f t="shared" si="8"/>
        <v>1490</v>
      </c>
      <c r="H23" s="150">
        <f t="shared" si="8"/>
        <v>1550</v>
      </c>
      <c r="I23" s="150">
        <f t="shared" si="8"/>
        <v>156</v>
      </c>
      <c r="J23" s="151">
        <f>SUM(B23:I23)</f>
        <v>3540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4"/>
      <c r="C25" s="424"/>
      <c r="D25" s="424"/>
      <c r="E25" s="424"/>
      <c r="F25" s="424"/>
      <c r="G25" s="424"/>
      <c r="H25" s="424"/>
      <c r="I25" s="424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[3]Frontier!$EQ$47</f>
        <v>0</v>
      </c>
      <c r="C28" s="146">
        <f>'[3]Great Lakes'!$EQ$47</f>
        <v>0</v>
      </c>
      <c r="D28" s="146">
        <f>'[3]Air Choice One'!$EQ$47</f>
        <v>0</v>
      </c>
      <c r="E28" s="146">
        <f>'[3]Boutique Air'!$EQ$47</f>
        <v>0</v>
      </c>
      <c r="F28" s="146">
        <f>[3]Icelandair!$EQ$47</f>
        <v>62966</v>
      </c>
      <c r="G28" s="118">
        <f>[3]Southwest!$EQ$47</f>
        <v>237082</v>
      </c>
      <c r="H28" s="118">
        <f>'[3]Sun Country'!$EQ$47</f>
        <v>365546</v>
      </c>
      <c r="I28" s="118">
        <f>[3]Alaska!$EQ$47</f>
        <v>27935</v>
      </c>
      <c r="J28" s="147">
        <f>SUM(B28:I28)</f>
        <v>693529</v>
      </c>
    </row>
    <row r="29" spans="1:257" x14ac:dyDescent="0.2">
      <c r="A29" s="62" t="s">
        <v>41</v>
      </c>
      <c r="B29" s="146">
        <f>[3]Frontier!$EQ$48</f>
        <v>0</v>
      </c>
      <c r="C29" s="146">
        <f>'[3]Great Lakes'!$EQ$48</f>
        <v>0</v>
      </c>
      <c r="D29" s="146">
        <f>'[3]Air Choice One'!$EQ$48</f>
        <v>0</v>
      </c>
      <c r="E29" s="146">
        <f>'[3]Boutique Air'!$EQ$48</f>
        <v>0</v>
      </c>
      <c r="F29" s="146">
        <f>[3]Icelandair!$EQ$48</f>
        <v>0</v>
      </c>
      <c r="G29" s="118">
        <f>[3]Southwest!$EQ$48</f>
        <v>0</v>
      </c>
      <c r="H29" s="118">
        <f>'[3]Sun Country'!$EQ$48</f>
        <v>311898</v>
      </c>
      <c r="I29" s="118">
        <f>[3]Alaska!$EQ$48</f>
        <v>0</v>
      </c>
      <c r="J29" s="147">
        <f>SUM(B29:I29)</f>
        <v>311898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62966</v>
      </c>
      <c r="G30" s="162">
        <f t="shared" si="10"/>
        <v>237082</v>
      </c>
      <c r="H30" s="162">
        <f t="shared" si="10"/>
        <v>677444</v>
      </c>
      <c r="I30" s="162">
        <f t="shared" si="10"/>
        <v>27935</v>
      </c>
      <c r="J30" s="165">
        <f>SUM(B30:I30)</f>
        <v>1005427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[3]Frontier!$EQ$52</f>
        <v>0</v>
      </c>
      <c r="C33" s="146">
        <f>'[3]Great Lakes'!$EQ$52</f>
        <v>0</v>
      </c>
      <c r="D33" s="146">
        <f>'[3]Air Choice One'!$EQ$52</f>
        <v>0</v>
      </c>
      <c r="E33" s="146">
        <f>'[3]Boutique Air'!$EQ$52</f>
        <v>0</v>
      </c>
      <c r="F33" s="146">
        <f>[3]Icelandair!$EQ$52</f>
        <v>886</v>
      </c>
      <c r="G33" s="118">
        <f>[3]Southwest!$EQ$52</f>
        <v>119859</v>
      </c>
      <c r="H33" s="118">
        <f>'[3]Sun Country'!$EQ$52</f>
        <v>278306</v>
      </c>
      <c r="I33" s="118">
        <f>[3]Alaska!$EQ$52</f>
        <v>7755</v>
      </c>
      <c r="J33" s="147">
        <f>SUM(B33:I33)</f>
        <v>406806</v>
      </c>
    </row>
    <row r="34" spans="1:10" x14ac:dyDescent="0.2">
      <c r="A34" s="62" t="s">
        <v>41</v>
      </c>
      <c r="B34" s="146">
        <f>[3]Frontier!$EQ$53</f>
        <v>0</v>
      </c>
      <c r="C34" s="146">
        <f>'[3]Great Lakes'!$EQ$53</f>
        <v>0</v>
      </c>
      <c r="D34" s="146">
        <f>'[3]Air Choice One'!$EQ$53</f>
        <v>0</v>
      </c>
      <c r="E34" s="146">
        <f>'[3]Boutique Air'!$EQ$53</f>
        <v>0</v>
      </c>
      <c r="F34" s="146">
        <f>[3]Icelandair!$EQ$53</f>
        <v>0</v>
      </c>
      <c r="G34" s="118">
        <f>[3]Southwest!$EQ$53</f>
        <v>0</v>
      </c>
      <c r="H34" s="118">
        <f>'[3]Sun Country'!$EQ$53</f>
        <v>363579</v>
      </c>
      <c r="I34" s="118">
        <f>[3]Alaska!$EQ$53</f>
        <v>0</v>
      </c>
      <c r="J34" s="163">
        <f>SUM(B34:I34)</f>
        <v>363579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886</v>
      </c>
      <c r="G35" s="164">
        <f t="shared" si="12"/>
        <v>119859</v>
      </c>
      <c r="H35" s="164">
        <f t="shared" si="12"/>
        <v>641885</v>
      </c>
      <c r="I35" s="164">
        <f t="shared" si="12"/>
        <v>7755</v>
      </c>
      <c r="J35" s="165">
        <f>SUM(B35:I35)</f>
        <v>770385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[3]Frontier!$EQ$57</f>
        <v>0</v>
      </c>
      <c r="C38" s="154">
        <f>'[3]Great Lakes'!$EQ$57</f>
        <v>0</v>
      </c>
      <c r="D38" s="154">
        <f>'[3]Air Choice One'!$EQ$57</f>
        <v>0</v>
      </c>
      <c r="E38" s="154">
        <f>'[3]Boutique Air'!$EQ$57</f>
        <v>0</v>
      </c>
      <c r="F38" s="154">
        <f>[3]Icelandair!$EQ$57</f>
        <v>0</v>
      </c>
      <c r="G38" s="154">
        <f>[3]Southwest!$EQ$57</f>
        <v>0</v>
      </c>
      <c r="H38" s="154">
        <f>'[3]Sun Country'!$EQ$57</f>
        <v>0</v>
      </c>
      <c r="I38" s="154">
        <f>[3]Alaska!$EQ$57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[3]Frontier!$EQ$58</f>
        <v>0</v>
      </c>
      <c r="C39" s="157">
        <f>'[3]Great Lakes'!$EQ$58</f>
        <v>0</v>
      </c>
      <c r="D39" s="157">
        <f>'[3]Air Choice One'!$EQ$58</f>
        <v>0</v>
      </c>
      <c r="E39" s="157">
        <f>'[3]Boutique Air'!$EQ$58</f>
        <v>0</v>
      </c>
      <c r="F39" s="157">
        <f>[3]Icelandair!$EQ$58</f>
        <v>0</v>
      </c>
      <c r="G39" s="157">
        <f>[3]Southwest!$EQ$58</f>
        <v>0</v>
      </c>
      <c r="H39" s="157">
        <f>'[3]Sun Country'!$EQ$58</f>
        <v>0</v>
      </c>
      <c r="I39" s="157">
        <f>[3]Alaska!$EQ$58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63852</v>
      </c>
      <c r="G43" s="154">
        <f t="shared" si="16"/>
        <v>356941</v>
      </c>
      <c r="H43" s="154">
        <f t="shared" si="16"/>
        <v>643852</v>
      </c>
      <c r="I43" s="154">
        <f t="shared" si="16"/>
        <v>35690</v>
      </c>
      <c r="J43" s="147">
        <f>SUM(B43:I43)</f>
        <v>1100335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675477</v>
      </c>
      <c r="I44" s="157">
        <f t="shared" si="17"/>
        <v>0</v>
      </c>
      <c r="J44" s="147">
        <f>SUM(B44:I44)</f>
        <v>675477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63852</v>
      </c>
      <c r="G45" s="167">
        <f t="shared" si="18"/>
        <v>356941</v>
      </c>
      <c r="H45" s="167">
        <f t="shared" si="18"/>
        <v>1319329</v>
      </c>
      <c r="I45" s="167">
        <f t="shared" si="18"/>
        <v>35690</v>
      </c>
      <c r="J45" s="168">
        <f>SUM(B45:I45)</f>
        <v>1775812</v>
      </c>
    </row>
    <row r="48" spans="1:10" x14ac:dyDescent="0.2">
      <c r="A48" s="385" t="s">
        <v>127</v>
      </c>
      <c r="B48" s="398"/>
      <c r="C48" s="398"/>
      <c r="D48" s="398"/>
      <c r="E48" s="398"/>
      <c r="G48" s="326">
        <f>[3]Southwest!$EQ$70+[3]Southwest!$EQ$73</f>
        <v>93267</v>
      </c>
      <c r="H48" s="326">
        <f>'[3]Sun Country'!$EQ$70+'[3]Sun Country'!$EQ$73</f>
        <v>82465</v>
      </c>
      <c r="I48" s="398"/>
      <c r="J48" s="314">
        <f>SUM(B48:I48)</f>
        <v>175732</v>
      </c>
    </row>
    <row r="49" spans="1:10" x14ac:dyDescent="0.2">
      <c r="A49" s="400" t="s">
        <v>128</v>
      </c>
      <c r="B49" s="398"/>
      <c r="C49" s="398"/>
      <c r="D49" s="398"/>
      <c r="E49" s="398"/>
      <c r="G49" s="326">
        <f>[3]Southwest!$EQ$71+[3]Southwest!$EQ$74</f>
        <v>240</v>
      </c>
      <c r="H49" s="326">
        <f>'[3]Sun Country'!$EQ$71+'[3]Sun Country'!$EQ$74</f>
        <v>8094</v>
      </c>
      <c r="I49" s="398"/>
      <c r="J49" s="314">
        <f>SUM(B49:I49)</f>
        <v>8334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June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A2" sqref="A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42522</v>
      </c>
      <c r="B2" s="453" t="s">
        <v>168</v>
      </c>
      <c r="C2" s="453" t="s">
        <v>171</v>
      </c>
      <c r="D2" s="453" t="s">
        <v>199</v>
      </c>
      <c r="E2" s="453" t="s">
        <v>198</v>
      </c>
      <c r="F2" s="453" t="s">
        <v>200</v>
      </c>
      <c r="G2" s="453" t="s">
        <v>205</v>
      </c>
      <c r="H2" s="453" t="s">
        <v>212</v>
      </c>
      <c r="I2" s="453" t="s">
        <v>214</v>
      </c>
      <c r="J2" s="453" t="s">
        <v>204</v>
      </c>
      <c r="K2" s="19" t="s">
        <v>121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[3]Pinnacle!$EQ$22+[3]Pinnacle!$EQ$32</f>
        <v>111374</v>
      </c>
      <c r="C5" s="132">
        <f>[3]MESA_UA!$EQ$22</f>
        <v>11271</v>
      </c>
      <c r="D5" s="130">
        <f>'[3]Sky West'!$EQ$22+'[3]Sky West'!$EQ$32</f>
        <v>129413</v>
      </c>
      <c r="E5" s="130">
        <f>'[3]Sky West_UA'!$EQ$22</f>
        <v>15793</v>
      </c>
      <c r="F5" s="130">
        <f>'[3]Sky West_AS'!$EQ$22</f>
        <v>2033</v>
      </c>
      <c r="G5" s="130">
        <f>[3]Republic!$EQ$22</f>
        <v>14311</v>
      </c>
      <c r="H5" s="130">
        <f>[3]Republic_UA!$EQ$22</f>
        <v>6648</v>
      </c>
      <c r="I5" s="130">
        <f>'[3]Air Georgian'!$EQ$32</f>
        <v>0</v>
      </c>
      <c r="J5" s="130">
        <f>'[3]American Eagle'!$EQ$22</f>
        <v>0</v>
      </c>
      <c r="K5" s="130">
        <f>'Other Regional'!M5</f>
        <v>85875</v>
      </c>
      <c r="L5" s="110">
        <f>SUM(B5:K5)</f>
        <v>376718</v>
      </c>
    </row>
    <row r="6" spans="1:12" s="10" customFormat="1" x14ac:dyDescent="0.2">
      <c r="A6" s="62" t="s">
        <v>34</v>
      </c>
      <c r="B6" s="131">
        <f>[3]Pinnacle!$EQ$23+[3]Pinnacle!$EQ$33</f>
        <v>110382</v>
      </c>
      <c r="C6" s="132">
        <f>[3]MESA_UA!$EQ$23</f>
        <v>10957</v>
      </c>
      <c r="D6" s="130">
        <f>'[3]Sky West'!$EQ$23+'[3]Sky West'!$EQ$33</f>
        <v>131506</v>
      </c>
      <c r="E6" s="130">
        <f>'[3]Sky West_UA'!$EQ$23</f>
        <v>15350</v>
      </c>
      <c r="F6" s="130">
        <f>'[3]Sky West_AS'!$EQ$23</f>
        <v>1969</v>
      </c>
      <c r="G6" s="130">
        <f>[3]Republic!$EQ$23</f>
        <v>14398</v>
      </c>
      <c r="H6" s="130">
        <f>[3]Republic_UA!$EQ$23</f>
        <v>6423</v>
      </c>
      <c r="I6" s="130">
        <f>'[3]Air Georgian'!$EQ$33</f>
        <v>0</v>
      </c>
      <c r="J6" s="130">
        <f>'[3]American Eagle'!$EQ$23</f>
        <v>0</v>
      </c>
      <c r="K6" s="130">
        <f>'Other Regional'!M6</f>
        <v>86069</v>
      </c>
      <c r="L6" s="115">
        <f>SUM(B6:K6)</f>
        <v>377054</v>
      </c>
    </row>
    <row r="7" spans="1:12" ht="15" thickBot="1" x14ac:dyDescent="0.25">
      <c r="A7" s="73" t="s">
        <v>7</v>
      </c>
      <c r="B7" s="133">
        <f>SUM(B5:B6)</f>
        <v>221756</v>
      </c>
      <c r="C7" s="133">
        <f t="shared" ref="C7:K7" si="0">SUM(C5:C6)</f>
        <v>22228</v>
      </c>
      <c r="D7" s="133">
        <f t="shared" si="0"/>
        <v>260919</v>
      </c>
      <c r="E7" s="133">
        <f t="shared" si="0"/>
        <v>31143</v>
      </c>
      <c r="F7" s="133">
        <f t="shared" ref="F7" si="1">SUM(F5:F6)</f>
        <v>4002</v>
      </c>
      <c r="G7" s="133">
        <f t="shared" si="0"/>
        <v>28709</v>
      </c>
      <c r="H7" s="133">
        <f t="shared" ref="H7:I7" si="2">SUM(H5:H6)</f>
        <v>13071</v>
      </c>
      <c r="I7" s="133">
        <f t="shared" si="2"/>
        <v>0</v>
      </c>
      <c r="J7" s="133">
        <f t="shared" si="0"/>
        <v>0</v>
      </c>
      <c r="K7" s="133">
        <f t="shared" si="0"/>
        <v>171944</v>
      </c>
      <c r="L7" s="134">
        <f>SUM(B7:K7)</f>
        <v>753772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[3]Pinnacle!$EQ$27+[3]Pinnacle!$EQ$37</f>
        <v>3892</v>
      </c>
      <c r="C10" s="132">
        <f>[3]MESA_UA!$EQ$27</f>
        <v>239</v>
      </c>
      <c r="D10" s="130">
        <f>'[3]Sky West'!$EQ$27+'[3]Sky West'!$EQ$37</f>
        <v>5025</v>
      </c>
      <c r="E10" s="130">
        <f>'[3]Sky West_UA'!$EQ$27</f>
        <v>269</v>
      </c>
      <c r="F10" s="130">
        <f>'[3]Sky West_AS'!$EQ$27</f>
        <v>92</v>
      </c>
      <c r="G10" s="130">
        <f>[3]Republic!$EQ$27</f>
        <v>252</v>
      </c>
      <c r="H10" s="130">
        <f>[3]Republic_UA!$EQ$27</f>
        <v>158</v>
      </c>
      <c r="I10" s="130">
        <f>'[3]Air Georgian'!$EQ$37</f>
        <v>0</v>
      </c>
      <c r="J10" s="130">
        <f>'[3]American Eagle'!$EQ$27</f>
        <v>0</v>
      </c>
      <c r="K10" s="130">
        <f>'Other Regional'!M10</f>
        <v>2833</v>
      </c>
      <c r="L10" s="110">
        <f>SUM(B10:K10)</f>
        <v>12760</v>
      </c>
    </row>
    <row r="11" spans="1:12" x14ac:dyDescent="0.2">
      <c r="A11" s="62" t="s">
        <v>36</v>
      </c>
      <c r="B11" s="131">
        <f>[3]Pinnacle!$EQ$28+[3]Pinnacle!$EQ$38</f>
        <v>3842</v>
      </c>
      <c r="C11" s="132">
        <f>[3]MESA_UA!$EQ$28</f>
        <v>206</v>
      </c>
      <c r="D11" s="130">
        <f>'[3]Sky West'!$EQ$28+'[3]Sky West'!$EQ$38</f>
        <v>4477</v>
      </c>
      <c r="E11" s="130">
        <f>'[3]Sky West_UA'!$EQ$28</f>
        <v>307</v>
      </c>
      <c r="F11" s="130">
        <f>'[3]Sky West_AS'!$EQ$28</f>
        <v>103</v>
      </c>
      <c r="G11" s="130">
        <f>[3]Republic!$EQ$28</f>
        <v>296</v>
      </c>
      <c r="H11" s="130">
        <f>[3]Republic_UA!$EQ$28</f>
        <v>162</v>
      </c>
      <c r="I11" s="130">
        <f>'[3]Air Georgian'!$EQ$38</f>
        <v>0</v>
      </c>
      <c r="J11" s="130">
        <f>'[3]American Eagle'!$EQ$28</f>
        <v>0</v>
      </c>
      <c r="K11" s="130">
        <f>'Other Regional'!M11</f>
        <v>3021</v>
      </c>
      <c r="L11" s="115">
        <f>SUM(B11:K11)</f>
        <v>12414</v>
      </c>
    </row>
    <row r="12" spans="1:12" ht="15" thickBot="1" x14ac:dyDescent="0.25">
      <c r="A12" s="74" t="s">
        <v>37</v>
      </c>
      <c r="B12" s="136">
        <f t="shared" ref="B12:K12" si="3">SUM(B10:B11)</f>
        <v>7734</v>
      </c>
      <c r="C12" s="136">
        <f t="shared" si="3"/>
        <v>445</v>
      </c>
      <c r="D12" s="136">
        <f t="shared" si="3"/>
        <v>9502</v>
      </c>
      <c r="E12" s="136">
        <f t="shared" si="3"/>
        <v>576</v>
      </c>
      <c r="F12" s="136">
        <f t="shared" ref="F12" si="4">SUM(F10:F11)</f>
        <v>195</v>
      </c>
      <c r="G12" s="136">
        <f t="shared" si="3"/>
        <v>548</v>
      </c>
      <c r="H12" s="136">
        <f t="shared" ref="H12:I12" si="5">SUM(H10:H11)</f>
        <v>320</v>
      </c>
      <c r="I12" s="136">
        <f t="shared" si="5"/>
        <v>0</v>
      </c>
      <c r="J12" s="136">
        <f t="shared" si="3"/>
        <v>0</v>
      </c>
      <c r="K12" s="136">
        <f t="shared" si="3"/>
        <v>5854</v>
      </c>
      <c r="L12" s="137">
        <f>SUM(B12:K12)</f>
        <v>25174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56</v>
      </c>
      <c r="B15" s="21">
        <f>[3]Pinnacle!$EQ$4+[3]Pinnacle!$EQ$15</f>
        <v>2090</v>
      </c>
      <c r="C15" s="108">
        <f>[3]MESA_UA!$EQ$4</f>
        <v>161</v>
      </c>
      <c r="D15" s="106">
        <f>'[3]Sky West'!$EQ$4+'[3]Sky West'!$EQ$15</f>
        <v>2828</v>
      </c>
      <c r="E15" s="106">
        <f>'[3]Sky West_UA'!$EQ$4</f>
        <v>228</v>
      </c>
      <c r="F15" s="106">
        <f>'[3]Sky West_AS'!$EQ$4</f>
        <v>30</v>
      </c>
      <c r="G15" s="109">
        <f>[3]Republic!$EQ$4</f>
        <v>204</v>
      </c>
      <c r="H15" s="109">
        <f>[3]Republic_UA!$EQ$4</f>
        <v>100</v>
      </c>
      <c r="I15" s="109">
        <f>'[3]Air Georgian'!$EQ$15</f>
        <v>0</v>
      </c>
      <c r="J15" s="109">
        <f>'[3]American Eagle'!$EQ$4</f>
        <v>0</v>
      </c>
      <c r="K15" s="107">
        <f>'Other Regional'!M15</f>
        <v>1428</v>
      </c>
      <c r="L15" s="110">
        <f t="shared" si="6"/>
        <v>7069</v>
      </c>
    </row>
    <row r="16" spans="1:12" x14ac:dyDescent="0.2">
      <c r="A16" s="62" t="s">
        <v>57</v>
      </c>
      <c r="B16" s="14">
        <f>[3]Pinnacle!$EQ$5+[3]Pinnacle!$EQ$16</f>
        <v>2090</v>
      </c>
      <c r="C16" s="113">
        <f>[3]MESA_UA!$EQ$5</f>
        <v>161</v>
      </c>
      <c r="D16" s="111">
        <f>'[3]Sky West'!$EQ$5+'[3]Sky West'!$EQ$16</f>
        <v>2825</v>
      </c>
      <c r="E16" s="111">
        <f>'[3]Sky West_UA'!$EQ$5</f>
        <v>228</v>
      </c>
      <c r="F16" s="111">
        <f>'[3]Sky West_AS'!$EQ$5</f>
        <v>30</v>
      </c>
      <c r="G16" s="114">
        <f>[3]Republic!$EQ$5</f>
        <v>205</v>
      </c>
      <c r="H16" s="114">
        <f>[3]Republic_UA!$EQ$5</f>
        <v>100</v>
      </c>
      <c r="I16" s="114">
        <f>'[3]Air Georgian'!$EQ$16</f>
        <v>0</v>
      </c>
      <c r="J16" s="114">
        <f>'[3]American Eagle'!$EQ$5</f>
        <v>0</v>
      </c>
      <c r="K16" s="112">
        <f>'Other Regional'!M16</f>
        <v>1426</v>
      </c>
      <c r="L16" s="115">
        <f t="shared" si="6"/>
        <v>7065</v>
      </c>
    </row>
    <row r="17" spans="1:12" x14ac:dyDescent="0.2">
      <c r="A17" s="71" t="s">
        <v>58</v>
      </c>
      <c r="B17" s="116">
        <f t="shared" ref="B17:J17" si="7">SUM(B15:B16)</f>
        <v>4180</v>
      </c>
      <c r="C17" s="116">
        <f t="shared" si="7"/>
        <v>322</v>
      </c>
      <c r="D17" s="116">
        <f t="shared" si="7"/>
        <v>5653</v>
      </c>
      <c r="E17" s="116">
        <f t="shared" si="7"/>
        <v>456</v>
      </c>
      <c r="F17" s="116">
        <f t="shared" ref="F17" si="8">SUM(F15:F16)</f>
        <v>60</v>
      </c>
      <c r="G17" s="116">
        <f t="shared" si="7"/>
        <v>409</v>
      </c>
      <c r="H17" s="116">
        <f t="shared" ref="H17:I17" si="9">SUM(H15:H16)</f>
        <v>200</v>
      </c>
      <c r="I17" s="116">
        <f t="shared" si="9"/>
        <v>0</v>
      </c>
      <c r="J17" s="116">
        <f t="shared" si="7"/>
        <v>0</v>
      </c>
      <c r="K17" s="116">
        <f>SUM(K15:K16)</f>
        <v>2854</v>
      </c>
      <c r="L17" s="117">
        <f t="shared" si="6"/>
        <v>14134</v>
      </c>
    </row>
    <row r="18" spans="1:12" x14ac:dyDescent="0.2">
      <c r="A18" s="62" t="s">
        <v>59</v>
      </c>
      <c r="B18" s="118">
        <f>[3]Pinnacle!$EQ$8</f>
        <v>0</v>
      </c>
      <c r="C18" s="119">
        <f>[3]MESA_UA!$EQ$8</f>
        <v>0</v>
      </c>
      <c r="D18" s="118">
        <f>'[3]Sky West'!$EQ$8</f>
        <v>0</v>
      </c>
      <c r="E18" s="118">
        <f>'[3]Sky West_UA'!$EQ$8</f>
        <v>0</v>
      </c>
      <c r="F18" s="118">
        <f>'[3]Sky West_AS'!$EQ$8</f>
        <v>0</v>
      </c>
      <c r="G18" s="118">
        <f>[3]Republic!$EQ$8</f>
        <v>0</v>
      </c>
      <c r="H18" s="118">
        <f>[3]Republic_UA!$EQ$8</f>
        <v>0</v>
      </c>
      <c r="I18" s="118">
        <f>'[3]Air Georgian'!$EQ$8</f>
        <v>0</v>
      </c>
      <c r="J18" s="118">
        <f>'[3]American Eagle'!$EQ$8</f>
        <v>0</v>
      </c>
      <c r="K18" s="118">
        <f>'Other Regional'!M18</f>
        <v>0</v>
      </c>
      <c r="L18" s="110">
        <f t="shared" si="6"/>
        <v>0</v>
      </c>
    </row>
    <row r="19" spans="1:12" x14ac:dyDescent="0.2">
      <c r="A19" s="62" t="s">
        <v>60</v>
      </c>
      <c r="B19" s="120">
        <f>[3]Pinnacle!$EQ$9</f>
        <v>3</v>
      </c>
      <c r="C19" s="121">
        <f>[3]MESA_UA!$EQ$9</f>
        <v>0</v>
      </c>
      <c r="D19" s="120">
        <f>'[3]Sky West'!$EQ$9</f>
        <v>5</v>
      </c>
      <c r="E19" s="120">
        <f>'[3]Sky West_UA'!$EQ$9</f>
        <v>0</v>
      </c>
      <c r="F19" s="120">
        <f>'[3]Sky West_AS'!$EQ$9</f>
        <v>0</v>
      </c>
      <c r="G19" s="120">
        <f>[3]Republic!$EQ$9</f>
        <v>0</v>
      </c>
      <c r="H19" s="120">
        <f>[3]Republic_UA!$EQ$9</f>
        <v>0</v>
      </c>
      <c r="I19" s="120">
        <f>'[3]Air Georgian'!$EQ$9</f>
        <v>0</v>
      </c>
      <c r="J19" s="120">
        <f>'[3]American Eagle'!$EQ$9</f>
        <v>0</v>
      </c>
      <c r="K19" s="120">
        <f>'Other Regional'!M19</f>
        <v>3</v>
      </c>
      <c r="L19" s="115">
        <f t="shared" si="6"/>
        <v>11</v>
      </c>
    </row>
    <row r="20" spans="1:12" x14ac:dyDescent="0.2">
      <c r="A20" s="71" t="s">
        <v>61</v>
      </c>
      <c r="B20" s="116">
        <f t="shared" ref="B20:K20" si="10">SUM(B18:B19)</f>
        <v>3</v>
      </c>
      <c r="C20" s="116">
        <f t="shared" si="10"/>
        <v>0</v>
      </c>
      <c r="D20" s="116">
        <f t="shared" si="10"/>
        <v>5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3</v>
      </c>
      <c r="L20" s="117">
        <f t="shared" si="6"/>
        <v>11</v>
      </c>
    </row>
    <row r="21" spans="1:12" ht="15.75" thickBot="1" x14ac:dyDescent="0.3">
      <c r="A21" s="72" t="s">
        <v>31</v>
      </c>
      <c r="B21" s="122">
        <f t="shared" ref="B21:J21" si="13">SUM(B20,B17)</f>
        <v>4183</v>
      </c>
      <c r="C21" s="122">
        <f t="shared" si="13"/>
        <v>322</v>
      </c>
      <c r="D21" s="122">
        <f t="shared" si="13"/>
        <v>5658</v>
      </c>
      <c r="E21" s="122">
        <f t="shared" si="13"/>
        <v>456</v>
      </c>
      <c r="F21" s="122">
        <f t="shared" ref="F21" si="14">SUM(F20,F17)</f>
        <v>60</v>
      </c>
      <c r="G21" s="122">
        <f t="shared" si="13"/>
        <v>409</v>
      </c>
      <c r="H21" s="122">
        <f t="shared" ref="H21:I21" si="15">SUM(H20,H17)</f>
        <v>200</v>
      </c>
      <c r="I21" s="122">
        <f t="shared" si="15"/>
        <v>0</v>
      </c>
      <c r="J21" s="122">
        <f t="shared" si="13"/>
        <v>0</v>
      </c>
      <c r="K21" s="122">
        <f>SUM(K20,K17)</f>
        <v>2857</v>
      </c>
      <c r="L21" s="123">
        <f t="shared" si="6"/>
        <v>14145</v>
      </c>
    </row>
    <row r="22" spans="1:12" ht="13.5" thickBot="1" x14ac:dyDescent="0.25"/>
    <row r="23" spans="1:12" ht="15.75" thickTop="1" x14ac:dyDescent="0.25">
      <c r="A23" s="65" t="s">
        <v>120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[3]Pinnacle!$EQ$47</f>
        <v>0</v>
      </c>
      <c r="C25" s="132">
        <f>[3]MESA_UA!$EQ$47</f>
        <v>0</v>
      </c>
      <c r="D25" s="130">
        <f>'[3]Sky West'!$EQ$47</f>
        <v>0</v>
      </c>
      <c r="E25" s="130">
        <f>'[3]Sky West_UA'!$EQ$47</f>
        <v>0</v>
      </c>
      <c r="F25" s="130">
        <f>'[3]Sky West_AS'!$EQ$47</f>
        <v>1662</v>
      </c>
      <c r="G25" s="130">
        <f>[3]Republic!$EQ$47</f>
        <v>0</v>
      </c>
      <c r="H25" s="130">
        <f>[3]Republic_UA!$EQ$47</f>
        <v>0</v>
      </c>
      <c r="I25" s="130">
        <f>'[3]Air Georgian'!$EQ$47</f>
        <v>0</v>
      </c>
      <c r="J25" s="130">
        <f>'[3]American Eagle'!$EQ$47</f>
        <v>0</v>
      </c>
      <c r="K25" s="130">
        <f>'Other Regional'!M25</f>
        <v>0</v>
      </c>
      <c r="L25" s="110">
        <f>SUM(B25:K25)</f>
        <v>1662</v>
      </c>
    </row>
    <row r="26" spans="1:12" x14ac:dyDescent="0.2">
      <c r="A26" s="75" t="s">
        <v>41</v>
      </c>
      <c r="B26" s="130">
        <f>[3]Pinnacle!$EQ$48</f>
        <v>0</v>
      </c>
      <c r="C26" s="132">
        <f>[3]MESA_UA!$EQ$48</f>
        <v>0</v>
      </c>
      <c r="D26" s="130">
        <f>'[3]Sky West'!$EQ$48</f>
        <v>0</v>
      </c>
      <c r="E26" s="130">
        <f>'[3]Sky West_UA'!$EQ$48</f>
        <v>0</v>
      </c>
      <c r="F26" s="130">
        <f>'[3]Sky West_AS'!$EQ$48</f>
        <v>0</v>
      </c>
      <c r="G26" s="130">
        <f>[3]Republic!$EQ$48</f>
        <v>0</v>
      </c>
      <c r="H26" s="130">
        <f>[3]Republic_UA!$EQ$48</f>
        <v>0</v>
      </c>
      <c r="I26" s="130">
        <f>'[3]Air Georgian'!$EQ$48</f>
        <v>0</v>
      </c>
      <c r="J26" s="130">
        <f>'[3]American Eagle'!$EQ$48</f>
        <v>0</v>
      </c>
      <c r="K26" s="130">
        <f>'Other Regional'!M26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1662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1662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62</v>
      </c>
      <c r="B30" s="130">
        <f>[3]Pinnacle!$EQ$52</f>
        <v>0</v>
      </c>
      <c r="C30" s="132">
        <f>[3]MESA_UA!$EQ$52</f>
        <v>0</v>
      </c>
      <c r="D30" s="130">
        <f>'[3]Sky West'!$EQ$52</f>
        <v>0</v>
      </c>
      <c r="E30" s="130">
        <f>'[3]Sky West_UA'!$EQ$52</f>
        <v>0</v>
      </c>
      <c r="F30" s="130">
        <f>'[3]Sky West_AS'!$EQ$52</f>
        <v>0</v>
      </c>
      <c r="G30" s="130">
        <f>[3]Republic!$EQ$52</f>
        <v>0</v>
      </c>
      <c r="H30" s="130">
        <f>[3]Republic_UA!$EQ$52</f>
        <v>0</v>
      </c>
      <c r="I30" s="130">
        <f>'[3]Air Georgian'!$EQ$52</f>
        <v>0</v>
      </c>
      <c r="J30" s="130">
        <f>'[3]American Eagle'!$EQ$52</f>
        <v>0</v>
      </c>
      <c r="K30" s="130">
        <f>'Other Regional'!M30</f>
        <v>0</v>
      </c>
      <c r="L30" s="110">
        <f t="shared" ref="L30:L37" si="19">SUM(B30:K30)</f>
        <v>0</v>
      </c>
    </row>
    <row r="31" spans="1:12" x14ac:dyDescent="0.2">
      <c r="A31" s="75" t="s">
        <v>63</v>
      </c>
      <c r="B31" s="130">
        <f>[3]Pinnacle!$EQ$53</f>
        <v>0</v>
      </c>
      <c r="C31" s="132">
        <f>[3]MESA_UA!$EQ$53</f>
        <v>0</v>
      </c>
      <c r="D31" s="130">
        <f>'[3]Sky West'!$EQ$53</f>
        <v>0</v>
      </c>
      <c r="E31" s="130">
        <f>'[3]Sky West_UA'!$EQ$53</f>
        <v>0</v>
      </c>
      <c r="F31" s="130">
        <f>'[3]Sky West_AS'!$EQ$53</f>
        <v>0</v>
      </c>
      <c r="G31" s="130">
        <f>[3]Republic!$EQ$53</f>
        <v>0</v>
      </c>
      <c r="H31" s="130">
        <f>[3]Republic_UA!$EQ$53</f>
        <v>0</v>
      </c>
      <c r="I31" s="130">
        <f>'[3]Air Georgian'!$EQ$53</f>
        <v>0</v>
      </c>
      <c r="J31" s="130">
        <f>'[3]American Eagle'!$EQ$53</f>
        <v>0</v>
      </c>
      <c r="K31" s="130">
        <f>'Other Regional'!M31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[3]Pinnacle!$EQ$57</f>
        <v>0</v>
      </c>
      <c r="C35" s="132">
        <f>[3]MESA_UA!$EQ$57</f>
        <v>0</v>
      </c>
      <c r="D35" s="130">
        <f>'[3]Sky West'!$EQ$57</f>
        <v>0</v>
      </c>
      <c r="E35" s="130">
        <f>'[3]Sky West_UA'!$EQ$57</f>
        <v>0</v>
      </c>
      <c r="F35" s="130">
        <f>'[3]Sky West_AS'!$EQ$57</f>
        <v>0</v>
      </c>
      <c r="G35" s="130">
        <f>[3]Republic!$EQ$57</f>
        <v>0</v>
      </c>
      <c r="H35" s="130">
        <f>[3]Republic!$EQ$57</f>
        <v>0</v>
      </c>
      <c r="I35" s="130">
        <f>[3]Republic!$EQ$57</f>
        <v>0</v>
      </c>
      <c r="J35" s="130">
        <f>'[3]American Eagle'!$EQ$57</f>
        <v>0</v>
      </c>
      <c r="K35" s="130">
        <f>'Other Regional'!M35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[3]Pinnacle!$EQ$58</f>
        <v>0</v>
      </c>
      <c r="C36" s="132">
        <f>[3]MESA_UA!$EQ$58</f>
        <v>0</v>
      </c>
      <c r="D36" s="130">
        <f>'[3]Sky West'!$EQ$58</f>
        <v>0</v>
      </c>
      <c r="E36" s="130">
        <f>'[3]Sky West_UA'!$EQ$58</f>
        <v>0</v>
      </c>
      <c r="F36" s="130">
        <f>'[3]Sky West_AS'!$EQ$58</f>
        <v>0</v>
      </c>
      <c r="G36" s="130">
        <f>[3]Republic!$EQ$58</f>
        <v>0</v>
      </c>
      <c r="H36" s="130">
        <f>[3]Republic!$EQ$58</f>
        <v>0</v>
      </c>
      <c r="I36" s="130">
        <f>[3]Republic!$EQ$58</f>
        <v>0</v>
      </c>
      <c r="J36" s="130">
        <f>'[3]American Eagle'!$EQ$58</f>
        <v>0</v>
      </c>
      <c r="K36" s="130">
        <f>'Other Regional'!M36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1662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1662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1662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1662</v>
      </c>
    </row>
    <row r="44" spans="1:12" x14ac:dyDescent="0.2">
      <c r="A44" s="385" t="s">
        <v>127</v>
      </c>
      <c r="B44" s="325">
        <f>[3]Pinnacle!$EQ$70+[3]Pinnacle!$EQ$73</f>
        <v>33004</v>
      </c>
      <c r="D44" s="326">
        <f>'[3]Sky West'!$EQ$70+'[3]Sky West'!$EQ$73</f>
        <v>37935</v>
      </c>
      <c r="E44" s="326">
        <f>'[3]Sky West_UA'!$EQ$70+'[3]Sky West_UA'!$EQ$73</f>
        <v>0</v>
      </c>
      <c r="F44" s="5"/>
      <c r="K44" s="326">
        <f>+'Other Regional'!M46</f>
        <v>29037</v>
      </c>
      <c r="L44" s="314">
        <f>SUM(B44:K44)</f>
        <v>99976</v>
      </c>
    </row>
    <row r="45" spans="1:12" x14ac:dyDescent="0.2">
      <c r="A45" s="400" t="s">
        <v>128</v>
      </c>
      <c r="B45" s="325">
        <f>[3]Pinnacle!$EQ$71+[3]Pinnacle!$EQ$74</f>
        <v>77378</v>
      </c>
      <c r="D45" s="326">
        <f>'[3]Sky West'!$EQ$71+'[3]Sky West'!$EQ$74</f>
        <v>93571</v>
      </c>
      <c r="E45" s="326">
        <f>'[3]Sky West_UA'!$EQ$71+'[3]Sky West_UA'!$EQ$74</f>
        <v>0</v>
      </c>
      <c r="F45" s="5"/>
      <c r="K45" s="326">
        <f>+'Other Regional'!M47</f>
        <v>52914</v>
      </c>
      <c r="L45" s="314">
        <f>SUM(B45:K45)</f>
        <v>223863</v>
      </c>
    </row>
    <row r="46" spans="1:12" x14ac:dyDescent="0.2">
      <c r="A46" s="316" t="s">
        <v>129</v>
      </c>
      <c r="B46" s="317">
        <f>SUM(B44:B45)</f>
        <v>110382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June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9.85546875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6" customHeight="1" x14ac:dyDescent="0.2">
      <c r="A1" s="396"/>
    </row>
    <row r="2" spans="1:13" s="7" customFormat="1" ht="55.5" customHeight="1" x14ac:dyDescent="0.2">
      <c r="A2" s="389">
        <v>42522</v>
      </c>
      <c r="B2" s="453" t="s">
        <v>202</v>
      </c>
      <c r="C2" s="453" t="s">
        <v>201</v>
      </c>
      <c r="D2" s="453" t="s">
        <v>203</v>
      </c>
      <c r="E2" s="453" t="s">
        <v>137</v>
      </c>
      <c r="F2" s="453" t="s">
        <v>208</v>
      </c>
      <c r="G2" s="453" t="s">
        <v>207</v>
      </c>
      <c r="H2" s="453" t="s">
        <v>170</v>
      </c>
      <c r="I2" s="453" t="s">
        <v>182</v>
      </c>
      <c r="J2" s="453" t="s">
        <v>221</v>
      </c>
      <c r="K2" s="453" t="s">
        <v>209</v>
      </c>
      <c r="L2" s="453" t="s">
        <v>206</v>
      </c>
      <c r="M2" s="19" t="s">
        <v>24</v>
      </c>
    </row>
    <row r="3" spans="1:13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3"/>
      <c r="L3" s="412"/>
      <c r="M3" s="478"/>
    </row>
    <row r="4" spans="1:13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33</v>
      </c>
      <c r="B5" s="131">
        <f>'[3]Shuttle America'!$EQ$22</f>
        <v>821</v>
      </c>
      <c r="C5" s="131">
        <f>'[3]Shuttle America_Delta'!$EQ$22</f>
        <v>3883</v>
      </c>
      <c r="D5" s="131">
        <f>'[3]Jazz Air'!$EQ$32</f>
        <v>0</v>
      </c>
      <c r="E5" s="21">
        <f>[3]Compass!$EQ$22+[3]Compass!$EQ$32</f>
        <v>49260</v>
      </c>
      <c r="F5" s="131">
        <f>'[3]Atlantic Southeast'!$EQ$22+'[3]Atlantic Southeast'!$EQ$32</f>
        <v>24270</v>
      </c>
      <c r="G5" s="131">
        <f>'[3]Continental Express'!$EQ$22</f>
        <v>597</v>
      </c>
      <c r="H5" s="130">
        <f>'[3]Go Jet_UA'!$EQ$22</f>
        <v>1857</v>
      </c>
      <c r="I5" s="21">
        <f>'[3]Go Jet'!$EQ$22+'[3]Go Jet'!$EQ$32</f>
        <v>4128</v>
      </c>
      <c r="J5" s="21">
        <f>[3]PSA!$EQ$22+[3]PSA!$EQ$32</f>
        <v>1059</v>
      </c>
      <c r="K5" s="132">
        <f>'[3]Air Wisconsin'!$EQ$22</f>
        <v>0</v>
      </c>
      <c r="L5" s="130">
        <f>[3]MESA!$EQ$22</f>
        <v>0</v>
      </c>
      <c r="M5" s="110">
        <f>SUM(B5:L5)</f>
        <v>85875</v>
      </c>
    </row>
    <row r="6" spans="1:13" s="10" customFormat="1" x14ac:dyDescent="0.2">
      <c r="A6" s="62" t="s">
        <v>34</v>
      </c>
      <c r="B6" s="131">
        <f>'[3]Shuttle America'!$EQ$23</f>
        <v>888</v>
      </c>
      <c r="C6" s="131">
        <f>'[3]Shuttle America_Delta'!$EQ$23</f>
        <v>3723</v>
      </c>
      <c r="D6" s="131">
        <f>'[3]Jazz Air'!$EQ$33</f>
        <v>0</v>
      </c>
      <c r="E6" s="14">
        <f>[3]Compass!$EQ$23+[3]Compass!$EQ$33</f>
        <v>49828</v>
      </c>
      <c r="F6" s="131">
        <f>'[3]Atlantic Southeast'!$EQ$23+'[3]Atlantic Southeast'!$EQ$33</f>
        <v>24209</v>
      </c>
      <c r="G6" s="131">
        <f>'[3]Continental Express'!$EQ$23</f>
        <v>564</v>
      </c>
      <c r="H6" s="130">
        <f>'[3]Go Jet_UA'!$EQ$23</f>
        <v>1728</v>
      </c>
      <c r="I6" s="14">
        <f>'[3]Go Jet'!$EQ$23+'[3]Go Jet'!$EQ$33</f>
        <v>4191</v>
      </c>
      <c r="J6" s="14">
        <f>[3]PSA!$EQ$23+[3]PSA!$EQ$33</f>
        <v>938</v>
      </c>
      <c r="K6" s="132">
        <f>'[3]Air Wisconsin'!$EQ$23</f>
        <v>0</v>
      </c>
      <c r="L6" s="130">
        <f>[3]MESA!$EQ$23</f>
        <v>0</v>
      </c>
      <c r="M6" s="115">
        <f>SUM(B6:L6)</f>
        <v>86069</v>
      </c>
    </row>
    <row r="7" spans="1:13" ht="15" thickBot="1" x14ac:dyDescent="0.25">
      <c r="A7" s="73" t="s">
        <v>7</v>
      </c>
      <c r="B7" s="133">
        <f t="shared" ref="B7:L7" si="0">SUM(B5:B6)</f>
        <v>1709</v>
      </c>
      <c r="C7" s="133">
        <f t="shared" si="0"/>
        <v>7606</v>
      </c>
      <c r="D7" s="133">
        <f t="shared" si="0"/>
        <v>0</v>
      </c>
      <c r="E7" s="133">
        <f>SUM(E5:E6)</f>
        <v>99088</v>
      </c>
      <c r="F7" s="133">
        <f t="shared" si="0"/>
        <v>48479</v>
      </c>
      <c r="G7" s="133">
        <f t="shared" si="0"/>
        <v>1161</v>
      </c>
      <c r="H7" s="133">
        <f t="shared" si="0"/>
        <v>3585</v>
      </c>
      <c r="I7" s="133">
        <f>SUM(I5:I6)</f>
        <v>8319</v>
      </c>
      <c r="J7" s="133">
        <f>SUM(J5:J6)</f>
        <v>1997</v>
      </c>
      <c r="K7" s="133">
        <f t="shared" si="0"/>
        <v>0</v>
      </c>
      <c r="L7" s="133">
        <f t="shared" si="0"/>
        <v>0</v>
      </c>
      <c r="M7" s="134">
        <f>SUM(B7:L7)</f>
        <v>171944</v>
      </c>
    </row>
    <row r="8" spans="1:13" ht="13.5" thickTop="1" x14ac:dyDescent="0.2">
      <c r="A8" s="62"/>
      <c r="B8" s="131"/>
      <c r="C8" s="131"/>
      <c r="D8" s="131"/>
      <c r="E8" s="346"/>
      <c r="F8" s="131"/>
      <c r="G8" s="131"/>
      <c r="H8" s="130"/>
      <c r="I8" s="346"/>
      <c r="J8" s="346"/>
      <c r="K8" s="132"/>
      <c r="L8" s="130"/>
      <c r="M8" s="135"/>
    </row>
    <row r="9" spans="1:13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21"/>
      <c r="K9" s="132"/>
      <c r="L9" s="130"/>
      <c r="M9" s="110"/>
    </row>
    <row r="10" spans="1:13" x14ac:dyDescent="0.2">
      <c r="A10" s="62" t="s">
        <v>33</v>
      </c>
      <c r="B10" s="131">
        <f>'[3]Shuttle America'!$EQ$27</f>
        <v>21</v>
      </c>
      <c r="C10" s="131">
        <f>'[3]Shuttle America_Delta'!$EQ$27</f>
        <v>130</v>
      </c>
      <c r="D10" s="131">
        <f>'[3]Jazz Air'!$EQ$37</f>
        <v>0</v>
      </c>
      <c r="E10" s="21">
        <f>[3]Compass!$EQ$27+[3]Compass!$EQ$37</f>
        <v>1694</v>
      </c>
      <c r="F10" s="21">
        <f>'[3]Atlantic Southeast'!$EQ$27+'[3]Atlantic Southeast'!$EQ$37</f>
        <v>765</v>
      </c>
      <c r="G10" s="131">
        <f>'[3]Continental Express'!$EQ$27</f>
        <v>25</v>
      </c>
      <c r="H10" s="130">
        <f>'[3]Go Jet_UA'!$EQ$27</f>
        <v>53</v>
      </c>
      <c r="I10" s="21">
        <f>'[3]Go Jet'!$EQ$27+'[3]Go Jet'!$EQ$37</f>
        <v>100</v>
      </c>
      <c r="J10" s="21">
        <f>[3]PSA!$EQ$27+[3]PSA!$EQ$37</f>
        <v>45</v>
      </c>
      <c r="K10" s="132">
        <f>'[3]Air Wisconsin'!$EQ$27</f>
        <v>0</v>
      </c>
      <c r="L10" s="130">
        <f>[3]MESA!$EQ$27</f>
        <v>0</v>
      </c>
      <c r="M10" s="110">
        <f>SUM(B10:L10)</f>
        <v>2833</v>
      </c>
    </row>
    <row r="11" spans="1:13" x14ac:dyDescent="0.2">
      <c r="A11" s="62" t="s">
        <v>36</v>
      </c>
      <c r="B11" s="131">
        <f>'[3]Shuttle America'!$EQ$28</f>
        <v>11</v>
      </c>
      <c r="C11" s="131">
        <f>'[3]Shuttle America_Delta'!$EQ$28</f>
        <v>133</v>
      </c>
      <c r="D11" s="131">
        <f>'[3]Jazz Air'!$EQ$38</f>
        <v>0</v>
      </c>
      <c r="E11" s="14">
        <f>[3]Compass!$EQ$28+[3]Compass!$EQ$38</f>
        <v>1951</v>
      </c>
      <c r="F11" s="14">
        <f>'[3]Atlantic Southeast'!$EQ$28+'[3]Atlantic Southeast'!$EQ$38</f>
        <v>773</v>
      </c>
      <c r="G11" s="131">
        <f>'[3]Continental Express'!$EQ$28</f>
        <v>11</v>
      </c>
      <c r="H11" s="130">
        <f>'[3]Go Jet_UA'!$EQ$28</f>
        <v>14</v>
      </c>
      <c r="I11" s="14">
        <f>'[3]Go Jet'!$EQ$28+'[3]Go Jet'!$EQ$38</f>
        <v>99</v>
      </c>
      <c r="J11" s="14">
        <f>[3]PSA!$EQ$28+[3]PSA!$EQ$38</f>
        <v>29</v>
      </c>
      <c r="K11" s="132">
        <f>'[3]Air Wisconsin'!$EQ$28</f>
        <v>0</v>
      </c>
      <c r="L11" s="130">
        <f>[3]MESA!$EQ$28</f>
        <v>0</v>
      </c>
      <c r="M11" s="115">
        <f>SUM(B11:L11)</f>
        <v>3021</v>
      </c>
    </row>
    <row r="12" spans="1:13" ht="15" thickBot="1" x14ac:dyDescent="0.25">
      <c r="A12" s="74" t="s">
        <v>37</v>
      </c>
      <c r="B12" s="136">
        <f>SUM(B10:B11)</f>
        <v>32</v>
      </c>
      <c r="C12" s="136">
        <f>SUM(C10:C11)</f>
        <v>263</v>
      </c>
      <c r="D12" s="136">
        <f t="shared" ref="D12:L12" si="1">SUM(D10:D11)</f>
        <v>0</v>
      </c>
      <c r="E12" s="136">
        <f t="shared" si="1"/>
        <v>3645</v>
      </c>
      <c r="F12" s="136">
        <f t="shared" si="1"/>
        <v>1538</v>
      </c>
      <c r="G12" s="136">
        <f t="shared" si="1"/>
        <v>36</v>
      </c>
      <c r="H12" s="136">
        <f t="shared" si="1"/>
        <v>67</v>
      </c>
      <c r="I12" s="136">
        <f t="shared" ref="I12:J12" si="2">SUM(I10:I11)</f>
        <v>199</v>
      </c>
      <c r="J12" s="136">
        <f t="shared" si="2"/>
        <v>74</v>
      </c>
      <c r="K12" s="136">
        <f t="shared" si="1"/>
        <v>0</v>
      </c>
      <c r="L12" s="136">
        <f t="shared" si="1"/>
        <v>0</v>
      </c>
      <c r="M12" s="137">
        <f>SUM(B12:L12)</f>
        <v>5854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3"/>
      <c r="K14" s="104"/>
      <c r="L14" s="103"/>
      <c r="M14" s="105"/>
    </row>
    <row r="15" spans="1:13" x14ac:dyDescent="0.2">
      <c r="A15" s="62" t="s">
        <v>56</v>
      </c>
      <c r="B15" s="106">
        <f>'[3]Shuttle America'!$EQ$4</f>
        <v>13</v>
      </c>
      <c r="C15" s="106">
        <f>'[3]Shuttle America_Delta'!$EQ$4</f>
        <v>63</v>
      </c>
      <c r="D15" s="107">
        <f>'[3]Jazz Air'!$EQ$15</f>
        <v>0</v>
      </c>
      <c r="E15" s="21">
        <f>[3]Compass!$EQ$4+[3]Compass!$EQ$15</f>
        <v>816</v>
      </c>
      <c r="F15" s="107">
        <f>'[3]Atlantic Southeast'!$EQ$4+'[3]Atlantic Southeast'!$EQ$15</f>
        <v>414</v>
      </c>
      <c r="G15" s="107">
        <f>'[3]Continental Express'!$EQ$4</f>
        <v>13</v>
      </c>
      <c r="H15" s="106">
        <f>'[3]Go Jet_UA'!$EQ$4</f>
        <v>28</v>
      </c>
      <c r="I15" s="106">
        <f>'[3]Go Jet'!$EQ$4+'[3]Go Jet'!$EQ$15</f>
        <v>65</v>
      </c>
      <c r="J15" s="106">
        <f>[3]PSA!$EQ$4+[3]PSA!$EQ$15</f>
        <v>16</v>
      </c>
      <c r="K15" s="108">
        <f>'[3]Air Wisconsin'!$EQ$4</f>
        <v>0</v>
      </c>
      <c r="L15" s="106">
        <f>[3]MESA!$EQ$4</f>
        <v>0</v>
      </c>
      <c r="M15" s="110">
        <f>SUM(B15:L15)</f>
        <v>1428</v>
      </c>
    </row>
    <row r="16" spans="1:13" x14ac:dyDescent="0.2">
      <c r="A16" s="62" t="s">
        <v>57</v>
      </c>
      <c r="B16" s="111">
        <f>'[3]Shuttle America'!$EQ$5</f>
        <v>13</v>
      </c>
      <c r="C16" s="111">
        <f>'[3]Shuttle America_Delta'!$EQ$5</f>
        <v>63</v>
      </c>
      <c r="D16" s="112">
        <f>'[3]Jazz Air'!$EQ$16</f>
        <v>0</v>
      </c>
      <c r="E16" s="14">
        <f>[3]Compass!$EQ$5+[3]Compass!$EQ$16</f>
        <v>815</v>
      </c>
      <c r="F16" s="112">
        <f>'[3]Atlantic Southeast'!$EQ$5+'[3]Atlantic Southeast'!$EQ$16</f>
        <v>413</v>
      </c>
      <c r="G16" s="112">
        <f>'[3]Continental Express'!$EQ$5</f>
        <v>13</v>
      </c>
      <c r="H16" s="111">
        <f>'[3]Go Jet_UA'!$EQ$5</f>
        <v>28</v>
      </c>
      <c r="I16" s="111">
        <f>'[3]Go Jet'!$EQ$5+'[3]Go Jet'!$EQ$16</f>
        <v>65</v>
      </c>
      <c r="J16" s="111">
        <f>[3]PSA!$EQ$5+[3]PSA!$EQ$16</f>
        <v>16</v>
      </c>
      <c r="K16" s="113">
        <f>'[3]Air Wisconsin'!$EQ$5</f>
        <v>0</v>
      </c>
      <c r="L16" s="111">
        <f>[3]MESA!$EQ$5</f>
        <v>0</v>
      </c>
      <c r="M16" s="115">
        <f>SUM(B16:L16)</f>
        <v>1426</v>
      </c>
    </row>
    <row r="17" spans="1:13" x14ac:dyDescent="0.2">
      <c r="A17" s="71" t="s">
        <v>58</v>
      </c>
      <c r="B17" s="116">
        <f>SUM(B15:B16)</f>
        <v>26</v>
      </c>
      <c r="C17" s="116">
        <f>SUM(C15:C16)</f>
        <v>126</v>
      </c>
      <c r="D17" s="116">
        <f t="shared" ref="D17:L17" si="3">SUM(D15:D16)</f>
        <v>0</v>
      </c>
      <c r="E17" s="291">
        <f>SUM(E15:E16)</f>
        <v>1631</v>
      </c>
      <c r="F17" s="116">
        <f t="shared" si="3"/>
        <v>827</v>
      </c>
      <c r="G17" s="116">
        <f t="shared" si="3"/>
        <v>26</v>
      </c>
      <c r="H17" s="116">
        <f t="shared" si="3"/>
        <v>56</v>
      </c>
      <c r="I17" s="116">
        <f t="shared" ref="I17:J17" si="4">SUM(I15:I16)</f>
        <v>130</v>
      </c>
      <c r="J17" s="116">
        <f t="shared" si="4"/>
        <v>32</v>
      </c>
      <c r="K17" s="116">
        <f t="shared" si="3"/>
        <v>0</v>
      </c>
      <c r="L17" s="116">
        <f t="shared" si="3"/>
        <v>0</v>
      </c>
      <c r="M17" s="117">
        <f>SUM(B17:L17)</f>
        <v>2854</v>
      </c>
    </row>
    <row r="18" spans="1:13" x14ac:dyDescent="0.2">
      <c r="A18" s="62" t="s">
        <v>59</v>
      </c>
      <c r="B18" s="118">
        <f>'[3]Shuttle America'!$EQ$8</f>
        <v>0</v>
      </c>
      <c r="C18" s="118">
        <f>'[3]Shuttle America_Delta'!$EQ$8</f>
        <v>0</v>
      </c>
      <c r="D18" s="118">
        <f>'[3]Jazz Air'!$EQ$8</f>
        <v>0</v>
      </c>
      <c r="E18" s="21">
        <f>[3]Compass!$EQ$8</f>
        <v>0</v>
      </c>
      <c r="F18" s="109">
        <f>'[3]Atlantic Southeast'!$EQ$8</f>
        <v>0</v>
      </c>
      <c r="G18" s="109">
        <f>'[3]Continental Express'!$EQ$8</f>
        <v>0</v>
      </c>
      <c r="H18" s="118">
        <f>'[3]Go Jet_UA'!$EQ$8</f>
        <v>0</v>
      </c>
      <c r="I18" s="118">
        <f>'[3]Go Jet'!$EQ$8</f>
        <v>0</v>
      </c>
      <c r="J18" s="118">
        <f>[3]PSA!$EQ$8</f>
        <v>0</v>
      </c>
      <c r="K18" s="119">
        <f>'[3]Air Wisconsin'!$EQ$8</f>
        <v>0</v>
      </c>
      <c r="L18" s="118">
        <f>[3]MESA!$EQ$8</f>
        <v>0</v>
      </c>
      <c r="M18" s="110">
        <f t="shared" ref="M18" si="5">SUM(B18:L18)</f>
        <v>0</v>
      </c>
    </row>
    <row r="19" spans="1:13" x14ac:dyDescent="0.2">
      <c r="A19" s="62" t="s">
        <v>60</v>
      </c>
      <c r="B19" s="120">
        <f>'[3]Shuttle America'!$EQ$9</f>
        <v>0</v>
      </c>
      <c r="C19" s="120">
        <f>'[3]Shuttle America_Delta'!$EQ$9</f>
        <v>0</v>
      </c>
      <c r="D19" s="120">
        <f>'[3]Jazz Air'!$EQ$9</f>
        <v>0</v>
      </c>
      <c r="E19" s="14">
        <f>[3]Compass!$EQ$9</f>
        <v>1</v>
      </c>
      <c r="F19" s="114">
        <f>'[3]Atlantic Southeast'!$EQ$9</f>
        <v>2</v>
      </c>
      <c r="G19" s="114">
        <f>'[3]Continental Express'!$EQ$9</f>
        <v>0</v>
      </c>
      <c r="H19" s="120">
        <f>'[3]Go Jet_UA'!$EQ$9</f>
        <v>0</v>
      </c>
      <c r="I19" s="120">
        <f>'[3]Go Jet'!$EQ$9</f>
        <v>0</v>
      </c>
      <c r="J19" s="120">
        <f>[3]PSA!$EQ$9</f>
        <v>0</v>
      </c>
      <c r="K19" s="121">
        <f>'[3]Air Wisconsin'!$EQ$9</f>
        <v>0</v>
      </c>
      <c r="L19" s="120">
        <f>[3]MESA!$EQ$9</f>
        <v>0</v>
      </c>
      <c r="M19" s="115">
        <f>SUM(B19:L19)</f>
        <v>3</v>
      </c>
    </row>
    <row r="20" spans="1:13" x14ac:dyDescent="0.2">
      <c r="A20" s="71" t="s">
        <v>61</v>
      </c>
      <c r="B20" s="116">
        <f>SUM(B18:B19)</f>
        <v>0</v>
      </c>
      <c r="C20" s="116">
        <f>SUM(C18:C19)</f>
        <v>0</v>
      </c>
      <c r="D20" s="116">
        <f t="shared" ref="D20:L20" si="6">SUM(D18:D19)</f>
        <v>0</v>
      </c>
      <c r="E20" s="291">
        <f>SUM(E18:E19)</f>
        <v>1</v>
      </c>
      <c r="F20" s="116">
        <f t="shared" si="6"/>
        <v>2</v>
      </c>
      <c r="G20" s="116">
        <f t="shared" si="6"/>
        <v>0</v>
      </c>
      <c r="H20" s="116">
        <f t="shared" si="6"/>
        <v>0</v>
      </c>
      <c r="I20" s="116">
        <f t="shared" ref="I20:J20" si="7">SUM(I18:I19)</f>
        <v>0</v>
      </c>
      <c r="J20" s="116">
        <f t="shared" si="7"/>
        <v>0</v>
      </c>
      <c r="K20" s="116">
        <f t="shared" si="6"/>
        <v>0</v>
      </c>
      <c r="L20" s="116">
        <f t="shared" si="6"/>
        <v>0</v>
      </c>
      <c r="M20" s="117">
        <f>SUM(B20:L20)</f>
        <v>3</v>
      </c>
    </row>
    <row r="21" spans="1:13" ht="15.75" thickBot="1" x14ac:dyDescent="0.3">
      <c r="A21" s="72" t="s">
        <v>31</v>
      </c>
      <c r="B21" s="122">
        <f>SUM(B20,B17)</f>
        <v>26</v>
      </c>
      <c r="C21" s="122">
        <f>SUM(C20,C17)</f>
        <v>126</v>
      </c>
      <c r="D21" s="122">
        <f t="shared" ref="D21:L21" si="8">SUM(D20,D17)</f>
        <v>0</v>
      </c>
      <c r="E21" s="122">
        <f t="shared" si="8"/>
        <v>1632</v>
      </c>
      <c r="F21" s="122">
        <f t="shared" si="8"/>
        <v>829</v>
      </c>
      <c r="G21" s="122">
        <f t="shared" si="8"/>
        <v>26</v>
      </c>
      <c r="H21" s="122">
        <f t="shared" si="8"/>
        <v>56</v>
      </c>
      <c r="I21" s="122">
        <f t="shared" ref="I21:J21" si="9">SUM(I20,I17)</f>
        <v>130</v>
      </c>
      <c r="J21" s="122">
        <f t="shared" si="9"/>
        <v>32</v>
      </c>
      <c r="K21" s="122">
        <f t="shared" si="8"/>
        <v>0</v>
      </c>
      <c r="L21" s="122">
        <f t="shared" si="8"/>
        <v>0</v>
      </c>
      <c r="M21" s="123">
        <f>SUM(B21:L21)</f>
        <v>2857</v>
      </c>
    </row>
    <row r="22" spans="1:13" ht="3.75" customHeight="1" thickBot="1" x14ac:dyDescent="0.25"/>
    <row r="23" spans="1:13" ht="15.75" thickTop="1" x14ac:dyDescent="0.25">
      <c r="A23" s="65" t="s">
        <v>120</v>
      </c>
      <c r="B23" s="138"/>
      <c r="C23" s="138"/>
      <c r="D23" s="138"/>
      <c r="E23" s="138"/>
      <c r="F23" s="139"/>
      <c r="G23" s="139"/>
      <c r="H23" s="138"/>
      <c r="I23" s="138"/>
      <c r="J23" s="138"/>
      <c r="K23" s="139"/>
      <c r="L23" s="138"/>
      <c r="M23" s="140"/>
    </row>
    <row r="24" spans="1:13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0"/>
      <c r="K24" s="132"/>
      <c r="L24" s="130"/>
      <c r="M24" s="110"/>
    </row>
    <row r="25" spans="1:13" x14ac:dyDescent="0.2">
      <c r="A25" s="75" t="s">
        <v>40</v>
      </c>
      <c r="B25" s="130">
        <f>'[3]Shuttle America'!$EQ$47</f>
        <v>0</v>
      </c>
      <c r="C25" s="130">
        <f>'[3]Shuttle America_Delta'!$EQ$47</f>
        <v>0</v>
      </c>
      <c r="D25" s="130">
        <f>'[3]Jazz Air'!$EQ$47</f>
        <v>0</v>
      </c>
      <c r="E25" s="130">
        <f>[3]Compass!$EQ$47</f>
        <v>0</v>
      </c>
      <c r="F25" s="131">
        <f>'[3]Atlantic Southeast'!$EQ$47</f>
        <v>0</v>
      </c>
      <c r="G25" s="131">
        <f>'[3]Continental Express'!$EQ$47</f>
        <v>0</v>
      </c>
      <c r="H25" s="130">
        <f>'[3]Go Jet_UA'!$EQ$47</f>
        <v>0</v>
      </c>
      <c r="I25" s="130">
        <f>'[3]Go Jet'!$EQ$47</f>
        <v>0</v>
      </c>
      <c r="J25" s="130">
        <f>[3]PSA!$EQ$47</f>
        <v>0</v>
      </c>
      <c r="K25" s="132">
        <f>'[3]Air Wisconsin'!$EQ$47</f>
        <v>0</v>
      </c>
      <c r="L25" s="130">
        <f>[3]MESA!$EQ$47</f>
        <v>0</v>
      </c>
      <c r="M25" s="110">
        <f>SUM(B25:L25)</f>
        <v>0</v>
      </c>
    </row>
    <row r="26" spans="1:13" x14ac:dyDescent="0.2">
      <c r="A26" s="75" t="s">
        <v>41</v>
      </c>
      <c r="B26" s="130">
        <f>'[3]Shuttle America'!$EQ$48</f>
        <v>0</v>
      </c>
      <c r="C26" s="130">
        <f>'[3]Shuttle America_Delta'!$EQ$48</f>
        <v>0</v>
      </c>
      <c r="D26" s="130">
        <f>'[3]Jazz Air'!$EQ$48</f>
        <v>0</v>
      </c>
      <c r="E26" s="130">
        <f>[3]Compass!$EQ$48</f>
        <v>0</v>
      </c>
      <c r="F26" s="131">
        <f>'[3]Atlantic Southeast'!$EQ$48</f>
        <v>0</v>
      </c>
      <c r="G26" s="131">
        <f>'[3]Continental Express'!$EQ$48</f>
        <v>0</v>
      </c>
      <c r="H26" s="130">
        <f>'[3]Go Jet_UA'!$EQ$48</f>
        <v>0</v>
      </c>
      <c r="I26" s="130">
        <f>'[3]Go Jet'!$EQ$48</f>
        <v>0</v>
      </c>
      <c r="J26" s="130">
        <f>[3]PSA!$EQ$48</f>
        <v>0</v>
      </c>
      <c r="K26" s="132">
        <f>'[3]Air Wisconsin'!$EQ$48</f>
        <v>0</v>
      </c>
      <c r="L26" s="130">
        <f>[3]MESA!$EQ$48</f>
        <v>0</v>
      </c>
      <c r="M26" s="110">
        <f>SUM(B26:L26)</f>
        <v>0</v>
      </c>
    </row>
    <row r="27" spans="1:13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L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:J27" si="11">SUM(I25:I26)</f>
        <v>0</v>
      </c>
      <c r="J27" s="133">
        <f t="shared" si="11"/>
        <v>0</v>
      </c>
      <c r="K27" s="133">
        <f t="shared" si="10"/>
        <v>0</v>
      </c>
      <c r="L27" s="133">
        <f t="shared" si="10"/>
        <v>0</v>
      </c>
      <c r="M27" s="134">
        <f>SUM(B27:L27)</f>
        <v>0</v>
      </c>
    </row>
    <row r="28" spans="1:13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0"/>
      <c r="K28" s="132"/>
      <c r="L28" s="130"/>
      <c r="M28" s="110"/>
    </row>
    <row r="29" spans="1:13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0"/>
      <c r="K29" s="132"/>
      <c r="L29" s="130"/>
      <c r="M29" s="110"/>
    </row>
    <row r="30" spans="1:13" x14ac:dyDescent="0.2">
      <c r="A30" s="75" t="s">
        <v>62</v>
      </c>
      <c r="B30" s="130">
        <f>'[3]Shuttle America'!$EQ$52</f>
        <v>0</v>
      </c>
      <c r="C30" s="130">
        <f>'[3]Shuttle America_Delta'!$EQ$52</f>
        <v>0</v>
      </c>
      <c r="D30" s="130">
        <f>'[3]Jazz Air'!$EQ$52</f>
        <v>0</v>
      </c>
      <c r="E30" s="130">
        <f>[3]Compass!$EQ$52</f>
        <v>0</v>
      </c>
      <c r="F30" s="131">
        <f>'[3]Atlantic Southeast'!$EQ$52</f>
        <v>0</v>
      </c>
      <c r="G30" s="131">
        <f>'[3]Continental Express'!$EQ$52</f>
        <v>0</v>
      </c>
      <c r="H30" s="130">
        <f>'[3]Go Jet_UA'!$EQ$52</f>
        <v>0</v>
      </c>
      <c r="I30" s="130">
        <f>'[3]Go Jet'!$EQ$52</f>
        <v>0</v>
      </c>
      <c r="J30" s="130">
        <f>[3]PSA!$EQ$52</f>
        <v>0</v>
      </c>
      <c r="K30" s="132">
        <f>'[3]Air Wisconsin'!BH$52</f>
        <v>0</v>
      </c>
      <c r="L30" s="130">
        <f>[3]MESA!$EQ$52</f>
        <v>0</v>
      </c>
      <c r="M30" s="110">
        <f>SUM(B30:L30)</f>
        <v>0</v>
      </c>
    </row>
    <row r="31" spans="1:13" x14ac:dyDescent="0.2">
      <c r="A31" s="75" t="s">
        <v>63</v>
      </c>
      <c r="B31" s="130">
        <f>'[3]Shuttle America'!$EQ$53</f>
        <v>0</v>
      </c>
      <c r="C31" s="130">
        <f>'[3]Shuttle America_Delta'!$EQ$53</f>
        <v>0</v>
      </c>
      <c r="D31" s="130">
        <f>'[3]Jazz Air'!$EQ$53</f>
        <v>0</v>
      </c>
      <c r="E31" s="130">
        <f>[3]Compass!$EQ$53</f>
        <v>0</v>
      </c>
      <c r="F31" s="131">
        <f>'[3]Atlantic Southeast'!$EQ$53</f>
        <v>0</v>
      </c>
      <c r="G31" s="131">
        <f>'[3]Continental Express'!$EQ$53</f>
        <v>0</v>
      </c>
      <c r="H31" s="130">
        <f>'[3]Go Jet_UA'!$EQ$53</f>
        <v>0</v>
      </c>
      <c r="I31" s="130">
        <f>'[3]Go Jet'!$EQ$53</f>
        <v>0</v>
      </c>
      <c r="J31" s="130">
        <f>[3]PSA!$EQ$53</f>
        <v>0</v>
      </c>
      <c r="K31" s="132">
        <f>'[3]Air Wisconsin'!$EQ$53</f>
        <v>0</v>
      </c>
      <c r="L31" s="130">
        <f>[3]MESA!$EQ$53</f>
        <v>0</v>
      </c>
      <c r="M31" s="110">
        <f>SUM(B31:L31)</f>
        <v>0</v>
      </c>
    </row>
    <row r="32" spans="1:13" ht="15" thickBot="1" x14ac:dyDescent="0.25">
      <c r="A32" s="73" t="s">
        <v>44</v>
      </c>
      <c r="B32" s="133">
        <f t="shared" ref="B32:L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:J32" si="13">SUM(I30:I31)</f>
        <v>0</v>
      </c>
      <c r="J32" s="133">
        <f t="shared" si="13"/>
        <v>0</v>
      </c>
      <c r="K32" s="133">
        <f t="shared" si="12"/>
        <v>0</v>
      </c>
      <c r="L32" s="133">
        <f t="shared" si="12"/>
        <v>0</v>
      </c>
      <c r="M32" s="134">
        <f>SUM(B32:L32)</f>
        <v>0</v>
      </c>
    </row>
    <row r="33" spans="1:13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0"/>
      <c r="K33" s="132"/>
      <c r="L33" s="130"/>
      <c r="M33" s="110"/>
    </row>
    <row r="34" spans="1:13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0"/>
      <c r="K34" s="132"/>
      <c r="L34" s="130"/>
      <c r="M34" s="110"/>
    </row>
    <row r="35" spans="1:13" ht="13.5" hidden="1" thickTop="1" x14ac:dyDescent="0.2">
      <c r="A35" s="75" t="s">
        <v>40</v>
      </c>
      <c r="B35" s="130">
        <f>'[3]Shuttle America'!$EQ$57</f>
        <v>0</v>
      </c>
      <c r="C35" s="130">
        <f>'[3]Shuttle America_Delta'!$EQ$57</f>
        <v>0</v>
      </c>
      <c r="D35" s="130">
        <f>'[3]Jazz Air'!$EQ$57</f>
        <v>0</v>
      </c>
      <c r="E35" s="130">
        <f>[3]Compass!$EQ$57</f>
        <v>0</v>
      </c>
      <c r="F35" s="131">
        <f>'[3]Atlantic Southeast'!$EQ$57</f>
        <v>0</v>
      </c>
      <c r="G35" s="131">
        <f>'[3]Continental Express'!$EQ$57</f>
        <v>0</v>
      </c>
      <c r="H35" s="130">
        <f>'[3]Go Jet_UA'!$AJ$57</f>
        <v>0</v>
      </c>
      <c r="I35" s="130">
        <f>'[3]Go Jet'!$AJ$57</f>
        <v>0</v>
      </c>
      <c r="J35" s="130">
        <f>[3]PSA!$AJ$57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'[3]Jazz Air'!BG$58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0">
        <f>[3]PSA!$AJ$58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L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:J37" si="15">SUM(I35:I36)</f>
        <v>0</v>
      </c>
      <c r="J37" s="141">
        <f t="shared" si="15"/>
        <v>0</v>
      </c>
      <c r="K37" s="141">
        <f t="shared" si="14"/>
        <v>0</v>
      </c>
      <c r="L37" s="141">
        <f t="shared" si="14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0"/>
      <c r="K38" s="132"/>
      <c r="L38" s="130"/>
      <c r="M38" s="110"/>
    </row>
    <row r="39" spans="1:13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0"/>
      <c r="K39" s="132"/>
      <c r="L39" s="130"/>
      <c r="M39" s="110"/>
    </row>
    <row r="40" spans="1:13" x14ac:dyDescent="0.2">
      <c r="A40" s="75" t="s">
        <v>48</v>
      </c>
      <c r="B40" s="130">
        <f t="shared" ref="B40:L40" si="16">SUM(B35,B30,B25)</f>
        <v>0</v>
      </c>
      <c r="C40" s="130">
        <f>SUM(C35,C30,C25)</f>
        <v>0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 t="shared" ref="H40:J41" si="17">SUM(H35,H30,H25)</f>
        <v>0</v>
      </c>
      <c r="I40" s="130">
        <f t="shared" si="17"/>
        <v>0</v>
      </c>
      <c r="J40" s="130">
        <f t="shared" si="17"/>
        <v>0</v>
      </c>
      <c r="K40" s="130">
        <f t="shared" si="16"/>
        <v>0</v>
      </c>
      <c r="L40" s="130">
        <f t="shared" si="16"/>
        <v>0</v>
      </c>
      <c r="M40" s="110">
        <f>SUM(B40:L40)</f>
        <v>0</v>
      </c>
    </row>
    <row r="41" spans="1:13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L41" si="18">SUM(D36,D31,D26)</f>
        <v>0</v>
      </c>
      <c r="E41" s="130">
        <f t="shared" si="18"/>
        <v>0</v>
      </c>
      <c r="F41" s="130">
        <f t="shared" si="18"/>
        <v>0</v>
      </c>
      <c r="G41" s="130">
        <f t="shared" si="18"/>
        <v>0</v>
      </c>
      <c r="H41" s="130">
        <f t="shared" si="17"/>
        <v>0</v>
      </c>
      <c r="I41" s="130">
        <f t="shared" si="17"/>
        <v>0</v>
      </c>
      <c r="J41" s="130">
        <f t="shared" si="17"/>
        <v>0</v>
      </c>
      <c r="K41" s="130">
        <f t="shared" si="18"/>
        <v>0</v>
      </c>
      <c r="L41" s="130">
        <f t="shared" si="18"/>
        <v>0</v>
      </c>
      <c r="M41" s="110">
        <f>SUM(B41:L41)</f>
        <v>0</v>
      </c>
    </row>
    <row r="42" spans="1:13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L42" si="19">SUM(D40:D41)</f>
        <v>0</v>
      </c>
      <c r="E42" s="136">
        <f t="shared" si="19"/>
        <v>0</v>
      </c>
      <c r="F42" s="136">
        <f t="shared" si="19"/>
        <v>0</v>
      </c>
      <c r="G42" s="136">
        <f t="shared" si="19"/>
        <v>0</v>
      </c>
      <c r="H42" s="136">
        <f t="shared" si="19"/>
        <v>0</v>
      </c>
      <c r="I42" s="136">
        <f t="shared" ref="I42:J42" si="20">SUM(I40:I41)</f>
        <v>0</v>
      </c>
      <c r="J42" s="136">
        <f t="shared" si="20"/>
        <v>0</v>
      </c>
      <c r="K42" s="136">
        <f t="shared" si="19"/>
        <v>0</v>
      </c>
      <c r="L42" s="136">
        <f t="shared" si="19"/>
        <v>0</v>
      </c>
      <c r="M42" s="137">
        <f>SUM(B42:L42)</f>
        <v>0</v>
      </c>
    </row>
    <row r="43" spans="1:13" ht="4.5" customHeight="1" x14ac:dyDescent="0.2"/>
    <row r="44" spans="1:13" hidden="1" x14ac:dyDescent="0.2">
      <c r="A44" s="327" t="s">
        <v>130</v>
      </c>
      <c r="E44" s="326">
        <f>[3]Compass!BG$70+[3]Compass!BG$73</f>
        <v>27782</v>
      </c>
      <c r="F44" s="312"/>
      <c r="M44" s="314">
        <f>SUM(E44:E44)</f>
        <v>27782</v>
      </c>
    </row>
    <row r="45" spans="1:13" hidden="1" x14ac:dyDescent="0.2">
      <c r="A45" s="327" t="s">
        <v>131</v>
      </c>
      <c r="E45" s="326">
        <f>[3]Compass!BG$71+[3]Compass!BG$74</f>
        <v>47176</v>
      </c>
      <c r="F45" s="330"/>
      <c r="M45" s="314">
        <f>SUM(E45:E45)</f>
        <v>47176</v>
      </c>
    </row>
    <row r="46" spans="1:13" x14ac:dyDescent="0.2">
      <c r="A46" s="385" t="s">
        <v>127</v>
      </c>
      <c r="C46" s="326">
        <f>'[3]Shuttle America_Delta'!$EQ$70+'[3]Shuttle America_Delta'!$EQ$73</f>
        <v>1258</v>
      </c>
      <c r="E46" s="326">
        <f>[3]Compass!$EQ$70+[3]Compass!$EQ$73</f>
        <v>17938</v>
      </c>
      <c r="F46" s="326">
        <f>'[3]Atlantic Southeast'!$EQ$70+'[3]Atlantic Southeast'!$EQ$73</f>
        <v>7892</v>
      </c>
      <c r="I46" s="326">
        <f>'[3]Go Jet'!$EQ$70+'[3]Go Jet'!$EQ$73</f>
        <v>1949</v>
      </c>
      <c r="J46" s="5"/>
      <c r="M46" s="399">
        <f>SUM(B46:L46)</f>
        <v>29037</v>
      </c>
    </row>
    <row r="47" spans="1:13" x14ac:dyDescent="0.2">
      <c r="A47" s="400" t="s">
        <v>128</v>
      </c>
      <c r="C47" s="326">
        <f>'[3]Shuttle America_Delta'!$EQ$71+'[3]Shuttle America_Delta'!$EQ$74</f>
        <v>2465</v>
      </c>
      <c r="E47" s="326">
        <f>[3]Compass!$EQ$71+[3]Compass!$EQ$74</f>
        <v>31890</v>
      </c>
      <c r="F47" s="326">
        <f>'[3]Atlantic Southeast'!$EQ$71+'[3]Atlantic Southeast'!$EQ$74</f>
        <v>16317</v>
      </c>
      <c r="I47" s="326">
        <f>'[3]Go Jet'!$EQ$71+'[3]Go Jet'!$EQ$74</f>
        <v>2242</v>
      </c>
      <c r="J47" s="5"/>
      <c r="M47" s="399">
        <f>SUM(B47:L47)</f>
        <v>52914</v>
      </c>
    </row>
  </sheetData>
  <phoneticPr fontId="6" type="noConversion"/>
  <printOptions horizontalCentered="1"/>
  <pageMargins left="0.75" right="0.75" top="0.92" bottom="1" header="0.5" footer="0.5"/>
  <pageSetup scale="90" orientation="landscape" r:id="rId1"/>
  <headerFooter alignWithMargins="0">
    <oddHeader>&amp;L
Schedule 5
&amp;CMinneapolis-St. Paul International Airport
&amp;"Arial,Bold"Other Regional
June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E13" sqref="E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42522</v>
      </c>
      <c r="B2" s="180" t="s">
        <v>122</v>
      </c>
      <c r="C2" s="180" t="s">
        <v>162</v>
      </c>
      <c r="D2" s="102" t="s">
        <v>81</v>
      </c>
      <c r="E2" s="102" t="s">
        <v>163</v>
      </c>
      <c r="F2" s="180" t="s">
        <v>136</v>
      </c>
      <c r="G2" s="174" t="s">
        <v>82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Misc'!$EQ$22</f>
        <v>66</v>
      </c>
      <c r="C5" s="184">
        <f>[3]Ryan!$EQ$22</f>
        <v>0</v>
      </c>
      <c r="D5" s="184">
        <f>'[3]Charter Misc'!$EQ$32</f>
        <v>0</v>
      </c>
      <c r="E5" s="184">
        <f>[3]Omni!$EQ$32</f>
        <v>210</v>
      </c>
      <c r="F5" s="184">
        <f>[3]Xtra!$EQ$32+[3]Xtra!$EQ$22</f>
        <v>145</v>
      </c>
      <c r="G5" s="345">
        <f>SUM(B5:F5)</f>
        <v>421</v>
      </c>
    </row>
    <row r="6" spans="1:17" x14ac:dyDescent="0.2">
      <c r="A6" s="62" t="s">
        <v>34</v>
      </c>
      <c r="B6" s="430">
        <f>'[3]Charter Misc'!$EQ$23</f>
        <v>17</v>
      </c>
      <c r="C6" s="187">
        <f>[3]Ryan!$EQ$23</f>
        <v>0</v>
      </c>
      <c r="D6" s="187">
        <f>'[3]Charter Misc'!$EQ$33</f>
        <v>0</v>
      </c>
      <c r="E6" s="187">
        <f>[3]Omni!$EQ$33</f>
        <v>206</v>
      </c>
      <c r="F6" s="187">
        <f>[3]Xtra!$EQ$33+[3]Xtra!$EQ$23</f>
        <v>143</v>
      </c>
      <c r="G6" s="344">
        <f>SUM(B6:F6)</f>
        <v>366</v>
      </c>
    </row>
    <row r="7" spans="1:17" ht="15.75" thickBot="1" x14ac:dyDescent="0.3">
      <c r="A7" s="183" t="s">
        <v>7</v>
      </c>
      <c r="B7" s="431">
        <f>SUM(B5:B6)</f>
        <v>83</v>
      </c>
      <c r="C7" s="302">
        <f>SUM(C5:C6)</f>
        <v>0</v>
      </c>
      <c r="D7" s="302">
        <f>SUM(D5:D6)</f>
        <v>0</v>
      </c>
      <c r="E7" s="302">
        <f>SUM(E5:E6)</f>
        <v>416</v>
      </c>
      <c r="F7" s="302">
        <f>SUM(F5:F6)</f>
        <v>288</v>
      </c>
      <c r="G7" s="303">
        <f>SUM(B7:F7)</f>
        <v>787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83</v>
      </c>
      <c r="B10" s="429">
        <f>'[3]Charter Misc'!$EQ$4</f>
        <v>1</v>
      </c>
      <c r="C10" s="184">
        <f>[3]Ryan!$EQ$4</f>
        <v>0</v>
      </c>
      <c r="D10" s="184">
        <f>'[3]Charter Misc'!$EQ$15</f>
        <v>2</v>
      </c>
      <c r="E10" s="184">
        <f>[3]Omni!$EQ$15+[3]Omni!$EQ$8</f>
        <v>4</v>
      </c>
      <c r="F10" s="184">
        <f>[3]Xtra!$EQ$15+[3]Xtra!$EQ$4</f>
        <v>2</v>
      </c>
      <c r="G10" s="344">
        <f>SUM(B10:F10)</f>
        <v>9</v>
      </c>
    </row>
    <row r="11" spans="1:17" x14ac:dyDescent="0.2">
      <c r="A11" s="182" t="s">
        <v>84</v>
      </c>
      <c r="B11" s="429">
        <f>'[3]Charter Misc'!$EQ$5</f>
        <v>1</v>
      </c>
      <c r="C11" s="184">
        <f>[3]Ryan!$EQ$5</f>
        <v>0</v>
      </c>
      <c r="D11" s="184">
        <f>'[3]Charter Misc'!$EQ$16</f>
        <v>0</v>
      </c>
      <c r="E11" s="184">
        <f>[3]Omni!$EQ$16+[3]Omni!$EQ$9</f>
        <v>4</v>
      </c>
      <c r="F11" s="184">
        <f>[3]Xtra!$EQ$16+[3]Xtra!$EQ$5</f>
        <v>2</v>
      </c>
      <c r="G11" s="344">
        <f>SUM(B11:F11)</f>
        <v>7</v>
      </c>
    </row>
    <row r="12" spans="1:17" ht="15.75" thickBot="1" x14ac:dyDescent="0.3">
      <c r="A12" s="282" t="s">
        <v>31</v>
      </c>
      <c r="B12" s="433">
        <f>SUM(B10:B11)</f>
        <v>2</v>
      </c>
      <c r="C12" s="304">
        <f>SUM(C10:C11)</f>
        <v>0</v>
      </c>
      <c r="D12" s="304">
        <f>SUM(D10:D11)</f>
        <v>2</v>
      </c>
      <c r="E12" s="304">
        <f>SUM(E10:E11)</f>
        <v>8</v>
      </c>
      <c r="F12" s="304">
        <f>SUM(F10:F11)</f>
        <v>4</v>
      </c>
      <c r="G12" s="305">
        <f>SUM(B12:F12)</f>
        <v>16</v>
      </c>
      <c r="Q12" s="130"/>
    </row>
    <row r="17" spans="1:16" x14ac:dyDescent="0.2">
      <c r="B17" s="485" t="s">
        <v>160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88" t="s">
        <v>124</v>
      </c>
      <c r="C19" s="489"/>
      <c r="D19" s="489"/>
      <c r="E19" s="490"/>
      <c r="G19" s="488" t="s">
        <v>125</v>
      </c>
      <c r="H19" s="491"/>
      <c r="I19" s="491"/>
      <c r="J19" s="492"/>
      <c r="L19" s="493" t="s">
        <v>126</v>
      </c>
      <c r="M19" s="494"/>
      <c r="N19" s="494"/>
      <c r="O19" s="495"/>
    </row>
    <row r="20" spans="1:16" ht="13.5" thickBot="1" x14ac:dyDescent="0.25">
      <c r="A20" s="237" t="s">
        <v>105</v>
      </c>
      <c r="B20" s="242" t="s">
        <v>106</v>
      </c>
      <c r="C20" s="8" t="s">
        <v>107</v>
      </c>
      <c r="D20" s="8" t="s">
        <v>188</v>
      </c>
      <c r="E20" s="8" t="s">
        <v>179</v>
      </c>
      <c r="F20" s="243" t="s">
        <v>102</v>
      </c>
      <c r="G20" s="8" t="s">
        <v>106</v>
      </c>
      <c r="H20" s="8" t="s">
        <v>107</v>
      </c>
      <c r="I20" s="441" t="s">
        <v>188</v>
      </c>
      <c r="J20" s="441" t="s">
        <v>179</v>
      </c>
      <c r="K20" s="243" t="s">
        <v>102</v>
      </c>
      <c r="L20" s="242" t="s">
        <v>106</v>
      </c>
      <c r="M20" s="236" t="s">
        <v>107</v>
      </c>
      <c r="N20" s="441" t="s">
        <v>188</v>
      </c>
      <c r="O20" s="441" t="s">
        <v>179</v>
      </c>
      <c r="P20" s="243" t="s">
        <v>102</v>
      </c>
    </row>
    <row r="21" spans="1:16" ht="14.1" customHeight="1" x14ac:dyDescent="0.2">
      <c r="A21" s="246" t="s">
        <v>108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 t="shared" ref="I21:I26" si="3">SUM(G21:H21)</f>
        <v>2429109</v>
      </c>
      <c r="J21" s="475">
        <f>[5]Charter!$I$21</f>
        <v>2357435</v>
      </c>
      <c r="K21" s="247">
        <f t="shared" ref="K21:K32" si="4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5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109</v>
      </c>
      <c r="B22" s="336">
        <f>+[6]Charter!$B$22</f>
        <v>140758</v>
      </c>
      <c r="C22" s="338">
        <f>+[6]Charter!$C$22</f>
        <v>141113</v>
      </c>
      <c r="D22" s="337">
        <f t="shared" ref="D22" si="6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 t="shared" si="3"/>
        <v>2359956</v>
      </c>
      <c r="J22" s="342">
        <f>[7]Charter!$I$22</f>
        <v>2278585</v>
      </c>
      <c r="K22" s="250">
        <f t="shared" si="4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7">SUM(L22:M22)</f>
        <v>2641827</v>
      </c>
      <c r="O22" s="342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110</v>
      </c>
      <c r="B23" s="336">
        <f>+[8]Charter!$B$23</f>
        <v>170911</v>
      </c>
      <c r="C23" s="338">
        <f>+[8]Charter!$C$23</f>
        <v>169553</v>
      </c>
      <c r="D23" s="337">
        <f t="shared" ref="D23" si="9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10">L23-B23</f>
        <v>1482455</v>
      </c>
      <c r="H23" s="338">
        <f t="shared" ref="H23" si="11">M23-C23</f>
        <v>1493304</v>
      </c>
      <c r="I23" s="337">
        <f t="shared" si="3"/>
        <v>2975759</v>
      </c>
      <c r="J23" s="342">
        <f>[9]Charter!$I$23</f>
        <v>2912274</v>
      </c>
      <c r="K23" s="250">
        <f t="shared" si="4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2">SUM(L23:M23)</f>
        <v>3316223</v>
      </c>
      <c r="O23" s="342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111</v>
      </c>
      <c r="B24" s="336">
        <f>+[10]Charter!$B$24</f>
        <v>120288</v>
      </c>
      <c r="C24" s="338">
        <f>+[10]Charter!$C$24</f>
        <v>106367</v>
      </c>
      <c r="D24" s="337">
        <f t="shared" ref="D24" si="13">SUM(B24:C24)</f>
        <v>226655</v>
      </c>
      <c r="E24" s="342">
        <f>[11]Charter!$D$24</f>
        <v>205270</v>
      </c>
      <c r="F24" s="249">
        <f t="shared" si="1"/>
        <v>0.10417986067131095</v>
      </c>
      <c r="G24" s="336">
        <f t="shared" ref="G24" si="14">L24-B24</f>
        <v>1421061</v>
      </c>
      <c r="H24" s="338">
        <f t="shared" ref="H24" si="15">M24-C24</f>
        <v>1355226</v>
      </c>
      <c r="I24" s="337">
        <f t="shared" si="3"/>
        <v>2776287</v>
      </c>
      <c r="J24" s="342">
        <f>[11]Charter!$I$24</f>
        <v>2699423</v>
      </c>
      <c r="K24" s="250">
        <f t="shared" si="4"/>
        <v>2.8474233197242522E-2</v>
      </c>
      <c r="L24" s="336">
        <f>+[10]Charter!$L$24</f>
        <v>1541349</v>
      </c>
      <c r="M24" s="338">
        <f>+[10]Charter!$M$24</f>
        <v>1461593</v>
      </c>
      <c r="N24" s="337">
        <f t="shared" ref="N24" si="16">SUM(L24:M24)</f>
        <v>3002942</v>
      </c>
      <c r="O24" s="342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79</v>
      </c>
      <c r="B25" s="336">
        <f>+[2]Charter!$B$25</f>
        <v>97442</v>
      </c>
      <c r="C25" s="338">
        <f>+[2]Charter!$C$25</f>
        <v>100703</v>
      </c>
      <c r="D25" s="337">
        <f t="shared" ref="D25" si="17">SUM(B25:C25)</f>
        <v>198145</v>
      </c>
      <c r="E25" s="342">
        <f>[12]Charter!$D$25</f>
        <v>198399</v>
      </c>
      <c r="F25" s="238">
        <f t="shared" si="1"/>
        <v>-1.2802483883487315E-3</v>
      </c>
      <c r="G25" s="336">
        <f t="shared" ref="G25" si="18">L25-B25</f>
        <v>1494297</v>
      </c>
      <c r="H25" s="338">
        <f t="shared" ref="H25" si="19">M25-C25</f>
        <v>1471824</v>
      </c>
      <c r="I25" s="337">
        <f t="shared" si="3"/>
        <v>2966121</v>
      </c>
      <c r="J25" s="342">
        <f>[12]Charter!$I$25</f>
        <v>2835494</v>
      </c>
      <c r="K25" s="244">
        <f t="shared" si="4"/>
        <v>4.6068515750694587E-2</v>
      </c>
      <c r="L25" s="336">
        <f>+[2]Charter!$L$25</f>
        <v>1591739</v>
      </c>
      <c r="M25" s="338">
        <f>+[2]Charter!$M$25</f>
        <v>1572527</v>
      </c>
      <c r="N25" s="337">
        <f t="shared" ref="N25" si="20">SUM(L25:M25)</f>
        <v>3164266</v>
      </c>
      <c r="O25" s="342">
        <f>[12]Charter!$N$25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112</v>
      </c>
      <c r="B26" s="336">
        <f>'Intl Detail'!$O$4+'Intl Detail'!$O$9</f>
        <v>120133</v>
      </c>
      <c r="C26" s="338">
        <f>'Intl Detail'!$O$5+'Intl Detail'!$O$10</f>
        <v>124700</v>
      </c>
      <c r="D26" s="337">
        <f t="shared" ref="D26" si="21">SUM(B26:C26)</f>
        <v>244833</v>
      </c>
      <c r="E26" s="342">
        <f>[1]Charter!$D$26</f>
        <v>221901</v>
      </c>
      <c r="F26" s="249">
        <f t="shared" si="1"/>
        <v>0.10334338285992402</v>
      </c>
      <c r="G26" s="336">
        <f t="shared" ref="G26" si="22">L26-B26</f>
        <v>1610217</v>
      </c>
      <c r="H26" s="338">
        <f t="shared" ref="H26" si="23">M26-C26</f>
        <v>1601820</v>
      </c>
      <c r="I26" s="337">
        <f t="shared" si="3"/>
        <v>3212037</v>
      </c>
      <c r="J26" s="342">
        <f>[1]Charter!$I$26</f>
        <v>3152360</v>
      </c>
      <c r="K26" s="250">
        <f t="shared" si="4"/>
        <v>1.8930896217437095E-2</v>
      </c>
      <c r="L26" s="336">
        <f>'Monthly Summary'!$B$11</f>
        <v>1730350</v>
      </c>
      <c r="M26" s="338">
        <f>'Monthly Summary'!$C$11</f>
        <v>1726520</v>
      </c>
      <c r="N26" s="337">
        <f t="shared" ref="N26" si="24">SUM(L26:M26)</f>
        <v>3456870</v>
      </c>
      <c r="O26" s="342">
        <f>[1]Charter!$N$26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113</v>
      </c>
      <c r="B27" s="336"/>
      <c r="C27" s="338"/>
      <c r="D27" s="337">
        <f t="shared" si="0"/>
        <v>0</v>
      </c>
      <c r="E27" s="341"/>
      <c r="F27" s="238" t="e">
        <f t="shared" si="1"/>
        <v>#DIV/0!</v>
      </c>
      <c r="G27" s="336"/>
      <c r="H27" s="338"/>
      <c r="I27" s="337">
        <f t="shared" ref="I27:I32" si="25">SUM(G27:H27)</f>
        <v>0</v>
      </c>
      <c r="J27" s="341"/>
      <c r="K27" s="244" t="e">
        <f t="shared" si="4"/>
        <v>#DIV/0!</v>
      </c>
      <c r="L27" s="336"/>
      <c r="M27" s="338"/>
      <c r="N27" s="337">
        <f t="shared" si="5"/>
        <v>0</v>
      </c>
      <c r="O27" s="341"/>
      <c r="P27" s="238" t="e">
        <f t="shared" si="8"/>
        <v>#DIV/0!</v>
      </c>
    </row>
    <row r="28" spans="1:16" ht="14.1" customHeight="1" x14ac:dyDescent="0.2">
      <c r="A28" s="248" t="s">
        <v>114</v>
      </c>
      <c r="B28" s="336"/>
      <c r="C28" s="338"/>
      <c r="D28" s="337">
        <f t="shared" si="0"/>
        <v>0</v>
      </c>
      <c r="E28" s="341"/>
      <c r="F28" s="249" t="e">
        <f t="shared" si="1"/>
        <v>#DIV/0!</v>
      </c>
      <c r="G28" s="336"/>
      <c r="H28" s="338"/>
      <c r="I28" s="337">
        <f t="shared" si="25"/>
        <v>0</v>
      </c>
      <c r="J28" s="341"/>
      <c r="K28" s="250" t="e">
        <f t="shared" si="4"/>
        <v>#DIV/0!</v>
      </c>
      <c r="L28" s="336"/>
      <c r="M28" s="338"/>
      <c r="N28" s="337">
        <f t="shared" si="5"/>
        <v>0</v>
      </c>
      <c r="O28" s="341"/>
      <c r="P28" s="249" t="e">
        <f t="shared" si="8"/>
        <v>#DIV/0!</v>
      </c>
    </row>
    <row r="29" spans="1:16" ht="14.1" customHeight="1" x14ac:dyDescent="0.2">
      <c r="A29" s="235" t="s">
        <v>115</v>
      </c>
      <c r="B29" s="336"/>
      <c r="C29" s="338"/>
      <c r="D29" s="337">
        <f t="shared" si="0"/>
        <v>0</v>
      </c>
      <c r="E29" s="341"/>
      <c r="F29" s="238" t="e">
        <f t="shared" si="1"/>
        <v>#DIV/0!</v>
      </c>
      <c r="G29" s="336"/>
      <c r="H29" s="338"/>
      <c r="I29" s="337">
        <f t="shared" si="25"/>
        <v>0</v>
      </c>
      <c r="J29" s="341"/>
      <c r="K29" s="244" t="e">
        <f t="shared" si="4"/>
        <v>#DIV/0!</v>
      </c>
      <c r="L29" s="336"/>
      <c r="M29" s="338"/>
      <c r="N29" s="337">
        <f t="shared" si="5"/>
        <v>0</v>
      </c>
      <c r="O29" s="341"/>
      <c r="P29" s="238" t="e">
        <f t="shared" si="8"/>
        <v>#DIV/0!</v>
      </c>
    </row>
    <row r="30" spans="1:16" ht="14.1" customHeight="1" x14ac:dyDescent="0.2">
      <c r="A30" s="248" t="s">
        <v>116</v>
      </c>
      <c r="B30" s="336"/>
      <c r="C30" s="338"/>
      <c r="D30" s="337">
        <f>SUM(B30:C30)</f>
        <v>0</v>
      </c>
      <c r="E30" s="341"/>
      <c r="F30" s="249" t="e">
        <f t="shared" si="1"/>
        <v>#DIV/0!</v>
      </c>
      <c r="G30" s="336"/>
      <c r="H30" s="338"/>
      <c r="I30" s="337">
        <f>SUM(G30:H30)</f>
        <v>0</v>
      </c>
      <c r="J30" s="341"/>
      <c r="K30" s="250" t="e">
        <f t="shared" si="4"/>
        <v>#DIV/0!</v>
      </c>
      <c r="L30" s="336"/>
      <c r="M30" s="338"/>
      <c r="N30" s="337">
        <f>SUM(L30:M30)</f>
        <v>0</v>
      </c>
      <c r="O30" s="341"/>
      <c r="P30" s="249" t="e">
        <f t="shared" si="8"/>
        <v>#DIV/0!</v>
      </c>
    </row>
    <row r="31" spans="1:16" ht="14.1" customHeight="1" x14ac:dyDescent="0.2">
      <c r="A31" s="235" t="s">
        <v>117</v>
      </c>
      <c r="B31" s="336"/>
      <c r="C31" s="338"/>
      <c r="D31" s="337">
        <f>SUM(B31:C31)</f>
        <v>0</v>
      </c>
      <c r="E31" s="341"/>
      <c r="F31" s="238" t="e">
        <f t="shared" si="1"/>
        <v>#DIV/0!</v>
      </c>
      <c r="G31" s="336"/>
      <c r="H31" s="338"/>
      <c r="I31" s="337">
        <f t="shared" si="25"/>
        <v>0</v>
      </c>
      <c r="J31" s="341"/>
      <c r="K31" s="244" t="e">
        <f t="shared" si="4"/>
        <v>#DIV/0!</v>
      </c>
      <c r="L31" s="336"/>
      <c r="M31" s="338"/>
      <c r="N31" s="337">
        <f>SUM(L31:M31)</f>
        <v>0</v>
      </c>
      <c r="O31" s="341"/>
      <c r="P31" s="238" t="e">
        <f t="shared" si="8"/>
        <v>#DIV/0!</v>
      </c>
    </row>
    <row r="32" spans="1:16" ht="14.1" customHeight="1" x14ac:dyDescent="0.2">
      <c r="A32" s="251" t="s">
        <v>118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si="25"/>
        <v>0</v>
      </c>
      <c r="J32" s="341"/>
      <c r="K32" s="252" t="e">
        <f t="shared" si="4"/>
        <v>#DIV/0!</v>
      </c>
      <c r="L32" s="336"/>
      <c r="M32" s="338"/>
      <c r="N32" s="161">
        <f t="shared" si="5"/>
        <v>0</v>
      </c>
      <c r="O32" s="341"/>
      <c r="P32" s="252" t="e">
        <f t="shared" si="8"/>
        <v>#DIV/0!</v>
      </c>
    </row>
    <row r="33" spans="1:16" ht="13.5" thickBot="1" x14ac:dyDescent="0.25">
      <c r="A33" s="245" t="s">
        <v>80</v>
      </c>
      <c r="B33" s="255">
        <f>SUM(B21:B32)</f>
        <v>784546</v>
      </c>
      <c r="C33" s="256">
        <f>SUM(C21:C32)</f>
        <v>775697</v>
      </c>
      <c r="D33" s="256">
        <f>SUM(D21:D32)</f>
        <v>1560243</v>
      </c>
      <c r="E33" s="257">
        <f>SUM(E21:E32)</f>
        <v>1426097</v>
      </c>
      <c r="F33" s="240">
        <f>(D33-E33)/E33</f>
        <v>9.4065130212040271E-2</v>
      </c>
      <c r="G33" s="258">
        <f>SUM(G21:G32)</f>
        <v>8386184</v>
      </c>
      <c r="H33" s="256">
        <f>SUM(H21:H32)</f>
        <v>8333085</v>
      </c>
      <c r="I33" s="256">
        <f>SUM(I21:I32)</f>
        <v>16719269</v>
      </c>
      <c r="J33" s="259">
        <f>SUM(J21:J32)</f>
        <v>16235571</v>
      </c>
      <c r="K33" s="241">
        <f>(I33-J33)/J33</f>
        <v>2.9792484662227156E-2</v>
      </c>
      <c r="L33" s="258">
        <f>SUM(L21:L32)</f>
        <v>9170730</v>
      </c>
      <c r="M33" s="256">
        <f>SUM(M21:M32)</f>
        <v>9108782</v>
      </c>
      <c r="N33" s="256">
        <f>SUM(N21:N32)</f>
        <v>18279512</v>
      </c>
      <c r="O33" s="257">
        <f>SUM(O21:O32)</f>
        <v>17661668</v>
      </c>
      <c r="P33" s="239">
        <f>(N33-O33)/O33</f>
        <v>3.4982199869230922E-2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G4" sqref="G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499" t="s">
        <v>216</v>
      </c>
      <c r="C1" s="500"/>
      <c r="D1" s="501"/>
      <c r="E1" s="59"/>
      <c r="F1" s="499" t="s">
        <v>97</v>
      </c>
      <c r="G1" s="500"/>
      <c r="H1" s="500"/>
      <c r="I1" s="500"/>
      <c r="J1" s="500"/>
      <c r="K1" s="500"/>
      <c r="L1" s="501"/>
    </row>
    <row r="2" spans="1:20" s="191" customFormat="1" ht="30.75" customHeight="1" thickBot="1" x14ac:dyDescent="0.25">
      <c r="A2" s="389">
        <v>42522</v>
      </c>
      <c r="B2" s="458" t="s">
        <v>211</v>
      </c>
      <c r="C2" s="8" t="s">
        <v>85</v>
      </c>
      <c r="D2" s="8" t="s">
        <v>86</v>
      </c>
      <c r="E2" s="199"/>
      <c r="F2" s="180" t="s">
        <v>87</v>
      </c>
      <c r="G2" s="477" t="s">
        <v>215</v>
      </c>
      <c r="H2" s="180" t="s">
        <v>172</v>
      </c>
      <c r="I2" s="102" t="s">
        <v>88</v>
      </c>
      <c r="J2" s="8" t="s">
        <v>89</v>
      </c>
      <c r="K2" s="180" t="s">
        <v>90</v>
      </c>
      <c r="L2" s="180" t="s">
        <v>133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56</v>
      </c>
      <c r="B4" s="161">
        <f>[3]DHL!$EQ$4</f>
        <v>22</v>
      </c>
      <c r="C4" s="161">
        <f>[3]FedEx!$EQ$4+[3]FedEx!$EQ$15</f>
        <v>90</v>
      </c>
      <c r="D4" s="161">
        <f>[3]UPS!$EQ$4+[3]UPS!$EQ$15</f>
        <v>108</v>
      </c>
      <c r="E4" s="192"/>
      <c r="F4" s="118">
        <f>[3]ATI_BAX!$EQ$4</f>
        <v>0</v>
      </c>
      <c r="G4" s="118">
        <f>[3]IFL!$EQ$4</f>
        <v>35</v>
      </c>
      <c r="H4" s="118">
        <f>'[3]Suburban Air Freight'!$EQ$15</f>
        <v>22</v>
      </c>
      <c r="I4" s="118">
        <f>[3]Bemidji!$EQ$4</f>
        <v>257</v>
      </c>
      <c r="J4" s="118">
        <f>'[3]CSA Air'!$EQ$4</f>
        <v>24</v>
      </c>
      <c r="K4" s="118">
        <f>'[3]Mountain Cargo'!$EQ$4</f>
        <v>21</v>
      </c>
      <c r="L4" s="118">
        <f>'[3]Misc Cargo'!$EQ$4</f>
        <v>31</v>
      </c>
      <c r="M4" s="204">
        <f>SUM(B4:L4)</f>
        <v>610</v>
      </c>
    </row>
    <row r="5" spans="1:20" x14ac:dyDescent="0.2">
      <c r="A5" s="53" t="s">
        <v>57</v>
      </c>
      <c r="B5" s="198">
        <f>[3]DHL!$EQ$5</f>
        <v>22</v>
      </c>
      <c r="C5" s="198">
        <f>[3]FedEx!$EQ$5</f>
        <v>90</v>
      </c>
      <c r="D5" s="198">
        <f>[3]UPS!$EQ$5+[3]UPS!$EQ$16</f>
        <v>108</v>
      </c>
      <c r="E5" s="192"/>
      <c r="F5" s="120">
        <f>[3]ATI_BAX!$EQ$5</f>
        <v>0</v>
      </c>
      <c r="G5" s="120">
        <f>[3]IFL!$EQ$5</f>
        <v>35</v>
      </c>
      <c r="H5" s="120">
        <f>'[3]Suburban Air Freight'!$EQ$16</f>
        <v>22</v>
      </c>
      <c r="I5" s="120">
        <f>[3]Bemidji!$EQ$5</f>
        <v>257</v>
      </c>
      <c r="J5" s="120">
        <f>'[3]CSA Air'!$EQ$5</f>
        <v>24</v>
      </c>
      <c r="K5" s="120">
        <f>'[3]Mountain Cargo'!$EQ$5</f>
        <v>21</v>
      </c>
      <c r="L5" s="120">
        <f>'[3]Misc Cargo'!$EQ$5</f>
        <v>31</v>
      </c>
      <c r="M5" s="208">
        <f>SUM(B5:L5)</f>
        <v>610</v>
      </c>
    </row>
    <row r="6" spans="1:20" s="189" customFormat="1" x14ac:dyDescent="0.2">
      <c r="A6" s="205" t="s">
        <v>58</v>
      </c>
      <c r="B6" s="206">
        <f>SUM(B4:B5)</f>
        <v>44</v>
      </c>
      <c r="C6" s="206">
        <f>SUM(C4:C5)</f>
        <v>180</v>
      </c>
      <c r="D6" s="206">
        <f>SUM(D4:D5)</f>
        <v>216</v>
      </c>
      <c r="E6" s="193"/>
      <c r="F6" s="188">
        <f t="shared" ref="F6:L6" si="0">SUM(F4:F5)</f>
        <v>0</v>
      </c>
      <c r="G6" s="188">
        <f t="shared" ref="G6" si="1">SUM(G4:G5)</f>
        <v>70</v>
      </c>
      <c r="H6" s="188">
        <f t="shared" si="0"/>
        <v>44</v>
      </c>
      <c r="I6" s="188">
        <f t="shared" si="0"/>
        <v>514</v>
      </c>
      <c r="J6" s="188">
        <f t="shared" si="0"/>
        <v>48</v>
      </c>
      <c r="K6" s="188">
        <f t="shared" si="0"/>
        <v>42</v>
      </c>
      <c r="L6" s="188">
        <f t="shared" si="0"/>
        <v>62</v>
      </c>
      <c r="M6" s="207">
        <f>SUM(B6:L6)</f>
        <v>1220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59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Cargo'!$EQ$8</f>
        <v>0</v>
      </c>
      <c r="M8" s="204">
        <f>SUM(B8:L8)</f>
        <v>0</v>
      </c>
    </row>
    <row r="9" spans="1:20" ht="15" x14ac:dyDescent="0.25">
      <c r="A9" s="53" t="s">
        <v>60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Cargo'!$EQ$9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61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44</v>
      </c>
      <c r="C12" s="210">
        <f>C6+C10</f>
        <v>180</v>
      </c>
      <c r="D12" s="210">
        <f>D6+D10</f>
        <v>216</v>
      </c>
      <c r="E12" s="211"/>
      <c r="F12" s="212">
        <f t="shared" ref="F12:L12" si="4">F6+F10</f>
        <v>0</v>
      </c>
      <c r="G12" s="212">
        <f t="shared" ref="G12" si="5">G6+G10</f>
        <v>70</v>
      </c>
      <c r="H12" s="212">
        <f t="shared" si="4"/>
        <v>44</v>
      </c>
      <c r="I12" s="212">
        <f t="shared" si="4"/>
        <v>514</v>
      </c>
      <c r="J12" s="212">
        <f t="shared" si="4"/>
        <v>48</v>
      </c>
      <c r="K12" s="212">
        <f t="shared" si="4"/>
        <v>42</v>
      </c>
      <c r="L12" s="212">
        <f t="shared" si="4"/>
        <v>62</v>
      </c>
      <c r="M12" s="213">
        <f>SUM(B12:L12)</f>
        <v>1220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98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99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[3]DHL!$EQ$47</f>
        <v>690792</v>
      </c>
      <c r="C16" s="161">
        <f>[3]FedEx!$EQ$47</f>
        <v>8798625</v>
      </c>
      <c r="D16" s="161">
        <f>[3]UPS!$EQ$47</f>
        <v>5486832</v>
      </c>
      <c r="E16" s="192"/>
      <c r="F16" s="118">
        <f>[3]ATI_BAX!$EQ$47</f>
        <v>0</v>
      </c>
      <c r="G16" s="118">
        <f>[3]IFL!$EQ$47</f>
        <v>51966</v>
      </c>
      <c r="H16" s="118">
        <f>'[3]Suburban Air Freight'!$EQ$47</f>
        <v>19751</v>
      </c>
      <c r="I16" s="496" t="s">
        <v>91</v>
      </c>
      <c r="J16" s="118">
        <f>'[3]CSA Air'!$EQ$47</f>
        <v>29016</v>
      </c>
      <c r="K16" s="118">
        <f>'[3]Mountain Cargo'!$EQ$47</f>
        <v>53347</v>
      </c>
      <c r="L16" s="118">
        <f>'[3]Misc Cargo'!$EQ$47</f>
        <v>47822</v>
      </c>
      <c r="M16" s="204">
        <f>SUM(B16:H16)+SUM(J16:L16)</f>
        <v>15178151</v>
      </c>
    </row>
    <row r="17" spans="1:14" x14ac:dyDescent="0.2">
      <c r="A17" s="53" t="s">
        <v>41</v>
      </c>
      <c r="B17" s="161">
        <f>[3]DHL!$EQ$48</f>
        <v>0</v>
      </c>
      <c r="C17" s="161">
        <f>[3]FedEx!$EQ$48</f>
        <v>0</v>
      </c>
      <c r="D17" s="161">
        <f>[3]UPS!$EQ$48</f>
        <v>4473</v>
      </c>
      <c r="E17" s="192"/>
      <c r="F17" s="118">
        <f>[3]ATI_BAX!$EQ$48</f>
        <v>0</v>
      </c>
      <c r="G17" s="118">
        <f>[3]IFL!$EQ$48</f>
        <v>0</v>
      </c>
      <c r="H17" s="118">
        <f>'[3]Suburban Air Freight'!$EQ$48</f>
        <v>0</v>
      </c>
      <c r="I17" s="497"/>
      <c r="J17" s="118">
        <f>'[3]CSA Air'!$EQ$48</f>
        <v>0</v>
      </c>
      <c r="K17" s="118">
        <f>'[3]Mountain Cargo'!$EQ$48</f>
        <v>0</v>
      </c>
      <c r="L17" s="118">
        <f>'[3]Misc Cargo'!$EQ$48</f>
        <v>0</v>
      </c>
      <c r="M17" s="204">
        <f>SUM(B17:H17)+SUM(J17:L17)</f>
        <v>4473</v>
      </c>
    </row>
    <row r="18" spans="1:14" ht="18" customHeight="1" x14ac:dyDescent="0.2">
      <c r="A18" s="219" t="s">
        <v>42</v>
      </c>
      <c r="B18" s="306">
        <f>SUM(B16:B17)</f>
        <v>690792</v>
      </c>
      <c r="C18" s="306">
        <f>SUM(C16:C17)</f>
        <v>8798625</v>
      </c>
      <c r="D18" s="306">
        <f>SUM(D16:D17)</f>
        <v>5491305</v>
      </c>
      <c r="E18" s="197"/>
      <c r="F18" s="307">
        <f>SUM(F16:F17)</f>
        <v>0</v>
      </c>
      <c r="G18" s="307">
        <f>SUM(G16:G17)</f>
        <v>51966</v>
      </c>
      <c r="H18" s="307">
        <f>SUM(H16:H17)</f>
        <v>19751</v>
      </c>
      <c r="I18" s="497"/>
      <c r="J18" s="307">
        <f>SUM(J16:J17)</f>
        <v>29016</v>
      </c>
      <c r="K18" s="307">
        <f>SUM(K16:K17)</f>
        <v>53347</v>
      </c>
      <c r="L18" s="307">
        <f>SUM(L16:L17)</f>
        <v>47822</v>
      </c>
      <c r="M18" s="220">
        <f>SUM(B18:H18)+SUM(J18:L18)</f>
        <v>15182624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7"/>
      <c r="J19" s="118"/>
      <c r="K19" s="118"/>
      <c r="L19" s="118"/>
      <c r="M19" s="204"/>
    </row>
    <row r="20" spans="1:14" x14ac:dyDescent="0.2">
      <c r="A20" s="221" t="s">
        <v>92</v>
      </c>
      <c r="B20" s="161"/>
      <c r="C20" s="161"/>
      <c r="D20" s="161"/>
      <c r="E20" s="192"/>
      <c r="F20" s="118"/>
      <c r="G20" s="118"/>
      <c r="H20" s="118"/>
      <c r="I20" s="497"/>
      <c r="J20" s="118"/>
      <c r="K20" s="118"/>
      <c r="L20" s="118"/>
      <c r="M20" s="204"/>
    </row>
    <row r="21" spans="1:14" x14ac:dyDescent="0.2">
      <c r="A21" s="53" t="s">
        <v>62</v>
      </c>
      <c r="B21" s="161">
        <f>[3]DHL!$EQ$52</f>
        <v>538264</v>
      </c>
      <c r="C21" s="161">
        <f>[3]FedEx!$EQ$52</f>
        <v>8629904</v>
      </c>
      <c r="D21" s="161">
        <f>[3]UPS!$EQ$52</f>
        <v>426416</v>
      </c>
      <c r="E21" s="192"/>
      <c r="F21" s="118">
        <f>[3]ATI_BAX!$EQ$52</f>
        <v>0</v>
      </c>
      <c r="G21" s="118">
        <f>[3]IFL!$EQ$52</f>
        <v>40245</v>
      </c>
      <c r="H21" s="118">
        <f>'[3]Suburban Air Freight'!$EQ$52</f>
        <v>76331</v>
      </c>
      <c r="I21" s="497"/>
      <c r="J21" s="118">
        <f>'[3]CSA Air'!$EQ$52</f>
        <v>36311</v>
      </c>
      <c r="K21" s="118">
        <f>'[3]Mountain Cargo'!$EQ$52</f>
        <v>107296</v>
      </c>
      <c r="L21" s="118">
        <f>'[3]Misc Cargo'!$EQ$52</f>
        <v>36650</v>
      </c>
      <c r="M21" s="204">
        <f>SUM(B21:H21)+SUM(J21:L21)</f>
        <v>9891417</v>
      </c>
    </row>
    <row r="22" spans="1:14" x14ac:dyDescent="0.2">
      <c r="A22" s="53" t="s">
        <v>63</v>
      </c>
      <c r="B22" s="161">
        <f>[3]DHL!$EQ$53</f>
        <v>0</v>
      </c>
      <c r="C22" s="161">
        <f>[3]FedEx!$EQ$53</f>
        <v>0</v>
      </c>
      <c r="D22" s="161">
        <f>[3]UPS!$EQ$53</f>
        <v>200480</v>
      </c>
      <c r="E22" s="192"/>
      <c r="F22" s="118">
        <f>[3]ATI_BAX!$EQ$53</f>
        <v>0</v>
      </c>
      <c r="G22" s="118">
        <f>[3]IFL!$EQ$53</f>
        <v>0</v>
      </c>
      <c r="H22" s="118">
        <f>'[3]Suburban Air Freight'!$EQ$53</f>
        <v>0</v>
      </c>
      <c r="I22" s="497"/>
      <c r="J22" s="118">
        <f>'[3]CSA Air'!$EQ$53</f>
        <v>0</v>
      </c>
      <c r="K22" s="118">
        <f>'[3]Mountain Cargo'!$EQ$53</f>
        <v>0</v>
      </c>
      <c r="L22" s="118">
        <f>'[3]Misc Cargo'!$EQ$53</f>
        <v>0</v>
      </c>
      <c r="M22" s="204">
        <f>SUM(B22:H22)+SUM(J22:L22)</f>
        <v>200480</v>
      </c>
    </row>
    <row r="23" spans="1:14" ht="18" customHeight="1" x14ac:dyDescent="0.2">
      <c r="A23" s="219" t="s">
        <v>44</v>
      </c>
      <c r="B23" s="306">
        <f>SUM(B21:B22)</f>
        <v>538264</v>
      </c>
      <c r="C23" s="306">
        <f>SUM(C21:C22)</f>
        <v>8629904</v>
      </c>
      <c r="D23" s="306">
        <f>SUM(D21:D22)</f>
        <v>626896</v>
      </c>
      <c r="E23" s="197"/>
      <c r="F23" s="307">
        <f>SUM(F21:F22)</f>
        <v>0</v>
      </c>
      <c r="G23" s="307">
        <f>SUM(G21:G22)</f>
        <v>40245</v>
      </c>
      <c r="H23" s="307">
        <f>SUM(H21:H22)</f>
        <v>76331</v>
      </c>
      <c r="I23" s="497"/>
      <c r="J23" s="307">
        <f>SUM(J21:J22)</f>
        <v>36311</v>
      </c>
      <c r="K23" s="307">
        <f>SUM(K21:K22)</f>
        <v>107296</v>
      </c>
      <c r="L23" s="307">
        <f>SUM(L21:L22)</f>
        <v>36650</v>
      </c>
      <c r="M23" s="220">
        <f>SUM(B23:H23)+SUM(J23:L23)</f>
        <v>10091897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7"/>
      <c r="J24" s="118"/>
      <c r="K24" s="118"/>
      <c r="L24" s="118"/>
      <c r="M24" s="204"/>
    </row>
    <row r="25" spans="1:14" x14ac:dyDescent="0.2">
      <c r="A25" s="221" t="s">
        <v>100</v>
      </c>
      <c r="B25" s="161"/>
      <c r="C25" s="161"/>
      <c r="D25" s="161"/>
      <c r="E25" s="192"/>
      <c r="F25" s="118"/>
      <c r="G25" s="118"/>
      <c r="H25" s="118"/>
      <c r="I25" s="497"/>
      <c r="J25" s="118"/>
      <c r="K25" s="118"/>
      <c r="L25" s="118"/>
      <c r="M25" s="204"/>
    </row>
    <row r="26" spans="1:14" x14ac:dyDescent="0.2">
      <c r="A26" s="53" t="s">
        <v>62</v>
      </c>
      <c r="B26" s="161">
        <f>[3]DHL!$EQ$57</f>
        <v>0</v>
      </c>
      <c r="C26" s="161">
        <f>[3]FedEx!$EQ$57</f>
        <v>0</v>
      </c>
      <c r="D26" s="161">
        <f>[3]UPS!$EQ$57</f>
        <v>0</v>
      </c>
      <c r="E26" s="192"/>
      <c r="F26" s="118">
        <f>[3]ATI_BAX!$EQ$57</f>
        <v>0</v>
      </c>
      <c r="G26" s="118">
        <f>[3]IFL!$EQ$57</f>
        <v>0</v>
      </c>
      <c r="H26" s="118">
        <f>'[3]Suburban Air Freight'!$EQ$57</f>
        <v>0</v>
      </c>
      <c r="I26" s="497"/>
      <c r="J26" s="118">
        <f>'[3]CSA Air'!$EQ$57</f>
        <v>0</v>
      </c>
      <c r="K26" s="118">
        <f>'[3]Mountain Cargo'!$EQ$57</f>
        <v>0</v>
      </c>
      <c r="L26" s="118">
        <f>'[3]Misc Cargo'!$EQ$57</f>
        <v>0</v>
      </c>
      <c r="M26" s="204">
        <f>SUM(B26:H26)+SUM(J26:L26)</f>
        <v>0</v>
      </c>
    </row>
    <row r="27" spans="1:14" x14ac:dyDescent="0.2">
      <c r="A27" s="53" t="s">
        <v>63</v>
      </c>
      <c r="B27" s="161">
        <f>[3]DHL!$EQ$58</f>
        <v>0</v>
      </c>
      <c r="C27" s="161">
        <f>[3]FedEx!$EQ$58</f>
        <v>0</v>
      </c>
      <c r="D27" s="161">
        <f>[3]UPS!$EQ$58</f>
        <v>0</v>
      </c>
      <c r="E27" s="192"/>
      <c r="F27" s="118">
        <f>[3]ATI_BAX!$EQ$58</f>
        <v>0</v>
      </c>
      <c r="G27" s="118">
        <f>[3]IFL!$EQ$58</f>
        <v>0</v>
      </c>
      <c r="H27" s="118">
        <f>'[3]Suburban Air Freight'!$EQ$58</f>
        <v>0</v>
      </c>
      <c r="I27" s="497"/>
      <c r="J27" s="118">
        <f>'[3]CSA Air'!$EQ$58</f>
        <v>0</v>
      </c>
      <c r="K27" s="118">
        <f>'[3]Mountain Cargo'!$EQ$58</f>
        <v>0</v>
      </c>
      <c r="L27" s="118">
        <f>'[3]Misc Cargo'!$EQ$58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7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7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7"/>
      <c r="J30" s="118"/>
      <c r="K30" s="118"/>
      <c r="L30" s="118"/>
      <c r="M30" s="204"/>
    </row>
    <row r="31" spans="1:14" x14ac:dyDescent="0.2">
      <c r="A31" s="53" t="s">
        <v>93</v>
      </c>
      <c r="B31" s="161">
        <f t="shared" ref="B31:D33" si="6">B26+B21+B16</f>
        <v>1229056</v>
      </c>
      <c r="C31" s="161">
        <f t="shared" si="6"/>
        <v>17428529</v>
      </c>
      <c r="D31" s="161">
        <f t="shared" si="6"/>
        <v>5913248</v>
      </c>
      <c r="E31" s="192"/>
      <c r="F31" s="118">
        <f t="shared" ref="F31:H33" si="7">F26+F21+F16</f>
        <v>0</v>
      </c>
      <c r="G31" s="118">
        <f t="shared" ref="G31" si="8">G26+G21+G16</f>
        <v>92211</v>
      </c>
      <c r="H31" s="118">
        <f t="shared" si="7"/>
        <v>96082</v>
      </c>
      <c r="I31" s="497"/>
      <c r="J31" s="118">
        <f t="shared" ref="J31:L33" si="9">J26+J21+J16</f>
        <v>65327</v>
      </c>
      <c r="K31" s="118">
        <f t="shared" si="9"/>
        <v>160643</v>
      </c>
      <c r="L31" s="118">
        <f>L26+L21+L16</f>
        <v>84472</v>
      </c>
      <c r="M31" s="204">
        <f>SUM(B31:H31)+SUM(J31:L31)</f>
        <v>25069568</v>
      </c>
    </row>
    <row r="32" spans="1:14" x14ac:dyDescent="0.2">
      <c r="A32" s="53" t="s">
        <v>63</v>
      </c>
      <c r="B32" s="161">
        <f t="shared" si="6"/>
        <v>0</v>
      </c>
      <c r="C32" s="161">
        <f t="shared" si="6"/>
        <v>0</v>
      </c>
      <c r="D32" s="161">
        <f t="shared" si="6"/>
        <v>204953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8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204953</v>
      </c>
    </row>
    <row r="33" spans="1:13" ht="18" customHeight="1" thickBot="1" x14ac:dyDescent="0.25">
      <c r="A33" s="209" t="s">
        <v>49</v>
      </c>
      <c r="B33" s="210">
        <f t="shared" si="6"/>
        <v>1229056</v>
      </c>
      <c r="C33" s="210">
        <f t="shared" si="6"/>
        <v>17428529</v>
      </c>
      <c r="D33" s="210">
        <f t="shared" si="6"/>
        <v>6118201</v>
      </c>
      <c r="E33" s="223"/>
      <c r="F33" s="212">
        <f t="shared" si="7"/>
        <v>0</v>
      </c>
      <c r="G33" s="212">
        <f t="shared" ref="G33" si="11">G28+G23+G18</f>
        <v>92211</v>
      </c>
      <c r="H33" s="212">
        <f t="shared" si="7"/>
        <v>96082</v>
      </c>
      <c r="I33" s="308">
        <f>I28+I23+I18</f>
        <v>0</v>
      </c>
      <c r="J33" s="212">
        <f t="shared" si="9"/>
        <v>65327</v>
      </c>
      <c r="K33" s="212">
        <f t="shared" si="9"/>
        <v>160643</v>
      </c>
      <c r="L33" s="212">
        <f t="shared" si="9"/>
        <v>84472</v>
      </c>
      <c r="M33" s="213">
        <f>SUM(B33:H33)+SUM(J33:L33)</f>
        <v>25274521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94</v>
      </c>
      <c r="B35" s="2"/>
      <c r="C35" s="2"/>
      <c r="D35" s="2"/>
      <c r="E35" s="2"/>
    </row>
    <row r="36" spans="1:13" x14ac:dyDescent="0.2">
      <c r="A36" t="s">
        <v>95</v>
      </c>
    </row>
    <row r="37" spans="1:13" x14ac:dyDescent="0.2">
      <c r="A37" t="s">
        <v>96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June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8" sqref="E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42522</v>
      </c>
      <c r="B2" s="77" t="s">
        <v>66</v>
      </c>
      <c r="C2" s="77" t="s">
        <v>67</v>
      </c>
      <c r="D2" s="77" t="s">
        <v>68</v>
      </c>
      <c r="E2" s="320" t="s">
        <v>78</v>
      </c>
      <c r="F2" s="78" t="s">
        <v>189</v>
      </c>
      <c r="G2" s="78" t="s">
        <v>178</v>
      </c>
      <c r="H2" s="79" t="s">
        <v>69</v>
      </c>
      <c r="I2" s="80" t="s">
        <v>186</v>
      </c>
      <c r="J2" s="80" t="s">
        <v>177</v>
      </c>
      <c r="K2" s="90" t="s">
        <v>2</v>
      </c>
    </row>
    <row r="3" spans="1:18" ht="20.25" customHeight="1" x14ac:dyDescent="0.2">
      <c r="A3" s="87" t="s">
        <v>70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71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72</v>
      </c>
      <c r="B5" s="169">
        <f>'Major Airline Stats'!I28</f>
        <v>4743929</v>
      </c>
      <c r="C5" s="118">
        <f>'Regional Major'!L25</f>
        <v>1662</v>
      </c>
      <c r="D5" s="118">
        <f>Cargo!M16</f>
        <v>15178151</v>
      </c>
      <c r="E5" s="118">
        <f>SUM(B5:D5)</f>
        <v>19923742</v>
      </c>
      <c r="F5" s="118">
        <f>E5*0.00045359237</f>
        <v>9037.2573530485406</v>
      </c>
      <c r="G5" s="146">
        <f>'[1]Cargo Summary'!F5</f>
        <v>7319.6826704370596</v>
      </c>
      <c r="H5" s="98">
        <f>(F5-G5)/G5</f>
        <v>0.23465152246947396</v>
      </c>
      <c r="I5" s="146">
        <f>+F5+'[2]Cargo Summary'!I5</f>
        <v>46251.890001242311</v>
      </c>
      <c r="J5" s="146">
        <f>'[1]Cargo Summary'!I5</f>
        <v>36439.265933247101</v>
      </c>
      <c r="K5" s="85">
        <f>(I5-J5)/J5</f>
        <v>0.26928709502466114</v>
      </c>
      <c r="M5" s="35"/>
    </row>
    <row r="6" spans="1:18" x14ac:dyDescent="0.2">
      <c r="A6" s="62" t="s">
        <v>18</v>
      </c>
      <c r="B6" s="169">
        <f>'Major Airline Stats'!I29</f>
        <v>1090317</v>
      </c>
      <c r="C6" s="118">
        <f>'Regional Major'!L26</f>
        <v>0</v>
      </c>
      <c r="D6" s="118">
        <f>Cargo!M17</f>
        <v>4473</v>
      </c>
      <c r="E6" s="118">
        <f>SUM(B6:D6)</f>
        <v>1094790</v>
      </c>
      <c r="F6" s="118">
        <f>E6*0.00045359237</f>
        <v>496.58839075229997</v>
      </c>
      <c r="G6" s="146">
        <f>'[1]Cargo Summary'!F6</f>
        <v>715.62633185582001</v>
      </c>
      <c r="H6" s="37">
        <f>(F6-G6)/G6</f>
        <v>-0.30607864936368839</v>
      </c>
      <c r="I6" s="146">
        <f>+F6+'[2]Cargo Summary'!I6</f>
        <v>2717.779218365924</v>
      </c>
      <c r="J6" s="146">
        <f>'[1]Cargo Summary'!I6</f>
        <v>3054.7867618052401</v>
      </c>
      <c r="K6" s="85">
        <f>(I6-J6)/J6</f>
        <v>-0.1103211352271803</v>
      </c>
      <c r="M6" s="35"/>
    </row>
    <row r="7" spans="1:18" ht="18" customHeight="1" thickBot="1" x14ac:dyDescent="0.25">
      <c r="A7" s="73" t="s">
        <v>75</v>
      </c>
      <c r="B7" s="171">
        <f>SUM(B5:B6)</f>
        <v>5834246</v>
      </c>
      <c r="C7" s="133">
        <f t="shared" ref="C7:J7" si="0">SUM(C5:C6)</f>
        <v>1662</v>
      </c>
      <c r="D7" s="133">
        <f t="shared" si="0"/>
        <v>15182624</v>
      </c>
      <c r="E7" s="133">
        <f t="shared" si="0"/>
        <v>21018532</v>
      </c>
      <c r="F7" s="133">
        <f t="shared" si="0"/>
        <v>9533.8457438008409</v>
      </c>
      <c r="G7" s="133">
        <f t="shared" si="0"/>
        <v>8035.30900229288</v>
      </c>
      <c r="H7" s="44">
        <f>(F7-G7)/G7</f>
        <v>0.18649397815072857</v>
      </c>
      <c r="I7" s="133">
        <f t="shared" si="0"/>
        <v>48969.669219608237</v>
      </c>
      <c r="J7" s="133">
        <f t="shared" si="0"/>
        <v>39494.052695052342</v>
      </c>
      <c r="K7" s="322">
        <f>(I7-J7)/J7</f>
        <v>0.23992515019211899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73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72</v>
      </c>
      <c r="B10" s="169">
        <f>'Major Airline Stats'!I33</f>
        <v>2762405</v>
      </c>
      <c r="C10" s="118">
        <f>'Regional Major'!L30</f>
        <v>0</v>
      </c>
      <c r="D10" s="118">
        <f>Cargo!M21</f>
        <v>9891417</v>
      </c>
      <c r="E10" s="118">
        <f>SUM(B10:D10)</f>
        <v>12653822</v>
      </c>
      <c r="F10" s="118">
        <f>E10*0.00045359237</f>
        <v>5739.6771105381395</v>
      </c>
      <c r="G10" s="146">
        <f>'[1]Cargo Summary'!F10</f>
        <v>7761.2235447585299</v>
      </c>
      <c r="H10" s="37">
        <f>(F10-G10)/G10</f>
        <v>-0.26046749234347499</v>
      </c>
      <c r="I10" s="146">
        <f>+F10+'[2]Cargo Summary'!I10</f>
        <v>43035.292779694595</v>
      </c>
      <c r="J10" s="146">
        <f>'[1]Cargo Summary'!I10</f>
        <v>39008.262977852632</v>
      </c>
      <c r="K10" s="85">
        <f>(I10-J10)/J10</f>
        <v>0.10323530181613967</v>
      </c>
      <c r="M10" s="35"/>
    </row>
    <row r="11" spans="1:18" x14ac:dyDescent="0.2">
      <c r="A11" s="62" t="s">
        <v>18</v>
      </c>
      <c r="B11" s="169">
        <f>'Major Airline Stats'!I34</f>
        <v>1474360</v>
      </c>
      <c r="C11" s="118">
        <f>'Regional Major'!L31</f>
        <v>0</v>
      </c>
      <c r="D11" s="118">
        <f>Cargo!M22</f>
        <v>200480</v>
      </c>
      <c r="E11" s="118">
        <f>SUM(B11:D11)</f>
        <v>1674840</v>
      </c>
      <c r="F11" s="118">
        <f>E11*0.00045359237</f>
        <v>759.69464497080003</v>
      </c>
      <c r="G11" s="146">
        <f>'[1]Cargo Summary'!F11</f>
        <v>506.67401709924997</v>
      </c>
      <c r="H11" s="35">
        <f>(F11-G11)/G11</f>
        <v>0.49937557350999323</v>
      </c>
      <c r="I11" s="146">
        <f>+F11+'[2]Cargo Summary'!I11</f>
        <v>2958.1253205735002</v>
      </c>
      <c r="J11" s="146">
        <f>'[1]Cargo Summary'!I11</f>
        <v>2775.1007992784998</v>
      </c>
      <c r="K11" s="85">
        <f>(I11-J11)/J11</f>
        <v>6.5952386789908682E-2</v>
      </c>
      <c r="M11" s="35"/>
    </row>
    <row r="12" spans="1:18" ht="18" customHeight="1" thickBot="1" x14ac:dyDescent="0.25">
      <c r="A12" s="73" t="s">
        <v>76</v>
      </c>
      <c r="B12" s="171">
        <f>SUM(B10:B11)</f>
        <v>4236765</v>
      </c>
      <c r="C12" s="133">
        <f t="shared" ref="C12:J12" si="1">SUM(C10:C11)</f>
        <v>0</v>
      </c>
      <c r="D12" s="133">
        <f t="shared" si="1"/>
        <v>10091897</v>
      </c>
      <c r="E12" s="133">
        <f t="shared" si="1"/>
        <v>14328662</v>
      </c>
      <c r="F12" s="133">
        <f t="shared" si="1"/>
        <v>6499.3717555089397</v>
      </c>
      <c r="G12" s="133">
        <f t="shared" si="1"/>
        <v>8267.8975618577806</v>
      </c>
      <c r="H12" s="44">
        <f>(F12-G12)/G12</f>
        <v>-0.21390272353005019</v>
      </c>
      <c r="I12" s="133">
        <f t="shared" si="1"/>
        <v>45993.418100268093</v>
      </c>
      <c r="J12" s="133">
        <f t="shared" si="1"/>
        <v>41783.363777131133</v>
      </c>
      <c r="K12" s="322">
        <f>(I12-J12)/J12</f>
        <v>0.10075910464253253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74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72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4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77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72</v>
      </c>
      <c r="B20" s="169">
        <f t="shared" ref="B20:D21" si="3">B15+B10+B5</f>
        <v>7506334</v>
      </c>
      <c r="C20" s="118">
        <f t="shared" si="3"/>
        <v>1662</v>
      </c>
      <c r="D20" s="118">
        <f t="shared" si="3"/>
        <v>25069568</v>
      </c>
      <c r="E20" s="118">
        <f>SUM(B20:D20)</f>
        <v>32577564</v>
      </c>
      <c r="F20" s="118">
        <f>E20*0.00045359237</f>
        <v>14776.93446358668</v>
      </c>
      <c r="G20" s="146">
        <f>'[1]Cargo Summary'!F20</f>
        <v>15080.90621519559</v>
      </c>
      <c r="H20" s="37">
        <f>(F20-G20)/G20</f>
        <v>-2.01560667025849E-2</v>
      </c>
      <c r="I20" s="146">
        <f>+I5+I10+I15</f>
        <v>89287.182780936913</v>
      </c>
      <c r="J20" s="146">
        <f>+J5+J10+J15</f>
        <v>75447.52891109974</v>
      </c>
      <c r="K20" s="85">
        <f>(I20-J20)/J20</f>
        <v>0.18343415708345487</v>
      </c>
      <c r="M20" s="35"/>
    </row>
    <row r="21" spans="1:13" x14ac:dyDescent="0.2">
      <c r="A21" s="62" t="s">
        <v>18</v>
      </c>
      <c r="B21" s="169">
        <f t="shared" si="3"/>
        <v>2564677</v>
      </c>
      <c r="C21" s="120">
        <f t="shared" si="3"/>
        <v>0</v>
      </c>
      <c r="D21" s="120">
        <f t="shared" si="3"/>
        <v>204953</v>
      </c>
      <c r="E21" s="118">
        <f>SUM(B21:D21)</f>
        <v>2769630</v>
      </c>
      <c r="F21" s="118">
        <f>E21*0.00045359237</f>
        <v>1256.2830357231001</v>
      </c>
      <c r="G21" s="146">
        <f>'[1]Cargo Summary'!F21</f>
        <v>1222.3003489550699</v>
      </c>
      <c r="H21" s="37">
        <f>(F21-G21)/G21</f>
        <v>2.7802239275380662E-2</v>
      </c>
      <c r="I21" s="146">
        <f>+I6+I11+I16</f>
        <v>5675.9045389394241</v>
      </c>
      <c r="J21" s="146">
        <f>+J6+J11+J16</f>
        <v>5829.8875610837404</v>
      </c>
      <c r="K21" s="85">
        <f>(I21-J21)/J21</f>
        <v>-2.6412691588119024E-2</v>
      </c>
      <c r="M21" s="35"/>
    </row>
    <row r="22" spans="1:13" ht="18" customHeight="1" thickBot="1" x14ac:dyDescent="0.25">
      <c r="A22" s="88" t="s">
        <v>65</v>
      </c>
      <c r="B22" s="172">
        <f>SUM(B20:B21)</f>
        <v>10071011</v>
      </c>
      <c r="C22" s="173">
        <f t="shared" ref="C22:J22" si="4">SUM(C20:C21)</f>
        <v>1662</v>
      </c>
      <c r="D22" s="173">
        <f t="shared" si="4"/>
        <v>25274521</v>
      </c>
      <c r="E22" s="173">
        <f t="shared" si="4"/>
        <v>35347194</v>
      </c>
      <c r="F22" s="173">
        <f t="shared" si="4"/>
        <v>16033.21749930978</v>
      </c>
      <c r="G22" s="173">
        <f t="shared" si="4"/>
        <v>16303.20656415066</v>
      </c>
      <c r="H22" s="328">
        <f>(F22-G22)/G22</f>
        <v>-1.6560488501357922E-2</v>
      </c>
      <c r="I22" s="173">
        <f t="shared" si="4"/>
        <v>94963.087319876344</v>
      </c>
      <c r="J22" s="173">
        <f t="shared" si="4"/>
        <v>81277.416472183482</v>
      </c>
      <c r="K22" s="329">
        <f>(I22-J22)/J22</f>
        <v>0.16838220801932932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7"/>
  <sheetViews>
    <sheetView topLeftCell="A13" zoomScaleNormal="100" zoomScaleSheetLayoutView="100" workbookViewId="0">
      <selection activeCell="L43" sqref="L4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4" width="11.5703125" customWidth="1"/>
    <col min="5" max="5" width="11.85546875" bestFit="1" customWidth="1"/>
    <col min="6" max="6" width="11.28515625" bestFit="1" customWidth="1"/>
    <col min="7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89">
        <v>42522</v>
      </c>
      <c r="B1" s="12" t="s">
        <v>20</v>
      </c>
      <c r="C1" s="277" t="s">
        <v>208</v>
      </c>
      <c r="D1" s="277" t="s">
        <v>182</v>
      </c>
      <c r="E1" s="439" t="s">
        <v>168</v>
      </c>
      <c r="F1" s="277" t="s">
        <v>183</v>
      </c>
      <c r="G1" s="277" t="s">
        <v>184</v>
      </c>
      <c r="H1" s="277" t="s">
        <v>52</v>
      </c>
      <c r="I1" s="277" t="s">
        <v>119</v>
      </c>
      <c r="J1" s="277" t="s">
        <v>210</v>
      </c>
      <c r="K1" s="277" t="s">
        <v>214</v>
      </c>
      <c r="L1" s="277" t="s">
        <v>181</v>
      </c>
      <c r="M1" s="277" t="s">
        <v>167</v>
      </c>
      <c r="N1" s="277" t="s">
        <v>148</v>
      </c>
      <c r="O1" s="277" t="s">
        <v>24</v>
      </c>
    </row>
    <row r="2" spans="1:15" ht="15" x14ac:dyDescent="0.25">
      <c r="A2" s="502" t="s">
        <v>149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4"/>
    </row>
    <row r="3" spans="1:15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33</v>
      </c>
      <c r="B4" s="21">
        <f>[3]Delta!$EQ$32</f>
        <v>75163</v>
      </c>
      <c r="C4" s="21">
        <f>'[3]Atlantic Southeast'!$EQ$32</f>
        <v>1352</v>
      </c>
      <c r="D4" s="21">
        <f>'[3]Go Jet'!$EQ$32</f>
        <v>1153</v>
      </c>
      <c r="E4" s="21">
        <f>[3]Pinnacle!$EQ$32</f>
        <v>16352</v>
      </c>
      <c r="F4" s="21">
        <f>[3]Compass!$EQ$32</f>
        <v>1511</v>
      </c>
      <c r="G4" s="21">
        <f>'[3]Sky West'!$EQ$32</f>
        <v>5545</v>
      </c>
      <c r="H4" s="21">
        <f>'[3]Sun Country'!$EQ$32</f>
        <v>1837</v>
      </c>
      <c r="I4" s="21">
        <f>[3]Icelandair!$EQ$32</f>
        <v>5528</v>
      </c>
      <c r="J4" s="21">
        <f>'[3]Jazz Air'!$EQ$32</f>
        <v>0</v>
      </c>
      <c r="K4" s="21">
        <f>'[3]Air Georgian'!$EQ$32</f>
        <v>0</v>
      </c>
      <c r="L4" s="21">
        <f>[3]Condor!$EQ$32</f>
        <v>2622</v>
      </c>
      <c r="M4" s="21">
        <f>'[3]Air France'!$EQ$32</f>
        <v>6560</v>
      </c>
      <c r="N4" s="21">
        <f>'[3]Charter Misc'!$EQ$32+[3]Ryan!$EQ$32+[3]Omni!$EQ$32</f>
        <v>210</v>
      </c>
      <c r="O4" s="286">
        <f>SUM(B4:N4)</f>
        <v>117833</v>
      </c>
    </row>
    <row r="5" spans="1:15" x14ac:dyDescent="0.2">
      <c r="A5" s="62" t="s">
        <v>34</v>
      </c>
      <c r="B5" s="14">
        <f>[3]Delta!$EQ$33</f>
        <v>77382</v>
      </c>
      <c r="C5" s="14">
        <f>'[3]Atlantic Southeast'!$EQ$33</f>
        <v>2616</v>
      </c>
      <c r="D5" s="14">
        <f>'[3]Go Jet'!$EQ$33</f>
        <v>0</v>
      </c>
      <c r="E5" s="14">
        <f>[3]Pinnacle!$EQ$33</f>
        <v>16937</v>
      </c>
      <c r="F5" s="14">
        <f>[3]Compass!$EQ$33</f>
        <v>1749</v>
      </c>
      <c r="G5" s="14">
        <f>'[3]Sky West'!$EQ$33</f>
        <v>5712</v>
      </c>
      <c r="H5" s="14">
        <f>'[3]Sun Country'!$EQ$33</f>
        <v>1832</v>
      </c>
      <c r="I5" s="14">
        <f>[3]Icelandair!$EQ$33</f>
        <v>6262</v>
      </c>
      <c r="J5" s="14">
        <f>'[3]Jazz Air'!$EQ$33</f>
        <v>0</v>
      </c>
      <c r="K5" s="14">
        <f>'[3]Air Georgian'!$EQ$33</f>
        <v>0</v>
      </c>
      <c r="L5" s="14">
        <f>[3]Condor!$EQ$33</f>
        <v>3106</v>
      </c>
      <c r="M5" s="14">
        <f>'[3]Air France'!$EQ$33</f>
        <v>6560</v>
      </c>
      <c r="N5" s="14">
        <f>'[3]Charter Misc'!$EQ$33++[3]Ryan!$EQ$33+[3]Omni!$EQ$33</f>
        <v>206</v>
      </c>
      <c r="O5" s="287">
        <f>SUM(B5:N5)</f>
        <v>122362</v>
      </c>
    </row>
    <row r="6" spans="1:15" ht="15" x14ac:dyDescent="0.25">
      <c r="A6" s="60" t="s">
        <v>7</v>
      </c>
      <c r="B6" s="34">
        <f t="shared" ref="B6:N6" si="0">SUM(B4:B5)</f>
        <v>152545</v>
      </c>
      <c r="C6" s="34">
        <f t="shared" si="0"/>
        <v>3968</v>
      </c>
      <c r="D6" s="34">
        <f t="shared" ref="D6" si="1">SUM(D4:D5)</f>
        <v>1153</v>
      </c>
      <c r="E6" s="34">
        <f t="shared" si="0"/>
        <v>33289</v>
      </c>
      <c r="F6" s="34">
        <f t="shared" si="0"/>
        <v>3260</v>
      </c>
      <c r="G6" s="34">
        <f t="shared" si="0"/>
        <v>11257</v>
      </c>
      <c r="H6" s="34">
        <f t="shared" si="0"/>
        <v>3669</v>
      </c>
      <c r="I6" s="34">
        <f t="shared" si="0"/>
        <v>11790</v>
      </c>
      <c r="J6" s="34">
        <f t="shared" si="0"/>
        <v>0</v>
      </c>
      <c r="K6" s="34">
        <f t="shared" ref="K6" si="2">SUM(K4:K5)</f>
        <v>0</v>
      </c>
      <c r="L6" s="34">
        <f t="shared" ref="L6" si="3">SUM(L4:L5)</f>
        <v>5728</v>
      </c>
      <c r="M6" s="34">
        <f t="shared" si="0"/>
        <v>13120</v>
      </c>
      <c r="N6" s="34">
        <f t="shared" si="0"/>
        <v>416</v>
      </c>
      <c r="O6" s="288">
        <f>SUM(B6:N6)</f>
        <v>240195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6"/>
    </row>
    <row r="8" spans="1:15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6">
        <f>SUM(B8:N8)</f>
        <v>0</v>
      </c>
    </row>
    <row r="9" spans="1:15" x14ac:dyDescent="0.2">
      <c r="A9" s="62" t="s">
        <v>33</v>
      </c>
      <c r="B9" s="21">
        <f>[3]Delta!$EQ$37</f>
        <v>1936</v>
      </c>
      <c r="C9" s="21">
        <f>'[3]Atlantic Southeast'!$EQ$37</f>
        <v>16</v>
      </c>
      <c r="D9" s="21">
        <f>'[3]Go Jet'!$EQ$37</f>
        <v>14</v>
      </c>
      <c r="E9" s="21">
        <f>[3]Pinnacle!$EQ$37</f>
        <v>183</v>
      </c>
      <c r="F9" s="21">
        <f>[3]Compass!$EQ$37</f>
        <v>35</v>
      </c>
      <c r="G9" s="21">
        <f>'[3]Sky West'!$EQ$37</f>
        <v>63</v>
      </c>
      <c r="H9" s="21">
        <f>'[3]Sun Country'!$EQ$37</f>
        <v>4</v>
      </c>
      <c r="I9" s="21">
        <f>[3]Icelandair!$EQ$37</f>
        <v>38</v>
      </c>
      <c r="J9" s="21">
        <f>'[3]Jazz Air'!$EQ$37</f>
        <v>0</v>
      </c>
      <c r="K9" s="21">
        <f>'[3]Air Georgian'!$EQ$37</f>
        <v>0</v>
      </c>
      <c r="L9" s="21">
        <f>[3]Condor!$EQ$37</f>
        <v>0</v>
      </c>
      <c r="M9" s="21">
        <f>'[3]Air France'!$EQ$37</f>
        <v>11</v>
      </c>
      <c r="N9" s="21">
        <f>'[3]Charter Misc'!$EQ$37+[3]Ryan!$EQ$37+[3]Omni!$EQ$37</f>
        <v>0</v>
      </c>
      <c r="O9" s="286">
        <f>SUM(B9:N9)</f>
        <v>2300</v>
      </c>
    </row>
    <row r="10" spans="1:15" x14ac:dyDescent="0.2">
      <c r="A10" s="62" t="s">
        <v>36</v>
      </c>
      <c r="B10" s="14">
        <f>[3]Delta!$EQ$38</f>
        <v>1900</v>
      </c>
      <c r="C10" s="14">
        <f>'[3]Atlantic Southeast'!$EQ$38</f>
        <v>33</v>
      </c>
      <c r="D10" s="14">
        <f>'[3]Go Jet'!$EQ$38</f>
        <v>0</v>
      </c>
      <c r="E10" s="14">
        <f>[3]Pinnacle!$EQ$38</f>
        <v>228</v>
      </c>
      <c r="F10" s="14">
        <f>[3]Compass!$EQ$38</f>
        <v>31</v>
      </c>
      <c r="G10" s="14">
        <f>'[3]Sky West'!$EQ$38</f>
        <v>79</v>
      </c>
      <c r="H10" s="14">
        <f>'[3]Sun Country'!$EQ$38</f>
        <v>3</v>
      </c>
      <c r="I10" s="14">
        <f>[3]Icelandair!$EQ$38</f>
        <v>58</v>
      </c>
      <c r="J10" s="14">
        <f>'[3]Jazz Air'!$EQ$38</f>
        <v>0</v>
      </c>
      <c r="K10" s="14">
        <f>'[3]Air Georgian'!$EQ$38</f>
        <v>0</v>
      </c>
      <c r="L10" s="14">
        <f>[3]Condor!$EQ$38</f>
        <v>0</v>
      </c>
      <c r="M10" s="14">
        <f>'[3]Air France'!$EQ$38</f>
        <v>6</v>
      </c>
      <c r="N10" s="14">
        <f>'[3]Charter Misc'!$EQ$38+[3]Ryan!$EQ$38+[3]Omni!$EQ$38</f>
        <v>0</v>
      </c>
      <c r="O10" s="287">
        <f>SUM(B10:N10)</f>
        <v>2338</v>
      </c>
    </row>
    <row r="11" spans="1:15" ht="15.75" thickBot="1" x14ac:dyDescent="0.3">
      <c r="A11" s="63" t="s">
        <v>37</v>
      </c>
      <c r="B11" s="289">
        <f t="shared" ref="B11:H11" si="4">SUM(B9:B10)</f>
        <v>3836</v>
      </c>
      <c r="C11" s="289">
        <f t="shared" si="4"/>
        <v>49</v>
      </c>
      <c r="D11" s="289">
        <f t="shared" ref="D11" si="5">SUM(D9:D10)</f>
        <v>14</v>
      </c>
      <c r="E11" s="289">
        <f t="shared" si="4"/>
        <v>411</v>
      </c>
      <c r="F11" s="289">
        <f t="shared" si="4"/>
        <v>66</v>
      </c>
      <c r="G11" s="289">
        <f t="shared" si="4"/>
        <v>142</v>
      </c>
      <c r="H11" s="289">
        <f t="shared" si="4"/>
        <v>7</v>
      </c>
      <c r="I11" s="289">
        <f t="shared" ref="I11:N11" si="6">SUM(I9:I10)</f>
        <v>96</v>
      </c>
      <c r="J11" s="289">
        <f t="shared" si="6"/>
        <v>0</v>
      </c>
      <c r="K11" s="289">
        <f t="shared" ref="K11" si="7">SUM(K9:K10)</f>
        <v>0</v>
      </c>
      <c r="L11" s="289">
        <f t="shared" si="6"/>
        <v>0</v>
      </c>
      <c r="M11" s="289">
        <f t="shared" si="6"/>
        <v>17</v>
      </c>
      <c r="N11" s="289">
        <f t="shared" si="6"/>
        <v>0</v>
      </c>
      <c r="O11" s="290">
        <f>SUM(B11:N11)</f>
        <v>4638</v>
      </c>
    </row>
    <row r="12" spans="1:15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1"/>
    </row>
    <row r="13" spans="1:15" ht="39" thickBot="1" x14ac:dyDescent="0.25">
      <c r="B13" s="12" t="s">
        <v>20</v>
      </c>
      <c r="C13" s="277" t="s">
        <v>208</v>
      </c>
      <c r="D13" s="277" t="s">
        <v>182</v>
      </c>
      <c r="E13" s="439" t="s">
        <v>168</v>
      </c>
      <c r="F13" s="12" t="s">
        <v>123</v>
      </c>
      <c r="G13" s="12" t="s">
        <v>103</v>
      </c>
      <c r="H13" s="12" t="s">
        <v>147</v>
      </c>
      <c r="I13" s="12" t="s">
        <v>119</v>
      </c>
      <c r="J13" s="12" t="s">
        <v>104</v>
      </c>
      <c r="K13" s="277" t="s">
        <v>214</v>
      </c>
      <c r="L13" s="277" t="s">
        <v>181</v>
      </c>
      <c r="M13" s="12" t="s">
        <v>167</v>
      </c>
      <c r="N13" s="12" t="s">
        <v>148</v>
      </c>
      <c r="O13" s="277" t="s">
        <v>150</v>
      </c>
    </row>
    <row r="14" spans="1:15" ht="15" x14ac:dyDescent="0.25">
      <c r="A14" s="505" t="s">
        <v>151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7"/>
    </row>
    <row r="15" spans="1:15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33</v>
      </c>
      <c r="B16" s="21">
        <f>SUM([3]Delta!$EL$32:$EQ$32)</f>
        <v>430468</v>
      </c>
      <c r="C16" s="21">
        <f>SUM('[3]Atlantic Southeast'!$EL$32:$EQ$32)</f>
        <v>9892</v>
      </c>
      <c r="D16" s="21">
        <f>SUM('[3]Go Jet'!$EL$32:$EQ$32)</f>
        <v>1153</v>
      </c>
      <c r="E16" s="21">
        <f>SUM([3]Pinnacle!$EL$32:$EQ$32)</f>
        <v>88312</v>
      </c>
      <c r="F16" s="21">
        <f>SUM([3]Compass!$EL$32:$EQ$32)</f>
        <v>27233</v>
      </c>
      <c r="G16" s="21">
        <f>SUM('[3]Sky West'!$EL$32:$EQ$32)</f>
        <v>51836</v>
      </c>
      <c r="H16" s="21">
        <f>SUM('[3]Sun Country'!$EL$32:$EQ$32)</f>
        <v>119114</v>
      </c>
      <c r="I16" s="21">
        <f>SUM([3]Icelandair!$EL$32:$EQ$32)</f>
        <v>9819</v>
      </c>
      <c r="J16" s="21">
        <f>SUM('[3]Jazz Air'!$EL$32:$EQ$32)</f>
        <v>3553</v>
      </c>
      <c r="K16" s="21">
        <f>SUM('[3]Air Georgian'!$EL$32:$EQ$32)</f>
        <v>14802</v>
      </c>
      <c r="L16" s="21">
        <f>SUM([3]Condor!$EL$32:$EQ$32)</f>
        <v>2622</v>
      </c>
      <c r="M16" s="21">
        <f>SUM('[3]Air France'!$EL$32:$EQ$32)</f>
        <v>10597</v>
      </c>
      <c r="N16" s="21">
        <f>SUM('[3]Charter Misc'!$EL$32:$EQ$32)+SUM([3]Ryan!$EL$32:$EQ$32)+SUM([3]Omni!$EL$32:$EQ$32)</f>
        <v>210</v>
      </c>
      <c r="O16" s="286">
        <f>SUM(B16:N16)</f>
        <v>769611</v>
      </c>
    </row>
    <row r="17" spans="1:15" x14ac:dyDescent="0.2">
      <c r="A17" s="62" t="s">
        <v>34</v>
      </c>
      <c r="B17" s="14">
        <f>SUM([3]Delta!$EL$33:$EQ$33)</f>
        <v>427640</v>
      </c>
      <c r="C17" s="14">
        <f>SUM('[3]Atlantic Southeast'!$EL$33:$EQ$33)</f>
        <v>12024</v>
      </c>
      <c r="D17" s="14">
        <f>SUM('[3]Go Jet'!$EL$33:$EQ$33)</f>
        <v>0</v>
      </c>
      <c r="E17" s="14">
        <f>SUM([3]Pinnacle!$EL$33:$EQ$33)</f>
        <v>91011</v>
      </c>
      <c r="F17" s="14">
        <f>SUM([3]Compass!$EL$33:$EQ$33)</f>
        <v>26159</v>
      </c>
      <c r="G17" s="14">
        <f>SUM('[3]Sky West'!$EL$33:$EQ$33)</f>
        <v>51312</v>
      </c>
      <c r="H17" s="14">
        <f>SUM('[3]Sun Country'!$EL$33:$EQ$33)</f>
        <v>113129</v>
      </c>
      <c r="I17" s="14">
        <f>SUM([3]Icelandair!$EL$33:$EQ$33)</f>
        <v>11783</v>
      </c>
      <c r="J17" s="14">
        <f>SUM('[3]Jazz Air'!$EL$33:$EQ$33)</f>
        <v>3206</v>
      </c>
      <c r="K17" s="14">
        <f>SUM('[3]Air Georgian'!$EL$33:$EQ$33)</f>
        <v>14456</v>
      </c>
      <c r="L17" s="14">
        <f>SUM([3]Condor!$EL$33:$EQ$33)</f>
        <v>3106</v>
      </c>
      <c r="M17" s="14">
        <f>SUM('[3]Air France'!$EL$33:$EQ$33)</f>
        <v>6560</v>
      </c>
      <c r="N17" s="14">
        <f>SUM('[3]Charter Misc'!$EL$33:$EQ$33)++SUM([3]Ryan!$EL$33:$EQ$33)+SUM([3]Omni!$EL$33:$EQ$33)</f>
        <v>813</v>
      </c>
      <c r="O17" s="287">
        <f>SUM(B17:N17)</f>
        <v>761199</v>
      </c>
    </row>
    <row r="18" spans="1:15" ht="15" x14ac:dyDescent="0.25">
      <c r="A18" s="60" t="s">
        <v>7</v>
      </c>
      <c r="B18" s="34">
        <f t="shared" ref="B18:N18" si="8">SUM(B16:B17)</f>
        <v>858108</v>
      </c>
      <c r="C18" s="34">
        <f t="shared" si="8"/>
        <v>21916</v>
      </c>
      <c r="D18" s="34">
        <f t="shared" ref="D18" si="9">SUM(D16:D17)</f>
        <v>1153</v>
      </c>
      <c r="E18" s="34">
        <f t="shared" si="8"/>
        <v>179323</v>
      </c>
      <c r="F18" s="34">
        <f t="shared" si="8"/>
        <v>53392</v>
      </c>
      <c r="G18" s="34">
        <f t="shared" si="8"/>
        <v>103148</v>
      </c>
      <c r="H18" s="34">
        <f t="shared" si="8"/>
        <v>232243</v>
      </c>
      <c r="I18" s="34">
        <f t="shared" si="8"/>
        <v>21602</v>
      </c>
      <c r="J18" s="34">
        <f t="shared" si="8"/>
        <v>6759</v>
      </c>
      <c r="K18" s="34">
        <f t="shared" ref="K18" si="10">SUM(K16:K17)</f>
        <v>29258</v>
      </c>
      <c r="L18" s="34">
        <f t="shared" ref="L18" si="11">SUM(L16:L17)</f>
        <v>5728</v>
      </c>
      <c r="M18" s="34">
        <f t="shared" si="8"/>
        <v>17157</v>
      </c>
      <c r="N18" s="34">
        <f t="shared" si="8"/>
        <v>1023</v>
      </c>
      <c r="O18" s="288">
        <f>SUM(B18:N18)</f>
        <v>1530810</v>
      </c>
    </row>
    <row r="19" spans="1:15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6"/>
    </row>
    <row r="20" spans="1:15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6">
        <f>SUM(B20:N20)</f>
        <v>0</v>
      </c>
    </row>
    <row r="21" spans="1:15" x14ac:dyDescent="0.2">
      <c r="A21" s="62" t="s">
        <v>33</v>
      </c>
      <c r="B21" s="21">
        <f>SUM([3]Delta!$EL$37:$EQ$37)</f>
        <v>12158</v>
      </c>
      <c r="C21" s="21">
        <f>SUM('[3]Atlantic Southeast'!$EL$37:$EQ$37)</f>
        <v>107</v>
      </c>
      <c r="D21" s="21">
        <f>SUM('[3]Go Jet'!$EL$37:$EQ$37)</f>
        <v>14</v>
      </c>
      <c r="E21" s="21">
        <f>SUM([3]Pinnacle!$EL$37:$EQ$37)</f>
        <v>901</v>
      </c>
      <c r="F21" s="21">
        <f>SUM([3]Compass!$EL$37:$EQ$37)</f>
        <v>393</v>
      </c>
      <c r="G21" s="21">
        <f>SUM('[3]Sky West'!$EL$37:$EQ$37)</f>
        <v>562</v>
      </c>
      <c r="H21" s="21">
        <f>SUM('[3]Sun Country'!$EL$37:$EQ$37)</f>
        <v>648</v>
      </c>
      <c r="I21" s="21">
        <f>SUM([3]Icelandair!$EL$37:$EQ$37)</f>
        <v>108</v>
      </c>
      <c r="J21" s="21">
        <f>SUM('[3]Jazz Air'!$EL$37:$EQ$37)</f>
        <v>24</v>
      </c>
      <c r="K21" s="21">
        <f>SUM('[3]Air Georgian'!$EL$37:$EQ$37)</f>
        <v>0</v>
      </c>
      <c r="L21" s="21">
        <f>SUM([3]Condor!$EL$37:$EQ$37)</f>
        <v>0</v>
      </c>
      <c r="M21" s="21">
        <f>SUM('[3]Air France'!$EL$37:$EQ$37)</f>
        <v>20</v>
      </c>
      <c r="N21" s="21">
        <f>SUM('[3]Charter Misc'!$EL$37:$EQ$37)++SUM([3]Ryan!$EL$37:$EQ$37)+SUM([3]Omni!$EL$37:$EQ$37)</f>
        <v>0</v>
      </c>
      <c r="O21" s="286">
        <f>SUM(B21:N21)</f>
        <v>14935</v>
      </c>
    </row>
    <row r="22" spans="1:15" x14ac:dyDescent="0.2">
      <c r="A22" s="62" t="s">
        <v>36</v>
      </c>
      <c r="B22" s="14">
        <f>SUM([3]Delta!$EL$38:$EQ$38)</f>
        <v>11600</v>
      </c>
      <c r="C22" s="14">
        <f>SUM('[3]Atlantic Southeast'!$EL$38:$EQ$38)</f>
        <v>141</v>
      </c>
      <c r="D22" s="14">
        <f>SUM('[3]Go Jet'!$EL$38:$EQ$38)</f>
        <v>0</v>
      </c>
      <c r="E22" s="14">
        <f>SUM([3]Pinnacle!$EL$38:$EQ$38)</f>
        <v>966</v>
      </c>
      <c r="F22" s="14">
        <f>SUM([3]Compass!$EL$38:$EQ$38)</f>
        <v>353</v>
      </c>
      <c r="G22" s="14">
        <f>SUM('[3]Sky West'!$EL$38:$EQ$38)</f>
        <v>486</v>
      </c>
      <c r="H22" s="14">
        <f>SUM('[3]Sun Country'!$EL$38:$EQ$38)</f>
        <v>756</v>
      </c>
      <c r="I22" s="14">
        <f>SUM([3]Icelandair!$EL$38:$EQ$38)</f>
        <v>146</v>
      </c>
      <c r="J22" s="14">
        <f>SUM('[3]Jazz Air'!$EL$38:$EQ$38)</f>
        <v>39</v>
      </c>
      <c r="K22" s="14">
        <f>SUM('[3]Air Georgian'!$EL$38:$EQ$38)</f>
        <v>0</v>
      </c>
      <c r="L22" s="14">
        <f>SUM([3]Condor!$EL$38:$EQ$38)</f>
        <v>0</v>
      </c>
      <c r="M22" s="14">
        <f>SUM('[3]Air France'!$EL$38:$EQ$38)</f>
        <v>11</v>
      </c>
      <c r="N22" s="14">
        <f>SUM('[3]Charter Misc'!$EL$38:$EQ$38)++SUM([3]Ryan!$EL$38:$EQ$38)+SUM([3]Omni!$EL$38:$EQ$38)</f>
        <v>0</v>
      </c>
      <c r="O22" s="287">
        <f>SUM(B22:N22)</f>
        <v>14498</v>
      </c>
    </row>
    <row r="23" spans="1:15" ht="15.75" thickBot="1" x14ac:dyDescent="0.3">
      <c r="A23" s="63" t="s">
        <v>37</v>
      </c>
      <c r="B23" s="289">
        <f t="shared" ref="B23:N23" si="12">SUM(B21:B22)</f>
        <v>23758</v>
      </c>
      <c r="C23" s="289">
        <f t="shared" si="12"/>
        <v>248</v>
      </c>
      <c r="D23" s="289">
        <f t="shared" ref="D23" si="13">SUM(D21:D22)</f>
        <v>14</v>
      </c>
      <c r="E23" s="289">
        <f t="shared" si="12"/>
        <v>1867</v>
      </c>
      <c r="F23" s="289">
        <f t="shared" si="12"/>
        <v>746</v>
      </c>
      <c r="G23" s="289">
        <f t="shared" si="12"/>
        <v>1048</v>
      </c>
      <c r="H23" s="289">
        <f t="shared" si="12"/>
        <v>1404</v>
      </c>
      <c r="I23" s="289">
        <f t="shared" si="12"/>
        <v>254</v>
      </c>
      <c r="J23" s="289">
        <f t="shared" si="12"/>
        <v>63</v>
      </c>
      <c r="K23" s="289">
        <f t="shared" ref="K23" si="14">SUM(K21:K22)</f>
        <v>0</v>
      </c>
      <c r="L23" s="289">
        <f t="shared" ref="L23" si="15">SUM(L21:L22)</f>
        <v>0</v>
      </c>
      <c r="M23" s="289">
        <f t="shared" si="12"/>
        <v>31</v>
      </c>
      <c r="N23" s="289">
        <f t="shared" si="12"/>
        <v>0</v>
      </c>
      <c r="O23" s="290">
        <f>SUM(B23:N23)</f>
        <v>29433</v>
      </c>
    </row>
    <row r="25" spans="1:15" ht="39" thickBot="1" x14ac:dyDescent="0.25">
      <c r="B25" s="12" t="s">
        <v>20</v>
      </c>
      <c r="C25" s="277" t="s">
        <v>208</v>
      </c>
      <c r="D25" s="277" t="s">
        <v>182</v>
      </c>
      <c r="E25" s="439" t="s">
        <v>168</v>
      </c>
      <c r="F25" s="12" t="s">
        <v>123</v>
      </c>
      <c r="G25" s="12" t="s">
        <v>103</v>
      </c>
      <c r="H25" s="12" t="s">
        <v>147</v>
      </c>
      <c r="I25" s="12" t="s">
        <v>119</v>
      </c>
      <c r="J25" s="12" t="s">
        <v>104</v>
      </c>
      <c r="K25" s="277" t="s">
        <v>214</v>
      </c>
      <c r="L25" s="277" t="s">
        <v>181</v>
      </c>
      <c r="M25" s="12" t="s">
        <v>167</v>
      </c>
      <c r="N25" s="12" t="s">
        <v>148</v>
      </c>
      <c r="O25" s="277" t="s">
        <v>24</v>
      </c>
    </row>
    <row r="26" spans="1:15" ht="15" x14ac:dyDescent="0.25">
      <c r="A26" s="508" t="s">
        <v>152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10"/>
    </row>
    <row r="27" spans="1:15" x14ac:dyDescent="0.2">
      <c r="A27" s="62" t="s">
        <v>25</v>
      </c>
      <c r="B27" s="21">
        <f>[3]Delta!$EQ$15</f>
        <v>398</v>
      </c>
      <c r="C27" s="21">
        <f>'[3]Atlantic Southeast'!$EQ$15</f>
        <v>22</v>
      </c>
      <c r="D27" s="21">
        <f>'[3]Go Jet'!$EQ$15</f>
        <v>19</v>
      </c>
      <c r="E27" s="21">
        <f>[3]Pinnacle!$EQ$15</f>
        <v>286</v>
      </c>
      <c r="F27" s="21">
        <f>[3]Compass!$EQ$15</f>
        <v>26</v>
      </c>
      <c r="G27" s="21">
        <f>'[3]Sky West'!$EQ$15</f>
        <v>85</v>
      </c>
      <c r="H27" s="21">
        <f>'[3]Sun Country'!$EQ$15</f>
        <v>8</v>
      </c>
      <c r="I27" s="21">
        <f>[3]Icelandair!$EQ$15</f>
        <v>30</v>
      </c>
      <c r="J27" s="21">
        <f>'[3]Jazz Air'!$EQ$15</f>
        <v>0</v>
      </c>
      <c r="K27" s="21">
        <f>'[3]Air Georgian'!$EQ$15</f>
        <v>0</v>
      </c>
      <c r="L27" s="21">
        <f>[3]Condor!$EQ$15</f>
        <v>13</v>
      </c>
      <c r="M27" s="21">
        <f>'[3]Air France'!$EQ$15</f>
        <v>27</v>
      </c>
      <c r="N27" s="21">
        <f>'[3]Charter Misc'!$EQ$15+[3]Ryan!$EQ$15+[3]Omni!$EQ$15</f>
        <v>4</v>
      </c>
      <c r="O27" s="286">
        <f>SUM(B27:N27)</f>
        <v>918</v>
      </c>
    </row>
    <row r="28" spans="1:15" x14ac:dyDescent="0.2">
      <c r="A28" s="62" t="s">
        <v>26</v>
      </c>
      <c r="B28" s="21">
        <f>[3]Delta!$EQ$16</f>
        <v>398</v>
      </c>
      <c r="C28" s="21">
        <f>'[3]Atlantic Southeast'!$EQ$16</f>
        <v>43</v>
      </c>
      <c r="D28" s="21">
        <f>'[3]Go Jet'!$EQ$16</f>
        <v>19</v>
      </c>
      <c r="E28" s="21">
        <f>[3]Pinnacle!$EQ$16</f>
        <v>283</v>
      </c>
      <c r="F28" s="21">
        <f>[3]Compass!$EQ$16</f>
        <v>27</v>
      </c>
      <c r="G28" s="21">
        <f>'[3]Sky West'!$EQ$16</f>
        <v>86</v>
      </c>
      <c r="H28" s="21">
        <f>'[3]Sun Country'!$EQ$16</f>
        <v>8</v>
      </c>
      <c r="I28" s="21">
        <f>[3]Icelandair!$EQ$16</f>
        <v>30</v>
      </c>
      <c r="J28" s="21">
        <f>'[3]Jazz Air'!$EQ$16</f>
        <v>0</v>
      </c>
      <c r="K28" s="21">
        <f>'[3]Air Georgian'!$EQ$16</f>
        <v>0</v>
      </c>
      <c r="L28" s="21">
        <f>[3]Condor!$EQ$16</f>
        <v>13</v>
      </c>
      <c r="M28" s="21">
        <f>'[3]Air France'!$EQ$16</f>
        <v>27</v>
      </c>
      <c r="N28" s="21">
        <f>'[3]Charter Misc'!$EQ$16+[3]Ryan!$EQ$16+[3]Omni!$EQ$16</f>
        <v>2</v>
      </c>
      <c r="O28" s="286">
        <f>SUM(B28:N28)</f>
        <v>936</v>
      </c>
    </row>
    <row r="29" spans="1:15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6"/>
    </row>
    <row r="30" spans="1:15" ht="15.75" thickBot="1" x14ac:dyDescent="0.3">
      <c r="A30" s="63" t="s">
        <v>31</v>
      </c>
      <c r="B30" s="392">
        <f t="shared" ref="B30:J30" si="16">SUM(B27:B28)</f>
        <v>796</v>
      </c>
      <c r="C30" s="392">
        <f t="shared" si="16"/>
        <v>65</v>
      </c>
      <c r="D30" s="392">
        <f t="shared" ref="D30" si="17">SUM(D27:D28)</f>
        <v>38</v>
      </c>
      <c r="E30" s="392">
        <f t="shared" si="16"/>
        <v>569</v>
      </c>
      <c r="F30" s="392">
        <f t="shared" si="16"/>
        <v>53</v>
      </c>
      <c r="G30" s="392">
        <f>SUM(G27:G28)</f>
        <v>171</v>
      </c>
      <c r="H30" s="392">
        <f t="shared" si="16"/>
        <v>16</v>
      </c>
      <c r="I30" s="392">
        <f t="shared" si="16"/>
        <v>60</v>
      </c>
      <c r="J30" s="392">
        <f t="shared" si="16"/>
        <v>0</v>
      </c>
      <c r="K30" s="392">
        <f t="shared" ref="K30" si="18">SUM(K27:K28)</f>
        <v>0</v>
      </c>
      <c r="L30" s="392">
        <f>SUM(L27:L28)</f>
        <v>26</v>
      </c>
      <c r="M30" s="392">
        <f>SUM(M27:M28)</f>
        <v>54</v>
      </c>
      <c r="N30" s="392">
        <f>SUM(N27:N28)</f>
        <v>6</v>
      </c>
      <c r="O30" s="393">
        <f>SUM(B30:N30)</f>
        <v>1854</v>
      </c>
    </row>
    <row r="31" spans="1:15" ht="15" x14ac:dyDescent="0.25">
      <c r="A31" s="394"/>
    </row>
    <row r="32" spans="1:15" ht="39" thickBot="1" x14ac:dyDescent="0.25">
      <c r="B32" s="12" t="s">
        <v>20</v>
      </c>
      <c r="C32" s="277" t="s">
        <v>208</v>
      </c>
      <c r="D32" s="277" t="s">
        <v>182</v>
      </c>
      <c r="E32" s="439" t="s">
        <v>168</v>
      </c>
      <c r="F32" s="12" t="s">
        <v>123</v>
      </c>
      <c r="G32" s="12" t="s">
        <v>103</v>
      </c>
      <c r="H32" s="12" t="s">
        <v>147</v>
      </c>
      <c r="I32" s="12" t="s">
        <v>119</v>
      </c>
      <c r="J32" s="12" t="s">
        <v>104</v>
      </c>
      <c r="K32" s="277" t="s">
        <v>214</v>
      </c>
      <c r="L32" s="277" t="s">
        <v>181</v>
      </c>
      <c r="M32" s="12" t="s">
        <v>167</v>
      </c>
      <c r="N32" s="12" t="s">
        <v>148</v>
      </c>
      <c r="O32" s="277" t="s">
        <v>150</v>
      </c>
    </row>
    <row r="33" spans="1:15" ht="15" x14ac:dyDescent="0.25">
      <c r="A33" s="511" t="s">
        <v>153</v>
      </c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3"/>
    </row>
    <row r="34" spans="1:15" x14ac:dyDescent="0.2">
      <c r="A34" s="62" t="s">
        <v>25</v>
      </c>
      <c r="B34" s="21">
        <f>SUM([3]Delta!$EL$15:$EQ$15)</f>
        <v>2599</v>
      </c>
      <c r="C34" s="21">
        <f>SUM('[3]Atlantic Southeast'!$EL$15:$EQ$15)</f>
        <v>172</v>
      </c>
      <c r="D34" s="21">
        <f>SUM('[3]Go Jet'!$EL$15:$EQ$15)</f>
        <v>19</v>
      </c>
      <c r="E34" s="21">
        <f>SUM([3]Pinnacle!$EL$15:$EQ$15)</f>
        <v>1489</v>
      </c>
      <c r="F34" s="21">
        <f>SUM([3]Compass!$EL$15:$EQ$15)</f>
        <v>407</v>
      </c>
      <c r="G34" s="21">
        <f>SUM('[3]Sky West'!$EL$15:$EQ$15)</f>
        <v>835</v>
      </c>
      <c r="H34" s="21">
        <f>SUM('[3]Sun Country'!$EL$15:$EQ$15)</f>
        <v>1010</v>
      </c>
      <c r="I34" s="21">
        <f>SUM([3]Icelandair!$EL$15:$EQ$15)</f>
        <v>63</v>
      </c>
      <c r="J34" s="21">
        <f>SUM('[3]Jazz Air'!$EL$15:$EQ$15)</f>
        <v>92</v>
      </c>
      <c r="K34" s="21">
        <f>SUM('[3]Air Georgian'!$EL$15:$EQ$15)</f>
        <v>363</v>
      </c>
      <c r="L34" s="21">
        <f>SUM([3]Condor!$EL$15:$EQ$15)</f>
        <v>13</v>
      </c>
      <c r="M34" s="21">
        <f>SUM('[3]Air France'!$EL$15:$EQ$15)</f>
        <v>45</v>
      </c>
      <c r="N34" s="21">
        <f>SUM('[3]Charter Misc'!$EL$15:$EQ$15)+SUM([3]Ryan!$EL$15:$EQ$15)+SUM([3]Omni!$EL$15:$EQ$15)</f>
        <v>4</v>
      </c>
      <c r="O34" s="286">
        <f>SUM(B34:N34)</f>
        <v>7111</v>
      </c>
    </row>
    <row r="35" spans="1:15" x14ac:dyDescent="0.2">
      <c r="A35" s="62" t="s">
        <v>26</v>
      </c>
      <c r="B35" s="21">
        <f>SUM([3]Delta!$EL$16:$EQ$16)</f>
        <v>2607</v>
      </c>
      <c r="C35" s="21">
        <f>SUM('[3]Atlantic Southeast'!$EL$16:$EQ$16)</f>
        <v>201</v>
      </c>
      <c r="D35" s="21">
        <f>SUM('[3]Go Jet'!$EL$16:$EQ$16)</f>
        <v>19</v>
      </c>
      <c r="E35" s="21">
        <f>SUM([3]Pinnacle!$EL$16:$EQ$16)</f>
        <v>1476</v>
      </c>
      <c r="F35" s="21">
        <f>SUM([3]Compass!$EL$16:$EQ$16)</f>
        <v>404</v>
      </c>
      <c r="G35" s="21">
        <f>SUM('[3]Sky West'!$EL$16:$EQ$16)</f>
        <v>837</v>
      </c>
      <c r="H35" s="21">
        <f>SUM('[3]Sun Country'!$EL$16:$EQ$16)</f>
        <v>997</v>
      </c>
      <c r="I35" s="21">
        <f>SUM([3]Icelandair!$EL$16:$EQ$16)</f>
        <v>63</v>
      </c>
      <c r="J35" s="21">
        <f>SUM('[3]Jazz Air'!$EL$16:$EQ$16)</f>
        <v>93</v>
      </c>
      <c r="K35" s="21">
        <f>SUM('[3]Air Georgian'!$EL$16:$EQ$16)</f>
        <v>362</v>
      </c>
      <c r="L35" s="21">
        <f>SUM([3]Condor!$EL$16:$EQ$16)</f>
        <v>13</v>
      </c>
      <c r="M35" s="21">
        <f>SUM('[3]Air France'!$EL$16:$EQ$16)</f>
        <v>45</v>
      </c>
      <c r="N35" s="21">
        <f>SUM('[3]Charter Misc'!$EL$16:$EQ$16)+SUM([3]Ryan!$EL$16:$EQ$16)+SUM([3]Omni!$EL$16:$EQ$16)</f>
        <v>2</v>
      </c>
      <c r="O35" s="286">
        <f>SUM(B35:N35)</f>
        <v>7119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6"/>
    </row>
    <row r="37" spans="1:15" ht="15.75" thickBot="1" x14ac:dyDescent="0.3">
      <c r="A37" s="63" t="s">
        <v>31</v>
      </c>
      <c r="B37" s="392">
        <f t="shared" ref="B37:J37" si="19">+SUM(B34:B35)</f>
        <v>5206</v>
      </c>
      <c r="C37" s="392">
        <f t="shared" si="19"/>
        <v>373</v>
      </c>
      <c r="D37" s="392">
        <f t="shared" ref="D37" si="20">+SUM(D34:D35)</f>
        <v>38</v>
      </c>
      <c r="E37" s="392">
        <f t="shared" si="19"/>
        <v>2965</v>
      </c>
      <c r="F37" s="392">
        <f t="shared" si="19"/>
        <v>811</v>
      </c>
      <c r="G37" s="392">
        <f>+SUM(G34:G35)</f>
        <v>1672</v>
      </c>
      <c r="H37" s="392">
        <f t="shared" si="19"/>
        <v>2007</v>
      </c>
      <c r="I37" s="392">
        <f t="shared" si="19"/>
        <v>126</v>
      </c>
      <c r="J37" s="392">
        <f t="shared" si="19"/>
        <v>185</v>
      </c>
      <c r="K37" s="392">
        <f t="shared" ref="K37" si="21">+SUM(K34:K35)</f>
        <v>725</v>
      </c>
      <c r="L37" s="392">
        <f>+SUM(L34:L35)</f>
        <v>26</v>
      </c>
      <c r="M37" s="392">
        <f>+SUM(M34:M35)</f>
        <v>90</v>
      </c>
      <c r="N37" s="392">
        <f>+SUM(N34:N35)</f>
        <v>6</v>
      </c>
      <c r="O37" s="393">
        <f>SUM(B37:N37)</f>
        <v>14230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&amp;"Arial,Bold"June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2016-07-28T15:38:32Z</cp:lastPrinted>
  <dcterms:created xsi:type="dcterms:W3CDTF">2007-09-24T12:26:24Z</dcterms:created>
  <dcterms:modified xsi:type="dcterms:W3CDTF">2020-01-29T19:47:54Z</dcterms:modified>
</cp:coreProperties>
</file>