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13FFD533-1A08-4EA2-BE28-F73B00BFBDB6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Activity'!$A$1:$R$57</definedName>
    <definedName name="_xlnm.Print_Area" localSheetId="2">'Other Major Airline Stats'!$A$2:$H$49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D5" i="8" l="1"/>
  <c r="D4" i="8"/>
  <c r="L6" i="9" l="1"/>
  <c r="J35" i="16"/>
  <c r="J34" i="16"/>
  <c r="J28" i="16"/>
  <c r="J27" i="16"/>
  <c r="J22" i="16"/>
  <c r="J21" i="16"/>
  <c r="J17" i="16"/>
  <c r="J16" i="16"/>
  <c r="J18" i="16" s="1"/>
  <c r="J10" i="16"/>
  <c r="J9" i="16"/>
  <c r="J5" i="16"/>
  <c r="J4" i="16"/>
  <c r="I16" i="4"/>
  <c r="I15" i="4"/>
  <c r="I11" i="4"/>
  <c r="I10" i="4"/>
  <c r="I6" i="4"/>
  <c r="I5" i="4"/>
  <c r="J11" i="16" l="1"/>
  <c r="J23" i="16"/>
  <c r="J37" i="16"/>
  <c r="J30" i="16"/>
  <c r="J6" i="16"/>
  <c r="G27" i="8"/>
  <c r="G26" i="8"/>
  <c r="G22" i="8"/>
  <c r="G21" i="8"/>
  <c r="G17" i="8"/>
  <c r="G16" i="8"/>
  <c r="G5" i="8"/>
  <c r="G4" i="8"/>
  <c r="G10" i="8"/>
  <c r="G28" i="8" l="1"/>
  <c r="G18" i="8"/>
  <c r="G6" i="8"/>
  <c r="G12" i="8" s="1"/>
  <c r="G32" i="8"/>
  <c r="G23" i="8"/>
  <c r="G31" i="8"/>
  <c r="G33" i="8" l="1"/>
  <c r="H7" i="9"/>
  <c r="G7" i="9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3" i="7"/>
  <c r="J23" i="7"/>
  <c r="E23" i="7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8" i="9"/>
  <c r="N48" i="9"/>
  <c r="H48" i="9"/>
  <c r="E48" i="9"/>
  <c r="Q47" i="9"/>
  <c r="N47" i="9"/>
  <c r="H47" i="9"/>
  <c r="E47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6" i="9"/>
  <c r="N36" i="9"/>
  <c r="H36" i="9"/>
  <c r="E36" i="9"/>
  <c r="Q34" i="9"/>
  <c r="N34" i="9"/>
  <c r="H34" i="9"/>
  <c r="E34" i="9"/>
  <c r="Q32" i="9"/>
  <c r="N32" i="9"/>
  <c r="H32" i="9"/>
  <c r="E32" i="9"/>
  <c r="Q30" i="9"/>
  <c r="N30" i="9"/>
  <c r="H30" i="9"/>
  <c r="E30" i="9"/>
  <c r="Q29" i="9"/>
  <c r="N29" i="9"/>
  <c r="H29" i="9"/>
  <c r="E29" i="9"/>
  <c r="Q28" i="9"/>
  <c r="N28" i="9"/>
  <c r="H28" i="9"/>
  <c r="E28" i="9"/>
  <c r="Q27" i="9"/>
  <c r="N27" i="9"/>
  <c r="H27" i="9"/>
  <c r="E27" i="9"/>
  <c r="Q26" i="9"/>
  <c r="N26" i="9"/>
  <c r="H26" i="9"/>
  <c r="E26" i="9"/>
  <c r="Q25" i="9"/>
  <c r="N25" i="9"/>
  <c r="H25" i="9"/>
  <c r="E25" i="9"/>
  <c r="Q24" i="9"/>
  <c r="N24" i="9"/>
  <c r="H24" i="9"/>
  <c r="E24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6" i="9"/>
  <c r="N16" i="9"/>
  <c r="H16" i="9"/>
  <c r="E16" i="9"/>
  <c r="Q13" i="9"/>
  <c r="N13" i="9"/>
  <c r="H13" i="9"/>
  <c r="E13" i="9"/>
  <c r="Q12" i="9"/>
  <c r="N12" i="9"/>
  <c r="H12" i="9"/>
  <c r="E12" i="9"/>
  <c r="Q9" i="9"/>
  <c r="N9" i="9"/>
  <c r="H9" i="9"/>
  <c r="E9" i="9"/>
  <c r="Q7" i="9"/>
  <c r="N7" i="9"/>
  <c r="E7" i="9"/>
  <c r="Q6" i="9"/>
  <c r="N6" i="9"/>
  <c r="H6" i="9"/>
  <c r="E6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8" i="9"/>
  <c r="L48" i="9"/>
  <c r="G48" i="9"/>
  <c r="C48" i="9"/>
  <c r="P47" i="9"/>
  <c r="L47" i="9"/>
  <c r="G47" i="9"/>
  <c r="C47" i="9"/>
  <c r="P46" i="9"/>
  <c r="L46" i="9"/>
  <c r="G46" i="9"/>
  <c r="C46" i="9"/>
  <c r="P43" i="9"/>
  <c r="L43" i="9"/>
  <c r="G43" i="9"/>
  <c r="C43" i="9"/>
  <c r="P41" i="9"/>
  <c r="L41" i="9"/>
  <c r="G41" i="9"/>
  <c r="C41" i="9"/>
  <c r="P36" i="9"/>
  <c r="L36" i="9"/>
  <c r="G36" i="9"/>
  <c r="C36" i="9"/>
  <c r="P34" i="9"/>
  <c r="L34" i="9"/>
  <c r="G34" i="9"/>
  <c r="C34" i="9"/>
  <c r="P32" i="9"/>
  <c r="L32" i="9"/>
  <c r="G32" i="9"/>
  <c r="C32" i="9"/>
  <c r="P30" i="9"/>
  <c r="L30" i="9"/>
  <c r="G30" i="9"/>
  <c r="C30" i="9"/>
  <c r="P29" i="9"/>
  <c r="L29" i="9"/>
  <c r="G29" i="9"/>
  <c r="C29" i="9"/>
  <c r="P28" i="9"/>
  <c r="L28" i="9"/>
  <c r="G28" i="9"/>
  <c r="C28" i="9"/>
  <c r="P27" i="9"/>
  <c r="L27" i="9"/>
  <c r="G27" i="9"/>
  <c r="C27" i="9"/>
  <c r="P26" i="9"/>
  <c r="L26" i="9"/>
  <c r="G26" i="9"/>
  <c r="C26" i="9"/>
  <c r="P25" i="9"/>
  <c r="L25" i="9"/>
  <c r="G25" i="9"/>
  <c r="C25" i="9"/>
  <c r="P24" i="9"/>
  <c r="L24" i="9"/>
  <c r="G24" i="9"/>
  <c r="C24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6" i="9"/>
  <c r="L16" i="9"/>
  <c r="G16" i="9"/>
  <c r="C16" i="9"/>
  <c r="P12" i="9"/>
  <c r="L12" i="9"/>
  <c r="G12" i="9"/>
  <c r="C12" i="9"/>
  <c r="P9" i="9"/>
  <c r="L9" i="9"/>
  <c r="G9" i="9"/>
  <c r="C9" i="9"/>
  <c r="P7" i="9"/>
  <c r="L7" i="9"/>
  <c r="C7" i="9"/>
  <c r="P6" i="9"/>
  <c r="G6" i="9"/>
  <c r="C6" i="9"/>
  <c r="M35" i="16"/>
  <c r="L35" i="16"/>
  <c r="K35" i="16"/>
  <c r="I35" i="16"/>
  <c r="H35" i="16"/>
  <c r="G35" i="16"/>
  <c r="F35" i="16"/>
  <c r="E35" i="16"/>
  <c r="D35" i="16"/>
  <c r="C35" i="16"/>
  <c r="B35" i="16"/>
  <c r="M34" i="16"/>
  <c r="L34" i="16"/>
  <c r="K34" i="16"/>
  <c r="I34" i="16"/>
  <c r="H34" i="16"/>
  <c r="G34" i="16"/>
  <c r="F34" i="16"/>
  <c r="E34" i="16"/>
  <c r="D34" i="16"/>
  <c r="C34" i="16"/>
  <c r="B34" i="16"/>
  <c r="M28" i="16"/>
  <c r="L28" i="16"/>
  <c r="K28" i="16"/>
  <c r="I28" i="16"/>
  <c r="H28" i="16"/>
  <c r="G28" i="16"/>
  <c r="F28" i="16"/>
  <c r="E28" i="16"/>
  <c r="D28" i="16"/>
  <c r="C28" i="16"/>
  <c r="B28" i="16"/>
  <c r="M27" i="16"/>
  <c r="L27" i="16"/>
  <c r="K27" i="16"/>
  <c r="I27" i="16"/>
  <c r="H27" i="16"/>
  <c r="G27" i="16"/>
  <c r="F27" i="16"/>
  <c r="E27" i="16"/>
  <c r="D27" i="16"/>
  <c r="C27" i="16"/>
  <c r="B27" i="16"/>
  <c r="M22" i="16"/>
  <c r="L22" i="16"/>
  <c r="K22" i="16"/>
  <c r="I22" i="16"/>
  <c r="H22" i="16"/>
  <c r="G22" i="16"/>
  <c r="F22" i="16"/>
  <c r="E22" i="16"/>
  <c r="D22" i="16"/>
  <c r="C22" i="16"/>
  <c r="B22" i="16"/>
  <c r="M21" i="16"/>
  <c r="L21" i="16"/>
  <c r="K21" i="16"/>
  <c r="I21" i="16"/>
  <c r="H21" i="16"/>
  <c r="G21" i="16"/>
  <c r="F21" i="16"/>
  <c r="E21" i="16"/>
  <c r="D21" i="16"/>
  <c r="C21" i="16"/>
  <c r="B21" i="16"/>
  <c r="M17" i="16"/>
  <c r="L17" i="16"/>
  <c r="K17" i="16"/>
  <c r="I17" i="16"/>
  <c r="H17" i="16"/>
  <c r="G17" i="16"/>
  <c r="F17" i="16"/>
  <c r="E17" i="16"/>
  <c r="D17" i="16"/>
  <c r="C17" i="16"/>
  <c r="B17" i="16"/>
  <c r="M16" i="16"/>
  <c r="L16" i="16"/>
  <c r="K16" i="16"/>
  <c r="I16" i="16"/>
  <c r="H16" i="16"/>
  <c r="G16" i="16"/>
  <c r="F16" i="16"/>
  <c r="E16" i="16"/>
  <c r="D16" i="16"/>
  <c r="C16" i="16"/>
  <c r="B16" i="16"/>
  <c r="M10" i="16"/>
  <c r="L10" i="16"/>
  <c r="K10" i="16"/>
  <c r="I10" i="16"/>
  <c r="H10" i="16"/>
  <c r="G10" i="16"/>
  <c r="F10" i="16"/>
  <c r="E10" i="16"/>
  <c r="D10" i="16"/>
  <c r="C10" i="16"/>
  <c r="B10" i="16"/>
  <c r="M9" i="16"/>
  <c r="L9" i="16"/>
  <c r="K9" i="16"/>
  <c r="I9" i="16"/>
  <c r="H9" i="16"/>
  <c r="G9" i="16"/>
  <c r="F9" i="16"/>
  <c r="E9" i="16"/>
  <c r="D9" i="16"/>
  <c r="C9" i="16"/>
  <c r="B9" i="16"/>
  <c r="M5" i="16"/>
  <c r="L5" i="16"/>
  <c r="K5" i="16"/>
  <c r="I5" i="16"/>
  <c r="H5" i="16"/>
  <c r="G5" i="16"/>
  <c r="F5" i="16"/>
  <c r="E5" i="16"/>
  <c r="D5" i="16"/>
  <c r="C5" i="16"/>
  <c r="B5" i="16"/>
  <c r="M4" i="16"/>
  <c r="L4" i="16"/>
  <c r="K4" i="16"/>
  <c r="I4" i="16"/>
  <c r="H4" i="16"/>
  <c r="G4" i="16"/>
  <c r="F4" i="16"/>
  <c r="E4" i="16"/>
  <c r="D4" i="16"/>
  <c r="C4" i="16"/>
  <c r="B4" i="16"/>
  <c r="L27" i="8"/>
  <c r="K27" i="8"/>
  <c r="J27" i="8"/>
  <c r="H27" i="8"/>
  <c r="F27" i="8"/>
  <c r="D27" i="8"/>
  <c r="C27" i="8"/>
  <c r="B27" i="8"/>
  <c r="L26" i="8"/>
  <c r="K26" i="8"/>
  <c r="J26" i="8"/>
  <c r="H26" i="8"/>
  <c r="F26" i="8"/>
  <c r="D26" i="8"/>
  <c r="C26" i="8"/>
  <c r="B26" i="8"/>
  <c r="L22" i="8"/>
  <c r="K22" i="8"/>
  <c r="J22" i="8"/>
  <c r="H22" i="8"/>
  <c r="F22" i="8"/>
  <c r="D22" i="8"/>
  <c r="C22" i="8"/>
  <c r="B22" i="8"/>
  <c r="L21" i="8"/>
  <c r="K21" i="8"/>
  <c r="J21" i="8"/>
  <c r="H21" i="8"/>
  <c r="F21" i="8"/>
  <c r="D21" i="8"/>
  <c r="C21" i="8"/>
  <c r="B21" i="8"/>
  <c r="L17" i="8"/>
  <c r="K17" i="8"/>
  <c r="J17" i="8"/>
  <c r="H17" i="8"/>
  <c r="F17" i="8"/>
  <c r="D17" i="8"/>
  <c r="C17" i="8"/>
  <c r="B17" i="8"/>
  <c r="L16" i="8"/>
  <c r="K16" i="8"/>
  <c r="J16" i="8"/>
  <c r="H16" i="8"/>
  <c r="F16" i="8"/>
  <c r="D16" i="8"/>
  <c r="C16" i="8"/>
  <c r="B16" i="8"/>
  <c r="L9" i="8"/>
  <c r="L8" i="8"/>
  <c r="L5" i="8"/>
  <c r="K5" i="8"/>
  <c r="J5" i="8"/>
  <c r="I5" i="8"/>
  <c r="H5" i="8"/>
  <c r="F5" i="8"/>
  <c r="C5" i="8"/>
  <c r="B5" i="8"/>
  <c r="L4" i="8"/>
  <c r="K4" i="8"/>
  <c r="J4" i="8"/>
  <c r="I4" i="8"/>
  <c r="H4" i="8"/>
  <c r="F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H16" i="4"/>
  <c r="G16" i="4"/>
  <c r="F16" i="4"/>
  <c r="E16" i="4"/>
  <c r="D16" i="4"/>
  <c r="C16" i="4"/>
  <c r="B16" i="4"/>
  <c r="J15" i="4"/>
  <c r="H15" i="4"/>
  <c r="G15" i="4"/>
  <c r="F15" i="4"/>
  <c r="E15" i="4"/>
  <c r="D15" i="4"/>
  <c r="C15" i="4"/>
  <c r="B15" i="4"/>
  <c r="J11" i="4"/>
  <c r="H11" i="4"/>
  <c r="G11" i="4"/>
  <c r="F11" i="4"/>
  <c r="E11" i="4"/>
  <c r="D11" i="4"/>
  <c r="C11" i="4"/>
  <c r="B11" i="4"/>
  <c r="J10" i="4"/>
  <c r="H10" i="4"/>
  <c r="G10" i="4"/>
  <c r="F10" i="4"/>
  <c r="E10" i="4"/>
  <c r="D10" i="4"/>
  <c r="C10" i="4"/>
  <c r="B10" i="4"/>
  <c r="J6" i="4"/>
  <c r="H6" i="4"/>
  <c r="G6" i="4"/>
  <c r="F6" i="4"/>
  <c r="E6" i="4"/>
  <c r="D6" i="4"/>
  <c r="C6" i="4"/>
  <c r="B6" i="4"/>
  <c r="J5" i="4"/>
  <c r="H5" i="4"/>
  <c r="G5" i="4"/>
  <c r="F5" i="4"/>
  <c r="E5" i="4"/>
  <c r="D5" i="4"/>
  <c r="C5" i="4"/>
  <c r="B5" i="4"/>
  <c r="F49" i="3"/>
  <c r="E49" i="3"/>
  <c r="F48" i="3"/>
  <c r="E48" i="3"/>
  <c r="G39" i="3"/>
  <c r="F39" i="3"/>
  <c r="E39" i="3"/>
  <c r="D39" i="3"/>
  <c r="C39" i="3"/>
  <c r="B39" i="3"/>
  <c r="G38" i="3"/>
  <c r="F38" i="3"/>
  <c r="E38" i="3"/>
  <c r="D38" i="3"/>
  <c r="C38" i="3"/>
  <c r="B38" i="3"/>
  <c r="G34" i="3"/>
  <c r="F34" i="3"/>
  <c r="E34" i="3"/>
  <c r="D34" i="3"/>
  <c r="C34" i="3"/>
  <c r="B34" i="3"/>
  <c r="G33" i="3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1" i="3"/>
  <c r="F21" i="3"/>
  <c r="E21" i="3"/>
  <c r="D21" i="3"/>
  <c r="C21" i="3"/>
  <c r="B21" i="3"/>
  <c r="G20" i="3"/>
  <c r="F20" i="3"/>
  <c r="E20" i="3"/>
  <c r="D20" i="3"/>
  <c r="C20" i="3"/>
  <c r="B20" i="3"/>
  <c r="G17" i="3"/>
  <c r="F17" i="3"/>
  <c r="E17" i="3"/>
  <c r="D17" i="3"/>
  <c r="C17" i="3"/>
  <c r="B17" i="3"/>
  <c r="G16" i="3"/>
  <c r="F16" i="3"/>
  <c r="E16" i="3"/>
  <c r="D16" i="3"/>
  <c r="C16" i="3"/>
  <c r="B16" i="3"/>
  <c r="G11" i="3"/>
  <c r="F11" i="3"/>
  <c r="E11" i="3"/>
  <c r="D11" i="3"/>
  <c r="C11" i="3"/>
  <c r="B11" i="3"/>
  <c r="G10" i="3"/>
  <c r="F10" i="3"/>
  <c r="E10" i="3"/>
  <c r="D10" i="3"/>
  <c r="C10" i="3"/>
  <c r="B10" i="3"/>
  <c r="G6" i="3"/>
  <c r="F6" i="3"/>
  <c r="E6" i="3"/>
  <c r="D6" i="3"/>
  <c r="C6" i="3"/>
  <c r="B6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M5" i="8" l="1"/>
  <c r="I7" i="9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I7" i="4" l="1"/>
  <c r="I12" i="4"/>
  <c r="I20" i="4"/>
  <c r="I32" i="4"/>
  <c r="I41" i="4"/>
  <c r="I37" i="4" l="1"/>
  <c r="I40" i="4"/>
  <c r="I17" i="4"/>
  <c r="I21" i="4" s="1"/>
  <c r="I27" i="4"/>
  <c r="I42" i="4" l="1"/>
  <c r="Q56" i="9"/>
  <c r="R50" i="9"/>
  <c r="I50" i="9"/>
  <c r="O22" i="7"/>
  <c r="J22" i="7"/>
  <c r="F50" i="9" l="1"/>
  <c r="N56" i="9"/>
  <c r="E56" i="9"/>
  <c r="O50" i="9"/>
  <c r="H56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D36" i="15"/>
  <c r="F41" i="4" l="1"/>
  <c r="F20" i="4"/>
  <c r="F17" i="4"/>
  <c r="F40" i="4"/>
  <c r="F7" i="4"/>
  <c r="F27" i="4"/>
  <c r="F12" i="4"/>
  <c r="F32" i="4"/>
  <c r="F37" i="4"/>
  <c r="F21" i="4" l="1"/>
  <c r="F42" i="4"/>
  <c r="N11" i="9"/>
  <c r="E11" i="9"/>
  <c r="R5" i="9"/>
  <c r="O5" i="9"/>
  <c r="I5" i="9"/>
  <c r="F5" i="9"/>
  <c r="P4" i="9"/>
  <c r="H4" i="9"/>
  <c r="F18" i="9"/>
  <c r="F16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7" i="9" l="1"/>
  <c r="Q11" i="9"/>
  <c r="G15" i="9"/>
  <c r="H15" i="9"/>
  <c r="O7" i="9"/>
  <c r="H11" i="9"/>
  <c r="P15" i="9"/>
  <c r="Q15" i="9"/>
  <c r="F19" i="9"/>
  <c r="F20" i="9"/>
  <c r="F21" i="9"/>
  <c r="R17" i="9"/>
  <c r="I19" i="9"/>
  <c r="R19" i="9"/>
  <c r="I20" i="9"/>
  <c r="R20" i="9"/>
  <c r="I21" i="9"/>
  <c r="R21" i="9"/>
  <c r="I17" i="9"/>
  <c r="I6" i="9"/>
  <c r="F7" i="9"/>
  <c r="F17" i="9"/>
  <c r="O6" i="9"/>
  <c r="C15" i="9"/>
  <c r="L4" i="9"/>
  <c r="F12" i="9"/>
  <c r="R12" i="9"/>
  <c r="G4" i="9"/>
  <c r="L15" i="9"/>
  <c r="N15" i="9"/>
  <c r="E15" i="9"/>
  <c r="R7" i="9"/>
  <c r="I12" i="9"/>
  <c r="O12" i="9"/>
  <c r="Q4" i="9"/>
  <c r="E4" i="9"/>
  <c r="C4" i="9"/>
  <c r="R6" i="9"/>
  <c r="N4" i="9"/>
  <c r="F6" i="9"/>
  <c r="O19" i="9"/>
  <c r="O20" i="9"/>
  <c r="O21" i="9"/>
  <c r="J7" i="15"/>
  <c r="K23" i="16"/>
  <c r="I40" i="15"/>
  <c r="F11" i="2"/>
  <c r="F21" i="2"/>
  <c r="F35" i="2"/>
  <c r="G6" i="2"/>
  <c r="G17" i="2"/>
  <c r="G30" i="2"/>
  <c r="G40" i="2"/>
  <c r="J37" i="15"/>
  <c r="K30" i="16"/>
  <c r="K6" i="16"/>
  <c r="I17" i="15"/>
  <c r="I27" i="15"/>
  <c r="I37" i="15"/>
  <c r="G43" i="2"/>
  <c r="I12" i="15"/>
  <c r="I32" i="15"/>
  <c r="K37" i="16"/>
  <c r="F6" i="2"/>
  <c r="F17" i="2"/>
  <c r="F30" i="2"/>
  <c r="F40" i="2"/>
  <c r="G11" i="2"/>
  <c r="J32" i="15"/>
  <c r="J12" i="15"/>
  <c r="I7" i="15"/>
  <c r="J27" i="15"/>
  <c r="J17" i="15"/>
  <c r="I41" i="15"/>
  <c r="G35" i="2"/>
  <c r="K18" i="16"/>
  <c r="I20" i="15"/>
  <c r="G21" i="2"/>
  <c r="J40" i="15"/>
  <c r="J20" i="15"/>
  <c r="K11" i="16"/>
  <c r="J41" i="15"/>
  <c r="F43" i="2"/>
  <c r="G44" i="2"/>
  <c r="F44" i="2"/>
  <c r="F4" i="9" l="1"/>
  <c r="F15" i="9"/>
  <c r="I21" i="15"/>
  <c r="F45" i="2"/>
  <c r="I42" i="15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D35" i="3"/>
  <c r="F35" i="3"/>
  <c r="E32" i="4"/>
  <c r="B32" i="15"/>
  <c r="D32" i="15"/>
  <c r="H32" i="15"/>
  <c r="K32" i="15"/>
  <c r="J31" i="8"/>
  <c r="D17" i="4"/>
  <c r="F17" i="15"/>
  <c r="K17" i="15"/>
  <c r="D20" i="4"/>
  <c r="B20" i="15"/>
  <c r="C17" i="2"/>
  <c r="D18" i="3"/>
  <c r="G18" i="3"/>
  <c r="D21" i="2"/>
  <c r="F22" i="3"/>
  <c r="C11" i="2"/>
  <c r="D11" i="2"/>
  <c r="J12" i="4"/>
  <c r="C12" i="15"/>
  <c r="E12" i="15"/>
  <c r="B7" i="15"/>
  <c r="K7" i="15"/>
  <c r="H49" i="3"/>
  <c r="H51" i="2" s="1"/>
  <c r="R30" i="9"/>
  <c r="R51" i="9"/>
  <c r="O25" i="9"/>
  <c r="I24" i="9"/>
  <c r="I41" i="9"/>
  <c r="F36" i="9"/>
  <c r="O33" i="7"/>
  <c r="J33" i="7"/>
  <c r="E33" i="7"/>
  <c r="I47" i="2"/>
  <c r="N30" i="7"/>
  <c r="P30" i="7"/>
  <c r="N31" i="7"/>
  <c r="P31" i="7" s="1"/>
  <c r="D30" i="7"/>
  <c r="F30" i="7" s="1"/>
  <c r="D31" i="7"/>
  <c r="N29" i="7"/>
  <c r="D29" i="7"/>
  <c r="N27" i="7"/>
  <c r="P27" i="7"/>
  <c r="N28" i="7"/>
  <c r="D27" i="7"/>
  <c r="F27" i="7" s="1"/>
  <c r="D28" i="7"/>
  <c r="N24" i="7"/>
  <c r="N25" i="7"/>
  <c r="D24" i="7"/>
  <c r="F24" i="7"/>
  <c r="D25" i="7"/>
  <c r="F25" i="7"/>
  <c r="N32" i="7"/>
  <c r="P32" i="7"/>
  <c r="I32" i="7"/>
  <c r="K32" i="7" s="1"/>
  <c r="D32" i="7"/>
  <c r="F32" i="7"/>
  <c r="I31" i="7"/>
  <c r="K31" i="7"/>
  <c r="F31" i="7"/>
  <c r="I30" i="7"/>
  <c r="K30" i="7" s="1"/>
  <c r="P29" i="7"/>
  <c r="I29" i="7"/>
  <c r="K29" i="7"/>
  <c r="F29" i="7"/>
  <c r="P28" i="7"/>
  <c r="I28" i="7"/>
  <c r="K28" i="7"/>
  <c r="F28" i="7"/>
  <c r="I27" i="7"/>
  <c r="K27" i="7"/>
  <c r="N26" i="7"/>
  <c r="P26" i="7" s="1"/>
  <c r="I26" i="7"/>
  <c r="K26" i="7" s="1"/>
  <c r="D26" i="7"/>
  <c r="F26" i="7" s="1"/>
  <c r="P25" i="7"/>
  <c r="I25" i="7"/>
  <c r="K25" i="7"/>
  <c r="P24" i="7"/>
  <c r="I24" i="7"/>
  <c r="K24" i="7" s="1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F18" i="3"/>
  <c r="F23" i="3" s="1"/>
  <c r="C17" i="4"/>
  <c r="J37" i="4"/>
  <c r="I37" i="16"/>
  <c r="D32" i="8"/>
  <c r="H37" i="16"/>
  <c r="R52" i="9"/>
  <c r="B18" i="3"/>
  <c r="E17" i="15"/>
  <c r="B37" i="16"/>
  <c r="F37" i="16"/>
  <c r="H38" i="9"/>
  <c r="F44" i="3"/>
  <c r="H48" i="3"/>
  <c r="H50" i="2" s="1"/>
  <c r="I50" i="2" s="1"/>
  <c r="D30" i="16"/>
  <c r="H30" i="16"/>
  <c r="F27" i="9"/>
  <c r="O49" i="9"/>
  <c r="F51" i="9"/>
  <c r="F25" i="9"/>
  <c r="M11" i="16"/>
  <c r="E41" i="15"/>
  <c r="J41" i="4"/>
  <c r="O24" i="9"/>
  <c r="C23" i="16"/>
  <c r="K28" i="8"/>
  <c r="B22" i="3"/>
  <c r="J20" i="4"/>
  <c r="J17" i="4"/>
  <c r="B46" i="4"/>
  <c r="B47" i="4" s="1"/>
  <c r="N38" i="9"/>
  <c r="B44" i="3"/>
  <c r="D44" i="2"/>
  <c r="B18" i="8"/>
  <c r="O18" i="9"/>
  <c r="L18" i="16"/>
  <c r="O28" i="9"/>
  <c r="R46" i="9"/>
  <c r="D6" i="16"/>
  <c r="C7" i="7"/>
  <c r="E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34" i="9"/>
  <c r="R34" i="9"/>
  <c r="R32" i="9"/>
  <c r="R43" i="9"/>
  <c r="F32" i="9"/>
  <c r="I28" i="9"/>
  <c r="F47" i="9"/>
  <c r="E6" i="2"/>
  <c r="D7" i="15"/>
  <c r="F12" i="15"/>
  <c r="G22" i="3"/>
  <c r="G23" i="3" s="1"/>
  <c r="B17" i="15"/>
  <c r="B21" i="15" s="1"/>
  <c r="F12" i="7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46" i="9"/>
  <c r="O36" i="9"/>
  <c r="E43" i="2"/>
  <c r="B43" i="2"/>
  <c r="G32" i="15"/>
  <c r="C32" i="15"/>
  <c r="E44" i="3"/>
  <c r="B23" i="16"/>
  <c r="I16" i="9"/>
  <c r="R47" i="9"/>
  <c r="R18" i="9"/>
  <c r="G11" i="16"/>
  <c r="F6" i="16"/>
  <c r="B6" i="16"/>
  <c r="I11" i="16"/>
  <c r="E11" i="16"/>
  <c r="H6" i="16"/>
  <c r="H12" i="15"/>
  <c r="G12" i="4"/>
  <c r="E12" i="3"/>
  <c r="C21" i="2"/>
  <c r="C23" i="2" s="1"/>
  <c r="G20" i="4"/>
  <c r="H17" i="15"/>
  <c r="D17" i="15"/>
  <c r="D21" i="15" s="1"/>
  <c r="D32" i="4"/>
  <c r="G35" i="3"/>
  <c r="C35" i="3"/>
  <c r="L23" i="8"/>
  <c r="D23" i="8"/>
  <c r="K27" i="15"/>
  <c r="F27" i="15"/>
  <c r="H28" i="3"/>
  <c r="H28" i="2" s="1"/>
  <c r="I28" i="2" s="1"/>
  <c r="B5" i="5" s="1"/>
  <c r="J23" i="8"/>
  <c r="H33" i="8"/>
  <c r="C30" i="16"/>
  <c r="G30" i="16"/>
  <c r="R24" i="9"/>
  <c r="H45" i="9"/>
  <c r="I52" i="9"/>
  <c r="E7" i="3"/>
  <c r="E7" i="7"/>
  <c r="C12" i="7"/>
  <c r="K6" i="8"/>
  <c r="K12" i="8" s="1"/>
  <c r="C44" i="3"/>
  <c r="E32" i="15"/>
  <c r="J32" i="4"/>
  <c r="D27" i="4"/>
  <c r="L18" i="8"/>
  <c r="D18" i="8"/>
  <c r="F31" i="8"/>
  <c r="H23" i="16"/>
  <c r="I9" i="9"/>
  <c r="I51" i="9"/>
  <c r="I25" i="9"/>
  <c r="G6" i="16"/>
  <c r="C6" i="16"/>
  <c r="E6" i="16"/>
  <c r="D7" i="3"/>
  <c r="G7" i="3"/>
  <c r="C7" i="3"/>
  <c r="B6" i="8"/>
  <c r="B12" i="8" s="1"/>
  <c r="B40" i="4"/>
  <c r="E23" i="16"/>
  <c r="I23" i="16"/>
  <c r="I36" i="9"/>
  <c r="F30" i="9"/>
  <c r="O26" i="9"/>
  <c r="O52" i="9"/>
  <c r="O47" i="9"/>
  <c r="R9" i="9"/>
  <c r="R29" i="9"/>
  <c r="J7" i="4"/>
  <c r="C7" i="4"/>
  <c r="H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F40" i="3"/>
  <c r="B40" i="3"/>
  <c r="D40" i="2"/>
  <c r="D44" i="3"/>
  <c r="B32" i="8"/>
  <c r="L10" i="8"/>
  <c r="R36" i="9"/>
  <c r="R41" i="9"/>
  <c r="H7" i="15"/>
  <c r="K12" i="15"/>
  <c r="D12" i="4"/>
  <c r="C12" i="3"/>
  <c r="C22" i="3"/>
  <c r="E40" i="3"/>
  <c r="C40" i="2"/>
  <c r="O30" i="9"/>
  <c r="C45" i="9"/>
  <c r="R27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3" i="9"/>
  <c r="L45" i="9"/>
  <c r="G6" i="7"/>
  <c r="C7" i="1" s="1"/>
  <c r="H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23" i="9"/>
  <c r="R49" i="9"/>
  <c r="D37" i="4"/>
  <c r="B40" i="15"/>
  <c r="H20" i="3"/>
  <c r="H19" i="2" s="1"/>
  <c r="I19" i="2" s="1"/>
  <c r="M8" i="8"/>
  <c r="E43" i="3"/>
  <c r="B27" i="4"/>
  <c r="L19" i="15"/>
  <c r="K19" i="4" s="1"/>
  <c r="L19" i="4" s="1"/>
  <c r="D31" i="8"/>
  <c r="I34" i="9"/>
  <c r="I43" i="9"/>
  <c r="Q38" i="9"/>
  <c r="I47" i="9"/>
  <c r="R26" i="9"/>
  <c r="D7" i="4"/>
  <c r="H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D43" i="3"/>
  <c r="B41" i="4"/>
  <c r="C32" i="4"/>
  <c r="B18" i="16"/>
  <c r="F18" i="16"/>
  <c r="N21" i="16"/>
  <c r="I48" i="9"/>
  <c r="N23" i="9"/>
  <c r="O29" i="9"/>
  <c r="Q45" i="9"/>
  <c r="O46" i="9"/>
  <c r="F28" i="9"/>
  <c r="F7" i="3"/>
  <c r="C6" i="2"/>
  <c r="E7" i="15"/>
  <c r="G7" i="15"/>
  <c r="E7" i="4"/>
  <c r="H16" i="3"/>
  <c r="H15" i="2" s="1"/>
  <c r="I15" i="2" s="1"/>
  <c r="H40" i="15"/>
  <c r="R48" i="9"/>
  <c r="P45" i="9"/>
  <c r="D6" i="8"/>
  <c r="D12" i="8" s="1"/>
  <c r="C19" i="1"/>
  <c r="M27" i="8"/>
  <c r="D16" i="5" s="1"/>
  <c r="C44" i="2"/>
  <c r="G23" i="16"/>
  <c r="R25" i="9"/>
  <c r="Q23" i="9"/>
  <c r="H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G30" i="3"/>
  <c r="G43" i="3"/>
  <c r="E23" i="9"/>
  <c r="F24" i="9"/>
  <c r="H34" i="3"/>
  <c r="H34" i="2" s="1"/>
  <c r="I34" i="2" s="1"/>
  <c r="B11" i="5" s="1"/>
  <c r="H29" i="3"/>
  <c r="H29" i="2" s="1"/>
  <c r="D12" i="3"/>
  <c r="E35" i="3"/>
  <c r="L31" i="15"/>
  <c r="K31" i="4" s="1"/>
  <c r="F18" i="8"/>
  <c r="C30" i="2"/>
  <c r="G40" i="3"/>
  <c r="G44" i="3"/>
  <c r="M9" i="8"/>
  <c r="I30" i="16"/>
  <c r="N28" i="16"/>
  <c r="N17" i="16"/>
  <c r="G18" i="16"/>
  <c r="D23" i="16"/>
  <c r="G40" i="4"/>
  <c r="G37" i="4"/>
  <c r="H38" i="3"/>
  <c r="H38" i="2" s="1"/>
  <c r="D40" i="3"/>
  <c r="F28" i="8"/>
  <c r="F32" i="8"/>
  <c r="M16" i="8"/>
  <c r="D5" i="5" s="1"/>
  <c r="G37" i="15"/>
  <c r="L18" i="15"/>
  <c r="K18" i="4" s="1"/>
  <c r="J32" i="8"/>
  <c r="F34" i="9"/>
  <c r="N10" i="16"/>
  <c r="B11" i="16"/>
  <c r="I51" i="2"/>
  <c r="H21" i="3"/>
  <c r="H20" i="2" s="1"/>
  <c r="I20" i="2" s="1"/>
  <c r="E22" i="3"/>
  <c r="G41" i="4"/>
  <c r="M26" i="8"/>
  <c r="D15" i="5" s="1"/>
  <c r="C37" i="15"/>
  <c r="E30" i="3"/>
  <c r="L46" i="15"/>
  <c r="K44" i="4" s="1"/>
  <c r="L44" i="4" s="1"/>
  <c r="L37" i="16"/>
  <c r="F43" i="9"/>
  <c r="I32" i="9"/>
  <c r="O27" i="9"/>
  <c r="O48" i="9"/>
  <c r="F49" i="9"/>
  <c r="F48" i="9"/>
  <c r="F11" i="16"/>
  <c r="L47" i="15"/>
  <c r="K45" i="4" s="1"/>
  <c r="L45" i="4" s="1"/>
  <c r="D22" i="3"/>
  <c r="D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D30" i="3"/>
  <c r="M17" i="8"/>
  <c r="E30" i="16"/>
  <c r="O9" i="9"/>
  <c r="G37" i="16"/>
  <c r="O41" i="9"/>
  <c r="R28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46" i="9"/>
  <c r="F41" i="9"/>
  <c r="I30" i="9"/>
  <c r="O51" i="9"/>
  <c r="F26" i="9"/>
  <c r="M6" i="16"/>
  <c r="H6" i="3"/>
  <c r="H5" i="2" s="1"/>
  <c r="I5" i="2" s="1"/>
  <c r="C5" i="1" s="1"/>
  <c r="B7" i="3"/>
  <c r="F7" i="15"/>
  <c r="G7" i="4"/>
  <c r="D7" i="7"/>
  <c r="G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2" i="9"/>
  <c r="I49" i="9"/>
  <c r="G45" i="9"/>
  <c r="I29" i="9"/>
  <c r="G23" i="9"/>
  <c r="I26" i="9"/>
  <c r="H23" i="9"/>
  <c r="B6" i="2"/>
  <c r="H17" i="3"/>
  <c r="H16" i="2" s="1"/>
  <c r="D41" i="15"/>
  <c r="D37" i="15"/>
  <c r="C41" i="4"/>
  <c r="C40" i="15"/>
  <c r="L25" i="15"/>
  <c r="K25" i="4" s="1"/>
  <c r="C27" i="15"/>
  <c r="E40" i="4"/>
  <c r="E27" i="4"/>
  <c r="M30" i="16"/>
  <c r="N27" i="16"/>
  <c r="N16" i="16"/>
  <c r="D18" i="16"/>
  <c r="M23" i="16"/>
  <c r="N22" i="16"/>
  <c r="E37" i="16"/>
  <c r="N34" i="16"/>
  <c r="E45" i="9"/>
  <c r="J12" i="5"/>
  <c r="J21" i="5"/>
  <c r="M4" i="8"/>
  <c r="B19" i="1" s="1"/>
  <c r="C6" i="8"/>
  <c r="K31" i="8"/>
  <c r="K23" i="8"/>
  <c r="C32" i="8"/>
  <c r="F9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H33" i="3"/>
  <c r="H33" i="2" s="1"/>
  <c r="C18" i="8"/>
  <c r="D37" i="16"/>
  <c r="C37" i="16"/>
  <c r="N35" i="16"/>
  <c r="O16" i="9"/>
  <c r="O32" i="9"/>
  <c r="O43" i="9"/>
  <c r="L11" i="15"/>
  <c r="K11" i="4" s="1"/>
  <c r="L11" i="4" s="1"/>
  <c r="D12" i="15"/>
  <c r="F29" i="9"/>
  <c r="R16" i="9"/>
  <c r="L15" i="15"/>
  <c r="K15" i="4" s="1"/>
  <c r="C23" i="9"/>
  <c r="E38" i="9"/>
  <c r="N45" i="9"/>
  <c r="L6" i="16"/>
  <c r="B7" i="7"/>
  <c r="F32" i="15"/>
  <c r="C43" i="2"/>
  <c r="C35" i="2"/>
  <c r="D21" i="4"/>
  <c r="C18" i="16"/>
  <c r="I27" i="9"/>
  <c r="I18" i="9"/>
  <c r="B7" i="4"/>
  <c r="C12" i="4"/>
  <c r="F12" i="3"/>
  <c r="C18" i="3"/>
  <c r="G10" i="7"/>
  <c r="B18" i="1" s="1"/>
  <c r="C37" i="4"/>
  <c r="F43" i="3"/>
  <c r="F30" i="3"/>
  <c r="C30" i="3"/>
  <c r="C43" i="3"/>
  <c r="C23" i="7" l="1"/>
  <c r="B23" i="7"/>
  <c r="F20" i="1"/>
  <c r="F21" i="1"/>
  <c r="N57" i="9"/>
  <c r="N55" i="9" s="1"/>
  <c r="H57" i="9"/>
  <c r="H55" i="9" s="1"/>
  <c r="Q57" i="9"/>
  <c r="Q55" i="9" s="1"/>
  <c r="E57" i="9"/>
  <c r="E55" i="9" s="1"/>
  <c r="G21" i="4"/>
  <c r="O23" i="9"/>
  <c r="F45" i="9"/>
  <c r="G21" i="15"/>
  <c r="B23" i="3"/>
  <c r="B42" i="15"/>
  <c r="J42" i="4"/>
  <c r="K42" i="15"/>
  <c r="K7" i="4"/>
  <c r="L7" i="4" s="1"/>
  <c r="J21" i="4"/>
  <c r="G45" i="3"/>
  <c r="O45" i="9"/>
  <c r="R15" i="9"/>
  <c r="C21" i="4"/>
  <c r="B23" i="2"/>
  <c r="B33" i="1"/>
  <c r="M10" i="8"/>
  <c r="F45" i="3"/>
  <c r="I15" i="9"/>
  <c r="J33" i="8"/>
  <c r="E21" i="15"/>
  <c r="E45" i="3"/>
  <c r="D45" i="2"/>
  <c r="C45" i="3"/>
  <c r="L12" i="8"/>
  <c r="E23" i="3"/>
  <c r="B33" i="8"/>
  <c r="G42" i="15"/>
  <c r="H21" i="15"/>
  <c r="E42" i="15"/>
  <c r="B42" i="4"/>
  <c r="D7" i="1"/>
  <c r="H17" i="2"/>
  <c r="I17" i="2" s="1"/>
  <c r="R23" i="9"/>
  <c r="H12" i="3"/>
  <c r="H44" i="3"/>
  <c r="E45" i="2"/>
  <c r="L33" i="8"/>
  <c r="E21" i="4"/>
  <c r="D17" i="5"/>
  <c r="D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H35" i="3"/>
  <c r="H40" i="3"/>
  <c r="H44" i="2"/>
  <c r="I44" i="2" s="1"/>
  <c r="L32" i="15"/>
  <c r="L25" i="4"/>
  <c r="C5" i="5" s="1"/>
  <c r="H30" i="3"/>
  <c r="N6" i="16"/>
  <c r="H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H22" i="3"/>
  <c r="R45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23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23" i="9"/>
  <c r="H35" i="2"/>
  <c r="I35" i="2" s="1"/>
  <c r="H43" i="2"/>
  <c r="D6" i="5"/>
  <c r="I33" i="2"/>
  <c r="B10" i="5" s="1"/>
  <c r="K33" i="8"/>
  <c r="L37" i="15"/>
  <c r="H18" i="3"/>
  <c r="C23" i="3"/>
  <c r="K17" i="4"/>
  <c r="L15" i="4"/>
  <c r="D10" i="5"/>
  <c r="C12" i="8"/>
  <c r="M6" i="8"/>
  <c r="E42" i="4"/>
  <c r="C42" i="15"/>
  <c r="L40" i="15"/>
  <c r="D42" i="15"/>
  <c r="L41" i="15"/>
  <c r="C33" i="8"/>
  <c r="O15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L12" i="15"/>
  <c r="B45" i="3"/>
  <c r="H43" i="3"/>
  <c r="I45" i="9"/>
  <c r="D23" i="7" l="1"/>
  <c r="F23" i="7" s="1"/>
  <c r="F18" i="1"/>
  <c r="M12" i="8"/>
  <c r="B10" i="1"/>
  <c r="L21" i="15"/>
  <c r="D21" i="7"/>
  <c r="F21" i="7" s="1"/>
  <c r="F19" i="1"/>
  <c r="F6" i="1"/>
  <c r="H45" i="2"/>
  <c r="I45" i="2" s="1"/>
  <c r="B32" i="1"/>
  <c r="H45" i="3"/>
  <c r="F7" i="1"/>
  <c r="H23" i="2"/>
  <c r="I23" i="2" s="1"/>
  <c r="B27" i="1"/>
  <c r="B21" i="5"/>
  <c r="B28" i="1"/>
  <c r="K42" i="4"/>
  <c r="L42" i="4" s="1"/>
  <c r="L42" i="15"/>
  <c r="H23" i="3"/>
  <c r="C11" i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D10" i="1" l="1"/>
  <c r="M23" i="7"/>
  <c r="C32" i="1"/>
  <c r="B11" i="1"/>
  <c r="L23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D11" i="1"/>
  <c r="F11" i="1" s="1"/>
  <c r="F10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G23" i="7" l="1"/>
  <c r="N23" i="7"/>
  <c r="P23" i="7" s="1"/>
  <c r="H23" i="7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3" i="7" l="1"/>
  <c r="K23" i="7" s="1"/>
  <c r="I21" i="7"/>
  <c r="F22" i="5"/>
  <c r="H22" i="5" s="1"/>
  <c r="H20" i="5"/>
  <c r="K21" i="7" l="1"/>
  <c r="R4" i="9" l="1"/>
  <c r="O4" i="9"/>
  <c r="I4" i="9" l="1"/>
  <c r="G13" i="9" l="1"/>
  <c r="C13" i="9"/>
  <c r="P13" i="9" l="1"/>
  <c r="L13" i="9"/>
  <c r="C56" i="9"/>
  <c r="F13" i="9"/>
  <c r="C11" i="9"/>
  <c r="F11" i="9" s="1"/>
  <c r="G56" i="9"/>
  <c r="I56" i="9" s="1"/>
  <c r="G11" i="9"/>
  <c r="I11" i="9" s="1"/>
  <c r="I13" i="9"/>
  <c r="L56" i="9" l="1"/>
  <c r="L11" i="9"/>
  <c r="O11" i="9" s="1"/>
  <c r="O13" i="9"/>
  <c r="P56" i="9"/>
  <c r="R56" i="9" s="1"/>
  <c r="R13" i="9"/>
  <c r="P11" i="9"/>
  <c r="R11" i="9" s="1"/>
  <c r="F56" i="9"/>
  <c r="D47" i="9"/>
  <c r="M47" i="9" l="1"/>
  <c r="O56" i="9"/>
  <c r="P39" i="9" l="1"/>
  <c r="L39" i="9"/>
  <c r="C39" i="9"/>
  <c r="G39" i="9"/>
  <c r="O39" i="9" l="1"/>
  <c r="L38" i="9"/>
  <c r="R39" i="9"/>
  <c r="P38" i="9"/>
  <c r="I39" i="9"/>
  <c r="G38" i="9"/>
  <c r="C38" i="9"/>
  <c r="F39" i="9"/>
  <c r="R38" i="9" l="1"/>
  <c r="P57" i="9"/>
  <c r="O38" i="9"/>
  <c r="L57" i="9"/>
  <c r="F38" i="9"/>
  <c r="C57" i="9"/>
  <c r="D38" i="9" s="1"/>
  <c r="I38" i="9"/>
  <c r="G57" i="9"/>
  <c r="M50" i="9" l="1"/>
  <c r="M13" i="9"/>
  <c r="M11" i="9"/>
  <c r="M6" i="9"/>
  <c r="M24" i="9"/>
  <c r="M5" i="9"/>
  <c r="M41" i="9"/>
  <c r="M34" i="9"/>
  <c r="M12" i="9"/>
  <c r="M32" i="9"/>
  <c r="M17" i="9"/>
  <c r="M16" i="9"/>
  <c r="M43" i="9"/>
  <c r="O57" i="9"/>
  <c r="M46" i="9"/>
  <c r="M48" i="9"/>
  <c r="M20" i="9"/>
  <c r="M45" i="9"/>
  <c r="M19" i="9"/>
  <c r="M30" i="9"/>
  <c r="M4" i="9"/>
  <c r="L55" i="9"/>
  <c r="M18" i="9"/>
  <c r="M49" i="9"/>
  <c r="M36" i="9"/>
  <c r="M23" i="9"/>
  <c r="M52" i="9"/>
  <c r="M57" i="9"/>
  <c r="M29" i="9"/>
  <c r="M56" i="9"/>
  <c r="M9" i="9"/>
  <c r="M21" i="9"/>
  <c r="M26" i="9"/>
  <c r="M27" i="9"/>
  <c r="M7" i="9"/>
  <c r="M51" i="9"/>
  <c r="M15" i="9"/>
  <c r="M28" i="9"/>
  <c r="M25" i="9"/>
  <c r="M39" i="9"/>
  <c r="R57" i="9"/>
  <c r="P55" i="9"/>
  <c r="R55" i="9" s="1"/>
  <c r="M38" i="9"/>
  <c r="I57" i="9"/>
  <c r="G55" i="9"/>
  <c r="I55" i="9" s="1"/>
  <c r="D11" i="9"/>
  <c r="D57" i="9"/>
  <c r="D52" i="9"/>
  <c r="D43" i="9"/>
  <c r="D50" i="9"/>
  <c r="D49" i="9"/>
  <c r="D25" i="9"/>
  <c r="D19" i="9"/>
  <c r="D13" i="9"/>
  <c r="D15" i="9"/>
  <c r="D45" i="9"/>
  <c r="D34" i="9"/>
  <c r="D32" i="9"/>
  <c r="D5" i="9"/>
  <c r="D17" i="9"/>
  <c r="D23" i="9"/>
  <c r="D29" i="9"/>
  <c r="D16" i="9"/>
  <c r="D7" i="9"/>
  <c r="C55" i="9"/>
  <c r="D51" i="9"/>
  <c r="D48" i="9"/>
  <c r="D4" i="9"/>
  <c r="D46" i="9"/>
  <c r="D26" i="9"/>
  <c r="F57" i="9"/>
  <c r="D56" i="9"/>
  <c r="D6" i="9"/>
  <c r="D24" i="9"/>
  <c r="D27" i="9"/>
  <c r="D28" i="9"/>
  <c r="D30" i="9"/>
  <c r="D41" i="9"/>
  <c r="D18" i="9"/>
  <c r="D21" i="9"/>
  <c r="D9" i="9"/>
  <c r="D12" i="9"/>
  <c r="D36" i="9"/>
  <c r="D20" i="9"/>
  <c r="D39" i="9"/>
  <c r="M55" i="9" l="1"/>
  <c r="O55" i="9"/>
  <c r="F55" i="9"/>
  <c r="D55" i="9"/>
  <c r="G20" i="1" l="1"/>
  <c r="I20" i="1" s="1"/>
  <c r="G21" i="1"/>
  <c r="I21" i="1" s="1"/>
  <c r="D33" i="1"/>
  <c r="G5" i="1"/>
  <c r="I16" i="5"/>
  <c r="B22" i="7" l="1"/>
  <c r="C22" i="7"/>
  <c r="C33" i="7" s="1"/>
  <c r="I5" i="1"/>
  <c r="B33" i="7"/>
  <c r="G6" i="1"/>
  <c r="I6" i="1" s="1"/>
  <c r="G19" i="1"/>
  <c r="I19" i="1" s="1"/>
  <c r="G7" i="1"/>
  <c r="I7" i="1" s="1"/>
  <c r="G18" i="1"/>
  <c r="I18" i="1" s="1"/>
  <c r="G10" i="1"/>
  <c r="I10" i="1" s="1"/>
  <c r="G17" i="1"/>
  <c r="I17" i="1" s="1"/>
  <c r="G16" i="1"/>
  <c r="I6" i="5"/>
  <c r="D22" i="7" l="1"/>
  <c r="M22" i="7"/>
  <c r="H22" i="7" s="1"/>
  <c r="H33" i="7" s="1"/>
  <c r="G8" i="1"/>
  <c r="I8" i="1" s="1"/>
  <c r="M33" i="7"/>
  <c r="I16" i="1"/>
  <c r="G22" i="1"/>
  <c r="I22" i="1" s="1"/>
  <c r="F22" i="7"/>
  <c r="D33" i="7"/>
  <c r="F33" i="7" s="1"/>
  <c r="K6" i="5"/>
  <c r="D32" i="1"/>
  <c r="I11" i="5"/>
  <c r="K11" i="5" s="1"/>
  <c r="I5" i="5"/>
  <c r="I15" i="5"/>
  <c r="G27" i="1"/>
  <c r="I10" i="5"/>
  <c r="G11" i="1" l="1"/>
  <c r="I11" i="1" s="1"/>
  <c r="D34" i="1"/>
  <c r="E33" i="1" s="1"/>
  <c r="I12" i="5"/>
  <c r="K12" i="5" s="1"/>
  <c r="K10" i="5"/>
  <c r="I27" i="1"/>
  <c r="I20" i="5"/>
  <c r="K5" i="5"/>
  <c r="I7" i="5"/>
  <c r="K7" i="5" s="1"/>
  <c r="K15" i="5"/>
  <c r="I17" i="5"/>
  <c r="K17" i="5" s="1"/>
  <c r="I21" i="5"/>
  <c r="K21" i="5" s="1"/>
  <c r="G28" i="1"/>
  <c r="I28" i="1" s="1"/>
  <c r="E32" i="1" l="1"/>
  <c r="L22" i="7"/>
  <c r="G22" i="7" s="1"/>
  <c r="G29" i="1"/>
  <c r="I29" i="1" s="1"/>
  <c r="K20" i="5"/>
  <c r="I22" i="5"/>
  <c r="K22" i="5" s="1"/>
  <c r="N22" i="7" l="1"/>
  <c r="P22" i="7" s="1"/>
  <c r="L33" i="7"/>
  <c r="I22" i="7"/>
  <c r="G33" i="7"/>
  <c r="N33" i="7"/>
  <c r="P33" i="7" s="1"/>
  <c r="K22" i="7" l="1"/>
  <c r="I33" i="7"/>
  <c r="K33" i="7" s="1"/>
</calcChain>
</file>

<file path=xl/sharedStrings.xml><?xml version="1.0" encoding="utf-8"?>
<sst xmlns="http://schemas.openxmlformats.org/spreadsheetml/2006/main" count="535" uniqueCount="219">
  <si>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</si>
  <si>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</si>
  <si>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</si>
  <si>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</si>
  <si>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</si>
  <si>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</si>
  <si>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</si>
  <si>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</si>
  <si>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</si>
  <si>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</si>
  <si>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</si>
  <si>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</si>
  <si>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</si>
  <si>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</si>
  <si>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</si>
  <si>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</si>
  <si>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</si>
  <si>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</si>
  <si>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</si>
  <si>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</si>
  <si>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</si>
  <si>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</si>
  <si>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</si>
  <si>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</si>
  <si>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</si>
  <si>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</si>
  <si>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</si>
  <si>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</si>
  <si>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</si>
  <si>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</si>
  <si>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</si>
  <si>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</si>
  <si>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</si>
  <si>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</si>
  <si>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</si>
  <si>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</si>
  <si>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</si>
  <si>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</si>
  <si>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</si>
  <si>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</si>
  <si>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</si>
  <si>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</si>
  <si>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</si>
  <si>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</si>
  <si>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</si>
  <si>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</si>
  <si>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</si>
  <si>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</si>
  <si>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</si>
  <si>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</si>
  <si>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</si>
  <si>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</si>
  <si>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</si>
  <si>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</si>
  <si>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</si>
  <si>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</si>
  <si>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</si>
  <si>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</si>
  <si>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</si>
  <si>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</si>
  <si>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</si>
  <si>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</si>
  <si>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</si>
  <si>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</si>
  <si>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</si>
  <si>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</si>
  <si>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</si>
  <si>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</si>
  <si>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</si>
  <si>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</si>
  <si>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</si>
  <si>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</si>
  <si>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</si>
  <si>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</si>
  <si>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</si>
  <si>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</si>
  <si>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</si>
  <si>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</si>
  <si>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</si>
  <si>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</si>
  <si>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</si>
  <si>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</si>
  <si>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</si>
  <si>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</si>
  <si>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</si>
  <si>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</si>
  <si>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</si>
  <si>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</si>
  <si>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</si>
  <si>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</si>
  <si>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</si>
  <si>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</si>
  <si>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</si>
  <si>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</si>
  <si>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</si>
  <si>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</si>
  <si>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</si>
  <si>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</si>
  <si>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</si>
  <si>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</si>
  <si>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</si>
  <si>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</si>
  <si>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</si>
  <si>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</si>
  <si>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</si>
  <si>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</si>
  <si>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</si>
  <si>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</si>
  <si>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</si>
  <si>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</si>
  <si>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</si>
  <si>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</si>
  <si>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</si>
  <si>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</si>
  <si>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</si>
  <si>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</si>
  <si>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</si>
  <si>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</si>
  <si>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</si>
  <si>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</si>
  <si>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</si>
  <si>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</si>
  <si>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</si>
  <si>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</si>
  <si>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</si>
  <si>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</si>
  <si>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</si>
  <si>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</si>
  <si>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</si>
  <si>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</si>
  <si>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</si>
  <si>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</si>
  <si>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</si>
  <si>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</si>
  <si>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</si>
  <si>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</si>
  <si>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</si>
  <si>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</si>
  <si>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</si>
  <si>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</si>
  <si>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</si>
  <si>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</si>
  <si>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</si>
  <si>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</si>
  <si>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</si>
  <si>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</si>
  <si>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</si>
  <si>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</si>
  <si>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</si>
  <si>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</si>
  <si>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</si>
  <si>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</si>
  <si>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</si>
  <si>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</si>
  <si>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</si>
  <si>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</si>
  <si>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</si>
  <si>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</si>
  <si>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</si>
  <si>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</si>
  <si>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</si>
  <si>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</si>
  <si>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</si>
  <si>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</si>
  <si>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</si>
  <si>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</si>
  <si>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</si>
  <si>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</si>
  <si>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</si>
  <si>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</si>
  <si>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</si>
  <si>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</si>
  <si>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</si>
  <si>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</si>
  <si>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</si>
  <si>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</si>
  <si>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</si>
  <si>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</si>
  <si>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</si>
  <si>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</si>
  <si>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</si>
  <si>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</si>
  <si>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</si>
  <si>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</si>
  <si>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</si>
  <si>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</si>
  <si>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</si>
  <si>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</si>
  <si>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</si>
  <si>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</si>
  <si>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</si>
  <si>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</si>
  <si>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</si>
  <si>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</si>
  <si>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</si>
  <si>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</si>
  <si>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</si>
  <si>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</si>
  <si>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</si>
  <si>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</si>
  <si>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</si>
  <si>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</si>
  <si>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</si>
  <si>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</si>
  <si>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</si>
  <si>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</si>
  <si>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</si>
  <si>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</si>
  <si>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</si>
  <si>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</si>
  <si>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</si>
  <si>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</si>
  <si>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</si>
  <si>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</si>
  <si>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</si>
  <si>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</si>
  <si>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March 2015</t>
  </si>
  <si>
    <t>IFL</t>
  </si>
  <si>
    <t>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</si>
</sst>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0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1" xfId="0" applyFont="1" applyBorder="1"/>
    <xf numFmtId="0" fontId="19" fillId="0" borderId="72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2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7" xfId="0" applyNumberFormat="1" applyFont="1" applyBorder="1"/>
    <xf numFmtId="10" fontId="13" fillId="0" borderId="78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0" fillId="0" borderId="80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4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2353250</v>
          </cell>
          <cell r="G5">
            <v>6004136</v>
          </cell>
        </row>
        <row r="6">
          <cell r="D6">
            <v>779001</v>
          </cell>
          <cell r="G6">
            <v>2084848</v>
          </cell>
        </row>
        <row r="7">
          <cell r="D7">
            <v>811</v>
          </cell>
          <cell r="G7">
            <v>1944</v>
          </cell>
        </row>
        <row r="10">
          <cell r="D10">
            <v>91444</v>
          </cell>
          <cell r="G10">
            <v>257893</v>
          </cell>
        </row>
        <row r="16">
          <cell r="D16">
            <v>17212</v>
          </cell>
          <cell r="G16">
            <v>46195</v>
          </cell>
        </row>
        <row r="17">
          <cell r="D17">
            <v>15068</v>
          </cell>
          <cell r="G17">
            <v>41633</v>
          </cell>
        </row>
        <row r="18">
          <cell r="D18">
            <v>12</v>
          </cell>
          <cell r="G18">
            <v>29</v>
          </cell>
        </row>
        <row r="19">
          <cell r="D19">
            <v>1012</v>
          </cell>
          <cell r="G19">
            <v>2967</v>
          </cell>
        </row>
        <row r="20">
          <cell r="D20">
            <v>1781</v>
          </cell>
          <cell r="G20">
            <v>5060</v>
          </cell>
        </row>
        <row r="21">
          <cell r="D21">
            <v>108</v>
          </cell>
          <cell r="G21">
            <v>284</v>
          </cell>
        </row>
        <row r="27">
          <cell r="D27">
            <v>14725.248066617551</v>
          </cell>
          <cell r="G27">
            <v>44634.511151609608</v>
          </cell>
        </row>
        <row r="28">
          <cell r="D28">
            <v>1639.62438023461</v>
          </cell>
          <cell r="G28">
            <v>3563.06558870955</v>
          </cell>
        </row>
        <row r="32">
          <cell r="B32">
            <v>960860</v>
          </cell>
          <cell r="D32">
            <v>2455274</v>
          </cell>
        </row>
        <row r="33">
          <cell r="B33">
            <v>622773</v>
          </cell>
          <cell r="D33">
            <v>1628852</v>
          </cell>
        </row>
      </sheetData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>
        <row r="5">
          <cell r="F5">
            <v>7401.2240636072202</v>
          </cell>
          <cell r="I5">
            <v>21617.88349973175</v>
          </cell>
        </row>
        <row r="6">
          <cell r="F6">
            <v>577.78550731362998</v>
          </cell>
          <cell r="I6">
            <v>1704.58515791179</v>
          </cell>
        </row>
        <row r="10">
          <cell r="F10">
            <v>7324.0240030103296</v>
          </cell>
          <cell r="I10">
            <v>23016.627651877861</v>
          </cell>
        </row>
        <row r="11">
          <cell r="F11">
            <v>1061.8388729209801</v>
          </cell>
          <cell r="I11">
            <v>1858.4804307977602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14725.248066617549</v>
          </cell>
        </row>
        <row r="21">
          <cell r="F21">
            <v>1639.62438023461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3926247</v>
          </cell>
        </row>
        <row r="6">
          <cell r="G6">
            <v>1237475</v>
          </cell>
        </row>
        <row r="7">
          <cell r="G7">
            <v>480</v>
          </cell>
        </row>
        <row r="10">
          <cell r="G10">
            <v>175009</v>
          </cell>
        </row>
        <row r="16">
          <cell r="G16">
            <v>31050</v>
          </cell>
        </row>
        <row r="17">
          <cell r="G17">
            <v>25275</v>
          </cell>
        </row>
        <row r="18">
          <cell r="G18">
            <v>6</v>
          </cell>
        </row>
        <row r="19">
          <cell r="G19">
            <v>2134</v>
          </cell>
        </row>
        <row r="20">
          <cell r="G20">
            <v>3139</v>
          </cell>
        </row>
        <row r="21">
          <cell r="G21">
            <v>172</v>
          </cell>
        </row>
        <row r="27">
          <cell r="G27">
            <v>25884.676331654908</v>
          </cell>
        </row>
        <row r="28">
          <cell r="G28">
            <v>2092.18800273945</v>
          </cell>
        </row>
        <row r="32">
          <cell r="D32">
            <v>1577111</v>
          </cell>
        </row>
        <row r="33">
          <cell r="D33">
            <v>1020348</v>
          </cell>
        </row>
      </sheetData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>
        <row r="5">
          <cell r="I5">
            <v>11453.397397703029</v>
          </cell>
        </row>
        <row r="6">
          <cell r="I6">
            <v>1150.5978278825801</v>
          </cell>
        </row>
        <row r="10">
          <cell r="I10">
            <v>14431.278933951879</v>
          </cell>
        </row>
        <row r="11">
          <cell r="I11">
            <v>941.59017485686991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4">
          <cell r="EN4"/>
        </row>
        <row r="5">
          <cell r="EN5"/>
        </row>
        <row r="8">
          <cell r="EN8"/>
        </row>
        <row r="9">
          <cell r="EN9"/>
        </row>
        <row r="15">
          <cell r="EL15"/>
          <cell r="EM15"/>
          <cell r="EN15"/>
        </row>
        <row r="16">
          <cell r="EL16"/>
          <cell r="EM16"/>
          <cell r="EN16"/>
        </row>
        <row r="19">
          <cell r="DX19">
            <v>0</v>
          </cell>
          <cell r="DY19">
            <v>0</v>
          </cell>
          <cell r="DZ19">
            <v>0</v>
          </cell>
          <cell r="EL19">
            <v>0</v>
          </cell>
          <cell r="EM19">
            <v>0</v>
          </cell>
          <cell r="EN19">
            <v>0</v>
          </cell>
        </row>
        <row r="22">
          <cell r="EN22"/>
        </row>
        <row r="23">
          <cell r="EN23"/>
        </row>
        <row r="27">
          <cell r="EN27"/>
        </row>
        <row r="28">
          <cell r="EN28"/>
        </row>
        <row r="32">
          <cell r="EL32"/>
          <cell r="EM32"/>
          <cell r="EN32"/>
        </row>
        <row r="33">
          <cell r="EL33"/>
          <cell r="EM33"/>
          <cell r="EN33"/>
        </row>
        <row r="37">
          <cell r="EL37"/>
          <cell r="EM37"/>
          <cell r="EN37"/>
        </row>
        <row r="38">
          <cell r="EL38"/>
          <cell r="EM38"/>
          <cell r="EN38"/>
        </row>
        <row r="41">
          <cell r="DX41">
            <v>0</v>
          </cell>
          <cell r="DY41">
            <v>0</v>
          </cell>
          <cell r="DZ41">
            <v>0</v>
          </cell>
          <cell r="EL41">
            <v>0</v>
          </cell>
          <cell r="EM41">
            <v>0</v>
          </cell>
          <cell r="EN41">
            <v>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5"/>
      <sheetData sheetId="6">
        <row r="4">
          <cell r="EN4">
            <v>62</v>
          </cell>
        </row>
        <row r="5">
          <cell r="EN5">
            <v>62</v>
          </cell>
        </row>
        <row r="8">
          <cell r="EN8"/>
        </row>
        <row r="9">
          <cell r="EN9"/>
        </row>
        <row r="19">
          <cell r="DX19">
            <v>70</v>
          </cell>
          <cell r="DY19">
            <v>58</v>
          </cell>
          <cell r="DZ19">
            <v>110</v>
          </cell>
          <cell r="EL19">
            <v>124</v>
          </cell>
          <cell r="EM19">
            <v>142</v>
          </cell>
          <cell r="EN19">
            <v>124</v>
          </cell>
        </row>
        <row r="22">
          <cell r="EN22">
            <v>9704</v>
          </cell>
        </row>
        <row r="23">
          <cell r="EN23">
            <v>9655</v>
          </cell>
        </row>
        <row r="27">
          <cell r="EN27">
            <v>328</v>
          </cell>
        </row>
        <row r="28">
          <cell r="EN28">
            <v>376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L41">
            <v>18654</v>
          </cell>
          <cell r="EM41">
            <v>17722</v>
          </cell>
          <cell r="EN41">
            <v>19359</v>
          </cell>
        </row>
        <row r="47">
          <cell r="EN47">
            <v>11649</v>
          </cell>
        </row>
        <row r="48">
          <cell r="EN48"/>
        </row>
        <row r="52">
          <cell r="EN52">
            <v>10416</v>
          </cell>
        </row>
        <row r="53">
          <cell r="EN53"/>
        </row>
        <row r="57">
          <cell r="EN57"/>
        </row>
        <row r="58">
          <cell r="EN58"/>
        </row>
      </sheetData>
      <sheetData sheetId="7"/>
      <sheetData sheetId="8">
        <row r="4">
          <cell r="EN4">
            <v>715</v>
          </cell>
        </row>
        <row r="5">
          <cell r="EN5">
            <v>716</v>
          </cell>
        </row>
        <row r="8">
          <cell r="EN8"/>
        </row>
        <row r="9">
          <cell r="EN9"/>
        </row>
        <row r="19">
          <cell r="DX19">
            <v>699</v>
          </cell>
          <cell r="DY19">
            <v>629</v>
          </cell>
          <cell r="DZ19">
            <v>757</v>
          </cell>
          <cell r="EL19">
            <v>1451</v>
          </cell>
          <cell r="EM19">
            <v>1348</v>
          </cell>
          <cell r="EN19">
            <v>1431</v>
          </cell>
        </row>
        <row r="22">
          <cell r="EN22">
            <v>92857</v>
          </cell>
        </row>
        <row r="23">
          <cell r="EN23">
            <v>92160</v>
          </cell>
        </row>
        <row r="27">
          <cell r="EN27">
            <v>3044</v>
          </cell>
        </row>
        <row r="28">
          <cell r="EN28">
            <v>3017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L41">
            <v>178110</v>
          </cell>
          <cell r="EM41">
            <v>165408</v>
          </cell>
          <cell r="EN41">
            <v>185017</v>
          </cell>
        </row>
        <row r="47">
          <cell r="EN47">
            <v>38885</v>
          </cell>
        </row>
        <row r="48">
          <cell r="EN48">
            <v>48262</v>
          </cell>
        </row>
        <row r="52">
          <cell r="EN52">
            <v>15337</v>
          </cell>
        </row>
        <row r="53">
          <cell r="EN53">
            <v>92582</v>
          </cell>
        </row>
        <row r="57">
          <cell r="EN57"/>
        </row>
        <row r="58">
          <cell r="EN58"/>
        </row>
      </sheetData>
      <sheetData sheetId="9"/>
      <sheetData sheetId="10">
        <row r="4">
          <cell r="EN4">
            <v>562</v>
          </cell>
        </row>
        <row r="5">
          <cell r="EN5">
            <v>565</v>
          </cell>
        </row>
        <row r="8">
          <cell r="EN8">
            <v>74</v>
          </cell>
        </row>
        <row r="9">
          <cell r="EN9">
            <v>72</v>
          </cell>
        </row>
        <row r="15">
          <cell r="EL15">
            <v>227</v>
          </cell>
          <cell r="EM15">
            <v>294</v>
          </cell>
          <cell r="EN15">
            <v>327</v>
          </cell>
        </row>
        <row r="16">
          <cell r="EL16">
            <v>229</v>
          </cell>
          <cell r="EM16">
            <v>290</v>
          </cell>
          <cell r="EN16">
            <v>327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L19">
            <v>1698</v>
          </cell>
          <cell r="EM19">
            <v>1694</v>
          </cell>
          <cell r="EN19">
            <v>1927</v>
          </cell>
        </row>
        <row r="22">
          <cell r="EN22">
            <v>76325</v>
          </cell>
        </row>
        <row r="23">
          <cell r="EN23">
            <v>79144</v>
          </cell>
        </row>
        <row r="27">
          <cell r="EN27">
            <v>1222</v>
          </cell>
        </row>
        <row r="28">
          <cell r="EN28">
            <v>1194</v>
          </cell>
        </row>
        <row r="32">
          <cell r="EL32">
            <v>22390</v>
          </cell>
          <cell r="EM32">
            <v>32926</v>
          </cell>
          <cell r="EN32">
            <v>41967</v>
          </cell>
        </row>
        <row r="33">
          <cell r="EL33">
            <v>22828</v>
          </cell>
          <cell r="EM33">
            <v>34855</v>
          </cell>
          <cell r="EN33">
            <v>41437</v>
          </cell>
        </row>
        <row r="37">
          <cell r="EL37">
            <v>148</v>
          </cell>
          <cell r="EM37">
            <v>125</v>
          </cell>
          <cell r="EN37">
            <v>222</v>
          </cell>
        </row>
        <row r="38">
          <cell r="EL38">
            <v>175</v>
          </cell>
          <cell r="EM38">
            <v>159</v>
          </cell>
          <cell r="EN38">
            <v>249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L41">
            <v>170423</v>
          </cell>
          <cell r="EM41">
            <v>194645</v>
          </cell>
          <cell r="EN41">
            <v>238873</v>
          </cell>
        </row>
        <row r="47">
          <cell r="EN47">
            <v>95809</v>
          </cell>
        </row>
        <row r="48">
          <cell r="EN48">
            <v>93.546000000000006</v>
          </cell>
        </row>
        <row r="52">
          <cell r="EN52">
            <v>74750</v>
          </cell>
        </row>
        <row r="53">
          <cell r="EN53">
            <v>118678</v>
          </cell>
        </row>
        <row r="57">
          <cell r="EN57"/>
        </row>
        <row r="58">
          <cell r="EN58"/>
        </row>
        <row r="70">
          <cell r="EN70">
            <v>77173</v>
          </cell>
        </row>
        <row r="71">
          <cell r="EN71">
            <v>1971</v>
          </cell>
        </row>
        <row r="73">
          <cell r="EN73">
            <v>41435</v>
          </cell>
        </row>
        <row r="74">
          <cell r="EN74">
            <v>2</v>
          </cell>
        </row>
      </sheetData>
      <sheetData sheetId="11"/>
      <sheetData sheetId="12">
        <row r="4">
          <cell r="EN4"/>
        </row>
        <row r="5">
          <cell r="EN5"/>
        </row>
        <row r="8">
          <cell r="EN8"/>
        </row>
        <row r="9">
          <cell r="EN9"/>
        </row>
        <row r="15">
          <cell r="EL15"/>
          <cell r="EM15"/>
          <cell r="EN15"/>
        </row>
        <row r="16">
          <cell r="EL16"/>
          <cell r="EM16"/>
          <cell r="EN16"/>
        </row>
        <row r="22">
          <cell r="EN22"/>
        </row>
        <row r="23">
          <cell r="EN23"/>
        </row>
        <row r="27">
          <cell r="EN27"/>
        </row>
        <row r="28">
          <cell r="EN28"/>
        </row>
        <row r="32">
          <cell r="EL32"/>
          <cell r="EM32"/>
          <cell r="EN32"/>
        </row>
        <row r="33">
          <cell r="EL33"/>
          <cell r="EM33"/>
          <cell r="EN33"/>
        </row>
        <row r="37">
          <cell r="EL37"/>
          <cell r="EM37"/>
          <cell r="EN37"/>
        </row>
        <row r="38">
          <cell r="EL38"/>
          <cell r="EM38"/>
          <cell r="EN38"/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13">
        <row r="4">
          <cell r="EN4">
            <v>5377</v>
          </cell>
        </row>
        <row r="5">
          <cell r="EN5">
            <v>5371</v>
          </cell>
        </row>
        <row r="8">
          <cell r="EN8">
            <v>1</v>
          </cell>
        </row>
        <row r="9">
          <cell r="EN9">
            <v>10</v>
          </cell>
        </row>
        <row r="15">
          <cell r="EL15">
            <v>510</v>
          </cell>
          <cell r="EM15">
            <v>497</v>
          </cell>
          <cell r="EN15">
            <v>547</v>
          </cell>
        </row>
        <row r="16">
          <cell r="EL16">
            <v>512</v>
          </cell>
          <cell r="EM16">
            <v>500</v>
          </cell>
          <cell r="EN16">
            <v>550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L19">
            <v>9717</v>
          </cell>
          <cell r="EM19">
            <v>9522</v>
          </cell>
          <cell r="EN19">
            <v>11856</v>
          </cell>
        </row>
        <row r="22">
          <cell r="EN22">
            <v>746560</v>
          </cell>
        </row>
        <row r="23">
          <cell r="EN23">
            <v>752558</v>
          </cell>
        </row>
        <row r="27">
          <cell r="EN27">
            <v>27669</v>
          </cell>
        </row>
        <row r="28">
          <cell r="EN28">
            <v>27451</v>
          </cell>
        </row>
        <row r="32">
          <cell r="EL32">
            <v>77660</v>
          </cell>
          <cell r="EM32">
            <v>73861</v>
          </cell>
          <cell r="EN32">
            <v>90964</v>
          </cell>
        </row>
        <row r="33">
          <cell r="EL33">
            <v>76419</v>
          </cell>
          <cell r="EM33">
            <v>73306</v>
          </cell>
          <cell r="EN33">
            <v>89200</v>
          </cell>
        </row>
        <row r="37">
          <cell r="EL37">
            <v>2162</v>
          </cell>
          <cell r="EM37">
            <v>2258</v>
          </cell>
          <cell r="EN37">
            <v>2395</v>
          </cell>
        </row>
        <row r="38">
          <cell r="EL38">
            <v>2009</v>
          </cell>
          <cell r="EM38">
            <v>2180</v>
          </cell>
          <cell r="EN38">
            <v>2519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L41">
            <v>1280361</v>
          </cell>
          <cell r="EM41">
            <v>1266852</v>
          </cell>
          <cell r="EN41">
            <v>1679282</v>
          </cell>
        </row>
        <row r="47">
          <cell r="EN47">
            <v>3546812</v>
          </cell>
        </row>
        <row r="48">
          <cell r="EN48">
            <v>551380</v>
          </cell>
        </row>
        <row r="52">
          <cell r="EN52">
            <v>2523352</v>
          </cell>
        </row>
        <row r="53">
          <cell r="EN53">
            <v>735059</v>
          </cell>
        </row>
        <row r="57">
          <cell r="EN57"/>
        </row>
        <row r="58">
          <cell r="EN58"/>
        </row>
        <row r="70">
          <cell r="EN70">
            <v>399608</v>
          </cell>
        </row>
        <row r="71">
          <cell r="EN71">
            <v>352950</v>
          </cell>
        </row>
        <row r="73">
          <cell r="EN73">
            <v>47365</v>
          </cell>
        </row>
        <row r="74">
          <cell r="EN74">
            <v>41835</v>
          </cell>
        </row>
      </sheetData>
      <sheetData sheetId="14">
        <row r="4">
          <cell r="EN4">
            <v>93</v>
          </cell>
        </row>
        <row r="5">
          <cell r="EN5">
            <v>93</v>
          </cell>
        </row>
        <row r="8">
          <cell r="EN8"/>
        </row>
        <row r="9">
          <cell r="EN9"/>
        </row>
        <row r="19">
          <cell r="DX19">
            <v>146</v>
          </cell>
          <cell r="DY19">
            <v>112</v>
          </cell>
          <cell r="DZ19">
            <v>182</v>
          </cell>
          <cell r="EL19">
            <v>148</v>
          </cell>
          <cell r="EM19">
            <v>158</v>
          </cell>
          <cell r="EN19">
            <v>186</v>
          </cell>
        </row>
        <row r="22">
          <cell r="EN22">
            <v>12844</v>
          </cell>
        </row>
        <row r="23">
          <cell r="EN23">
            <v>13284</v>
          </cell>
        </row>
        <row r="27">
          <cell r="EN27">
            <v>106</v>
          </cell>
        </row>
        <row r="28">
          <cell r="EN28">
            <v>119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L41">
            <v>23064</v>
          </cell>
          <cell r="EM41">
            <v>22648</v>
          </cell>
          <cell r="EN41">
            <v>26128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15">
        <row r="4">
          <cell r="EN4">
            <v>54</v>
          </cell>
        </row>
        <row r="5">
          <cell r="EN5">
            <v>54</v>
          </cell>
        </row>
        <row r="8">
          <cell r="EN8"/>
        </row>
        <row r="9">
          <cell r="EN9"/>
        </row>
        <row r="19">
          <cell r="DX19">
            <v>212</v>
          </cell>
          <cell r="DY19">
            <v>154</v>
          </cell>
          <cell r="DZ19">
            <v>176</v>
          </cell>
          <cell r="EL19">
            <v>143</v>
          </cell>
          <cell r="EM19">
            <v>134</v>
          </cell>
          <cell r="EN19">
            <v>108</v>
          </cell>
        </row>
        <row r="22">
          <cell r="EN22">
            <v>154</v>
          </cell>
        </row>
        <row r="23">
          <cell r="EN23">
            <v>150</v>
          </cell>
        </row>
        <row r="27">
          <cell r="EN27">
            <v>19</v>
          </cell>
        </row>
        <row r="28">
          <cell r="EN28">
            <v>22</v>
          </cell>
        </row>
        <row r="41">
          <cell r="DX41">
            <v>765</v>
          </cell>
          <cell r="DY41">
            <v>603</v>
          </cell>
          <cell r="DZ41">
            <v>557</v>
          </cell>
          <cell r="EL41">
            <v>376</v>
          </cell>
          <cell r="EM41">
            <v>402</v>
          </cell>
          <cell r="EN41">
            <v>304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16">
        <row r="8">
          <cell r="EN8"/>
        </row>
        <row r="9">
          <cell r="EN9"/>
        </row>
        <row r="15">
          <cell r="EL15">
            <v>6</v>
          </cell>
          <cell r="EM15"/>
          <cell r="EN15"/>
        </row>
        <row r="16">
          <cell r="EL16">
            <v>6</v>
          </cell>
          <cell r="EM16"/>
          <cell r="EN16"/>
        </row>
        <row r="19">
          <cell r="DX19">
            <v>0</v>
          </cell>
          <cell r="DY19">
            <v>0</v>
          </cell>
          <cell r="DZ19">
            <v>0</v>
          </cell>
          <cell r="EL19">
            <v>12</v>
          </cell>
          <cell r="EM19">
            <v>0</v>
          </cell>
          <cell r="EN19">
            <v>0</v>
          </cell>
        </row>
        <row r="32">
          <cell r="EL32">
            <v>888</v>
          </cell>
          <cell r="EM32"/>
          <cell r="EN32"/>
        </row>
        <row r="33">
          <cell r="EL33">
            <v>585</v>
          </cell>
          <cell r="EM33"/>
          <cell r="EN33"/>
        </row>
        <row r="37">
          <cell r="EL37">
            <v>26</v>
          </cell>
          <cell r="EM37"/>
          <cell r="EN37"/>
        </row>
        <row r="38">
          <cell r="EL38">
            <v>24</v>
          </cell>
          <cell r="EM38"/>
          <cell r="EN38"/>
        </row>
        <row r="41">
          <cell r="DX41">
            <v>0</v>
          </cell>
          <cell r="DY41">
            <v>0</v>
          </cell>
          <cell r="DZ41">
            <v>0</v>
          </cell>
          <cell r="EL41">
            <v>1473</v>
          </cell>
          <cell r="EM41">
            <v>0</v>
          </cell>
          <cell r="EN41">
            <v>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17"/>
      <sheetData sheetId="18"/>
      <sheetData sheetId="19"/>
      <sheetData sheetId="20">
        <row r="19">
          <cell r="DZ19">
            <v>180</v>
          </cell>
        </row>
        <row r="41">
          <cell r="DX41">
            <v>6396</v>
          </cell>
          <cell r="DY41">
            <v>5061</v>
          </cell>
          <cell r="DZ41">
            <v>7318</v>
          </cell>
        </row>
      </sheetData>
      <sheetData sheetId="21">
        <row r="4">
          <cell r="EN4">
            <v>684</v>
          </cell>
        </row>
        <row r="5">
          <cell r="EN5">
            <v>681</v>
          </cell>
        </row>
        <row r="8">
          <cell r="EN8"/>
        </row>
        <row r="9">
          <cell r="EN9"/>
        </row>
        <row r="19">
          <cell r="DX19">
            <v>1280</v>
          </cell>
          <cell r="DY19">
            <v>1129</v>
          </cell>
          <cell r="DZ19">
            <v>1334</v>
          </cell>
          <cell r="EL19">
            <v>1310</v>
          </cell>
          <cell r="EM19">
            <v>1235</v>
          </cell>
          <cell r="EN19">
            <v>1365</v>
          </cell>
        </row>
        <row r="22">
          <cell r="EN22">
            <v>84959</v>
          </cell>
        </row>
        <row r="23">
          <cell r="EN23">
            <v>85136</v>
          </cell>
        </row>
        <row r="27">
          <cell r="EN27">
            <v>1062</v>
          </cell>
        </row>
        <row r="28">
          <cell r="EN28">
            <v>1118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L41">
            <v>147219</v>
          </cell>
          <cell r="EM41">
            <v>139213</v>
          </cell>
          <cell r="EN41">
            <v>170095</v>
          </cell>
        </row>
        <row r="47">
          <cell r="EN47">
            <v>181622</v>
          </cell>
        </row>
        <row r="48">
          <cell r="EN48"/>
        </row>
        <row r="52">
          <cell r="EN52">
            <v>110056</v>
          </cell>
        </row>
        <row r="53">
          <cell r="EN53"/>
        </row>
        <row r="57">
          <cell r="EN57"/>
        </row>
        <row r="58">
          <cell r="EN58"/>
        </row>
        <row r="70">
          <cell r="EN70">
            <v>84651</v>
          </cell>
        </row>
        <row r="71">
          <cell r="EN71">
            <v>485</v>
          </cell>
        </row>
      </sheetData>
      <sheetData sheetId="22">
        <row r="4">
          <cell r="EN4">
            <v>340</v>
          </cell>
        </row>
        <row r="5">
          <cell r="EN5">
            <v>340</v>
          </cell>
        </row>
        <row r="8">
          <cell r="EN8"/>
        </row>
        <row r="9">
          <cell r="EN9"/>
        </row>
        <row r="19">
          <cell r="DX19">
            <v>680</v>
          </cell>
          <cell r="DY19">
            <v>607</v>
          </cell>
          <cell r="DZ19">
            <v>689</v>
          </cell>
          <cell r="EL19">
            <v>680</v>
          </cell>
          <cell r="EM19">
            <v>612</v>
          </cell>
          <cell r="EN19">
            <v>680</v>
          </cell>
        </row>
        <row r="22">
          <cell r="EN22">
            <v>53616</v>
          </cell>
        </row>
        <row r="23">
          <cell r="EN23">
            <v>55366</v>
          </cell>
        </row>
        <row r="27">
          <cell r="EN27">
            <v>313</v>
          </cell>
        </row>
        <row r="28">
          <cell r="EN28">
            <v>293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L41">
            <v>97867</v>
          </cell>
          <cell r="EM41">
            <v>92339</v>
          </cell>
          <cell r="EN41">
            <v>108982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23">
        <row r="4">
          <cell r="EN4">
            <v>230</v>
          </cell>
        </row>
        <row r="5">
          <cell r="EN5">
            <v>230</v>
          </cell>
        </row>
        <row r="8">
          <cell r="EN8"/>
        </row>
        <row r="9">
          <cell r="EN9"/>
        </row>
        <row r="19">
          <cell r="DX19">
            <v>320</v>
          </cell>
          <cell r="DY19">
            <v>320</v>
          </cell>
          <cell r="DZ19">
            <v>534</v>
          </cell>
          <cell r="EL19">
            <v>446</v>
          </cell>
          <cell r="EM19">
            <v>476</v>
          </cell>
          <cell r="EN19">
            <v>460</v>
          </cell>
        </row>
        <row r="22">
          <cell r="EN22">
            <v>27800</v>
          </cell>
        </row>
        <row r="23">
          <cell r="EN23">
            <v>27958</v>
          </cell>
        </row>
        <row r="27">
          <cell r="EN27">
            <v>893</v>
          </cell>
        </row>
        <row r="28">
          <cell r="EN28">
            <v>921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L41">
            <v>53327</v>
          </cell>
          <cell r="EM41">
            <v>56144</v>
          </cell>
          <cell r="EN41">
            <v>55758</v>
          </cell>
        </row>
        <row r="47">
          <cell r="EN47">
            <v>18850</v>
          </cell>
        </row>
        <row r="48">
          <cell r="EN48">
            <v>80109</v>
          </cell>
        </row>
        <row r="52">
          <cell r="EN52">
            <v>2879</v>
          </cell>
        </row>
        <row r="53">
          <cell r="EN53">
            <v>134219</v>
          </cell>
        </row>
        <row r="57">
          <cell r="EN57"/>
        </row>
        <row r="58">
          <cell r="EN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L19">
            <v>0</v>
          </cell>
          <cell r="EM19">
            <v>0</v>
          </cell>
          <cell r="EN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L41">
            <v>0</v>
          </cell>
          <cell r="EM41">
            <v>0</v>
          </cell>
          <cell r="EN41">
            <v>0</v>
          </cell>
        </row>
      </sheetData>
      <sheetData sheetId="25">
        <row r="8">
          <cell r="EN8"/>
        </row>
        <row r="9">
          <cell r="EN9"/>
        </row>
        <row r="15">
          <cell r="EL15">
            <v>89</v>
          </cell>
          <cell r="EM15">
            <v>3</v>
          </cell>
          <cell r="EN15"/>
        </row>
        <row r="16">
          <cell r="EL16">
            <v>89</v>
          </cell>
          <cell r="EM16">
            <v>4</v>
          </cell>
          <cell r="EN16"/>
        </row>
        <row r="19">
          <cell r="DX19">
            <v>178</v>
          </cell>
          <cell r="DY19">
            <v>158</v>
          </cell>
          <cell r="DZ19">
            <v>180</v>
          </cell>
          <cell r="EL19">
            <v>178</v>
          </cell>
          <cell r="EM19">
            <v>7</v>
          </cell>
          <cell r="EN19">
            <v>0</v>
          </cell>
        </row>
        <row r="32">
          <cell r="EL32">
            <v>3406</v>
          </cell>
          <cell r="EM32">
            <v>147</v>
          </cell>
          <cell r="EN32"/>
        </row>
        <row r="33">
          <cell r="EL33">
            <v>3083</v>
          </cell>
          <cell r="EM33">
            <v>123</v>
          </cell>
          <cell r="EN33"/>
        </row>
        <row r="37">
          <cell r="EL37">
            <v>23</v>
          </cell>
          <cell r="EM37">
            <v>1</v>
          </cell>
          <cell r="EN37"/>
        </row>
        <row r="38">
          <cell r="EL38">
            <v>35</v>
          </cell>
          <cell r="EM38">
            <v>4</v>
          </cell>
          <cell r="EN38"/>
        </row>
        <row r="41">
          <cell r="EL41">
            <v>6489</v>
          </cell>
          <cell r="EM41">
            <v>270</v>
          </cell>
          <cell r="EN41">
            <v>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G58"/>
        </row>
      </sheetData>
      <sheetData sheetId="26">
        <row r="8">
          <cell r="EN8">
            <v>0</v>
          </cell>
        </row>
        <row r="9">
          <cell r="EN9">
            <v>0</v>
          </cell>
        </row>
        <row r="15">
          <cell r="EL15"/>
          <cell r="EM15">
            <v>79</v>
          </cell>
          <cell r="EN15">
            <v>90</v>
          </cell>
        </row>
        <row r="16">
          <cell r="EL16"/>
          <cell r="EM16">
            <v>78</v>
          </cell>
          <cell r="EN16">
            <v>90</v>
          </cell>
        </row>
        <row r="19">
          <cell r="DX19">
            <v>0</v>
          </cell>
          <cell r="DY19">
            <v>0</v>
          </cell>
          <cell r="DZ19">
            <v>0</v>
          </cell>
          <cell r="EL19">
            <v>0</v>
          </cell>
          <cell r="EM19">
            <v>157</v>
          </cell>
          <cell r="EN19">
            <v>180</v>
          </cell>
        </row>
        <row r="32">
          <cell r="EL32"/>
          <cell r="EM32">
            <v>3042</v>
          </cell>
          <cell r="EN32">
            <v>3628</v>
          </cell>
        </row>
        <row r="33">
          <cell r="EL33"/>
          <cell r="EM33">
            <v>2845</v>
          </cell>
          <cell r="EN33">
            <v>3713</v>
          </cell>
        </row>
        <row r="37">
          <cell r="EL37"/>
          <cell r="EM37"/>
          <cell r="EN37"/>
        </row>
        <row r="38">
          <cell r="EL38"/>
          <cell r="EM38"/>
          <cell r="EN38"/>
        </row>
        <row r="41">
          <cell r="DX41">
            <v>0</v>
          </cell>
          <cell r="DY41">
            <v>0</v>
          </cell>
          <cell r="DZ41">
            <v>0</v>
          </cell>
          <cell r="EL41">
            <v>0</v>
          </cell>
          <cell r="EM41">
            <v>5887</v>
          </cell>
          <cell r="EN41">
            <v>7341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</sheetData>
      <sheetData sheetId="27">
        <row r="4">
          <cell r="EN4">
            <v>8</v>
          </cell>
        </row>
        <row r="5">
          <cell r="EN5">
            <v>8</v>
          </cell>
        </row>
        <row r="8">
          <cell r="EN8"/>
        </row>
        <row r="9">
          <cell r="EN9"/>
        </row>
        <row r="19">
          <cell r="DX19">
            <v>0</v>
          </cell>
          <cell r="DY19">
            <v>0</v>
          </cell>
          <cell r="DZ19">
            <v>0</v>
          </cell>
          <cell r="EL19">
            <v>60</v>
          </cell>
          <cell r="EM19">
            <v>24</v>
          </cell>
          <cell r="EN19">
            <v>16</v>
          </cell>
        </row>
        <row r="22">
          <cell r="EN22">
            <v>246</v>
          </cell>
        </row>
        <row r="23">
          <cell r="EN23">
            <v>241</v>
          </cell>
        </row>
        <row r="27">
          <cell r="EN27">
            <v>32</v>
          </cell>
        </row>
        <row r="28">
          <cell r="EN28">
            <v>48</v>
          </cell>
        </row>
        <row r="41">
          <cell r="DX41">
            <v>0</v>
          </cell>
          <cell r="DY41">
            <v>0</v>
          </cell>
          <cell r="DZ41">
            <v>0</v>
          </cell>
          <cell r="EL41">
            <v>2291</v>
          </cell>
          <cell r="EM41">
            <v>849</v>
          </cell>
          <cell r="EN41">
            <v>487</v>
          </cell>
        </row>
        <row r="47">
          <cell r="EN47"/>
        </row>
        <row r="48">
          <cell r="EN48"/>
        </row>
        <row r="52">
          <cell r="BH52"/>
        </row>
        <row r="53">
          <cell r="EN53"/>
        </row>
        <row r="57">
          <cell r="BG57"/>
        </row>
        <row r="58">
          <cell r="BG58"/>
        </row>
      </sheetData>
      <sheetData sheetId="28">
        <row r="4">
          <cell r="EN4">
            <v>17</v>
          </cell>
        </row>
        <row r="5">
          <cell r="EN5">
            <v>17</v>
          </cell>
        </row>
        <row r="8">
          <cell r="EN8"/>
        </row>
        <row r="9">
          <cell r="EN9"/>
        </row>
        <row r="19">
          <cell r="DX19">
            <v>211</v>
          </cell>
          <cell r="DY19">
            <v>185</v>
          </cell>
          <cell r="DZ19">
            <v>168</v>
          </cell>
          <cell r="EL19">
            <v>20</v>
          </cell>
          <cell r="EM19">
            <v>8</v>
          </cell>
          <cell r="EN19">
            <v>34</v>
          </cell>
        </row>
        <row r="22">
          <cell r="EN22">
            <v>784</v>
          </cell>
        </row>
        <row r="23">
          <cell r="EN23">
            <v>803</v>
          </cell>
        </row>
        <row r="27">
          <cell r="EN27">
            <v>66</v>
          </cell>
        </row>
        <row r="28">
          <cell r="EN28">
            <v>59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L41">
            <v>1013</v>
          </cell>
          <cell r="EM41">
            <v>436</v>
          </cell>
          <cell r="EN41">
            <v>1587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29">
        <row r="4">
          <cell r="EN4">
            <v>243</v>
          </cell>
        </row>
        <row r="5">
          <cell r="EN5">
            <v>242</v>
          </cell>
        </row>
        <row r="8">
          <cell r="EN8"/>
        </row>
        <row r="9">
          <cell r="EN9"/>
        </row>
        <row r="15">
          <cell r="EL15">
            <v>36</v>
          </cell>
          <cell r="EM15">
            <v>8</v>
          </cell>
          <cell r="EN15">
            <v>50</v>
          </cell>
        </row>
        <row r="16">
          <cell r="EL16">
            <v>39</v>
          </cell>
          <cell r="EM16">
            <v>11</v>
          </cell>
          <cell r="EN16">
            <v>52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L19">
            <v>1025</v>
          </cell>
          <cell r="EM19">
            <v>606</v>
          </cell>
          <cell r="EN19">
            <v>587</v>
          </cell>
        </row>
        <row r="22">
          <cell r="EN22">
            <v>13150</v>
          </cell>
        </row>
        <row r="23">
          <cell r="EN23">
            <v>12808</v>
          </cell>
        </row>
        <row r="27">
          <cell r="EN27">
            <v>470</v>
          </cell>
        </row>
        <row r="28">
          <cell r="EN28">
            <v>405</v>
          </cell>
        </row>
        <row r="32">
          <cell r="EL32">
            <v>2069</v>
          </cell>
          <cell r="EM32">
            <v>506</v>
          </cell>
          <cell r="EN32">
            <v>2722</v>
          </cell>
        </row>
        <row r="33">
          <cell r="EL33">
            <v>2304</v>
          </cell>
          <cell r="EM33">
            <v>652</v>
          </cell>
          <cell r="EN33">
            <v>3018</v>
          </cell>
        </row>
        <row r="37">
          <cell r="EL37">
            <v>34</v>
          </cell>
          <cell r="EM37">
            <v>2</v>
          </cell>
          <cell r="EN37">
            <v>22</v>
          </cell>
        </row>
        <row r="38">
          <cell r="EL38">
            <v>20</v>
          </cell>
          <cell r="EM38">
            <v>2</v>
          </cell>
          <cell r="EN38">
            <v>46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L41">
            <v>51155</v>
          </cell>
          <cell r="EM41">
            <v>29264</v>
          </cell>
          <cell r="EN41">
            <v>31698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G58"/>
        </row>
        <row r="70">
          <cell r="EN70">
            <v>4355</v>
          </cell>
        </row>
        <row r="71">
          <cell r="EN71">
            <v>8453</v>
          </cell>
        </row>
        <row r="73">
          <cell r="EN73">
            <v>1026</v>
          </cell>
        </row>
        <row r="74">
          <cell r="EN74">
            <v>1992</v>
          </cell>
        </row>
      </sheetData>
      <sheetData sheetId="30"/>
      <sheetData sheetId="31"/>
      <sheetData sheetId="32"/>
      <sheetData sheetId="33">
        <row r="4">
          <cell r="EN4">
            <v>736</v>
          </cell>
        </row>
        <row r="5">
          <cell r="EN5">
            <v>740</v>
          </cell>
        </row>
        <row r="8">
          <cell r="EN8"/>
        </row>
        <row r="9">
          <cell r="EN9"/>
        </row>
        <row r="15">
          <cell r="EL15">
            <v>109</v>
          </cell>
          <cell r="EM15">
            <v>90</v>
          </cell>
          <cell r="EN15">
            <v>63</v>
          </cell>
        </row>
        <row r="16">
          <cell r="EL16">
            <v>108</v>
          </cell>
          <cell r="EM16">
            <v>89</v>
          </cell>
          <cell r="EN16">
            <v>62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L19">
            <v>1207</v>
          </cell>
          <cell r="EM19">
            <v>1145</v>
          </cell>
          <cell r="EN19">
            <v>1601</v>
          </cell>
        </row>
        <row r="22">
          <cell r="EN22">
            <v>44060</v>
          </cell>
        </row>
        <row r="23">
          <cell r="EN23">
            <v>44117</v>
          </cell>
        </row>
        <row r="27">
          <cell r="EN27">
            <v>1651</v>
          </cell>
        </row>
        <row r="28">
          <cell r="EN28">
            <v>1739</v>
          </cell>
        </row>
        <row r="32">
          <cell r="EL32">
            <v>6935</v>
          </cell>
          <cell r="EM32">
            <v>6048</v>
          </cell>
          <cell r="EN32">
            <v>4368</v>
          </cell>
        </row>
        <row r="33">
          <cell r="EL33">
            <v>6435</v>
          </cell>
          <cell r="EM33">
            <v>5471</v>
          </cell>
          <cell r="EN33">
            <v>4445</v>
          </cell>
        </row>
        <row r="37">
          <cell r="EL37">
            <v>86</v>
          </cell>
          <cell r="EM37">
            <v>91</v>
          </cell>
          <cell r="EN37">
            <v>61</v>
          </cell>
        </row>
        <row r="38">
          <cell r="EL38">
            <v>110</v>
          </cell>
          <cell r="EM38">
            <v>68</v>
          </cell>
          <cell r="EN38">
            <v>38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L41">
            <v>68909</v>
          </cell>
          <cell r="EM41">
            <v>65710</v>
          </cell>
          <cell r="EN41">
            <v>96990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G58"/>
        </row>
        <row r="70">
          <cell r="BG70">
            <v>26242</v>
          </cell>
          <cell r="EN70">
            <v>18794</v>
          </cell>
        </row>
        <row r="71">
          <cell r="BG71">
            <v>44562</v>
          </cell>
          <cell r="EN71">
            <v>25323</v>
          </cell>
        </row>
        <row r="73">
          <cell r="BG73">
            <v>1540</v>
          </cell>
          <cell r="EN73">
            <v>1894</v>
          </cell>
        </row>
        <row r="74">
          <cell r="BG74">
            <v>2614</v>
          </cell>
          <cell r="EN74">
            <v>2551</v>
          </cell>
        </row>
      </sheetData>
      <sheetData sheetId="34"/>
      <sheetData sheetId="35">
        <row r="4">
          <cell r="EN4">
            <v>27</v>
          </cell>
        </row>
        <row r="5">
          <cell r="EN5">
            <v>27</v>
          </cell>
        </row>
        <row r="8">
          <cell r="EN8"/>
        </row>
        <row r="9">
          <cell r="EN9"/>
        </row>
        <row r="19">
          <cell r="DX19">
            <v>270</v>
          </cell>
          <cell r="DY19">
            <v>268</v>
          </cell>
          <cell r="DZ19">
            <v>292</v>
          </cell>
          <cell r="EL19">
            <v>910</v>
          </cell>
          <cell r="EM19">
            <v>46</v>
          </cell>
          <cell r="EN19">
            <v>54</v>
          </cell>
        </row>
        <row r="22">
          <cell r="EN22">
            <v>1137</v>
          </cell>
        </row>
        <row r="23">
          <cell r="EN23">
            <v>1131</v>
          </cell>
        </row>
        <row r="27">
          <cell r="EN27">
            <v>43</v>
          </cell>
        </row>
        <row r="28">
          <cell r="EN28">
            <v>30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L41">
            <v>64701</v>
          </cell>
          <cell r="EM41">
            <v>1604</v>
          </cell>
          <cell r="EN41">
            <v>2268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G58"/>
        </row>
      </sheetData>
      <sheetData sheetId="36"/>
      <sheetData sheetId="37">
        <row r="4">
          <cell r="EN4"/>
        </row>
        <row r="5">
          <cell r="EN5"/>
        </row>
        <row r="8">
          <cell r="EN8"/>
        </row>
        <row r="9">
          <cell r="EN9"/>
        </row>
        <row r="19">
          <cell r="DX19">
            <v>0</v>
          </cell>
          <cell r="DY19">
            <v>26</v>
          </cell>
          <cell r="DZ19">
            <v>2</v>
          </cell>
          <cell r="EL19">
            <v>0</v>
          </cell>
          <cell r="EM19">
            <v>0</v>
          </cell>
          <cell r="EN19">
            <v>0</v>
          </cell>
        </row>
        <row r="22">
          <cell r="EN22"/>
        </row>
        <row r="23">
          <cell r="EN23"/>
        </row>
        <row r="27">
          <cell r="EN27"/>
        </row>
        <row r="28">
          <cell r="EN28"/>
        </row>
        <row r="41">
          <cell r="DX41">
            <v>0</v>
          </cell>
          <cell r="DY41">
            <v>1459</v>
          </cell>
          <cell r="DZ41">
            <v>118</v>
          </cell>
          <cell r="EL41">
            <v>0</v>
          </cell>
          <cell r="EM41">
            <v>0</v>
          </cell>
          <cell r="EN41">
            <v>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AJ57"/>
        </row>
        <row r="58">
          <cell r="AJ58"/>
        </row>
      </sheetData>
      <sheetData sheetId="38">
        <row r="4">
          <cell r="EN4">
            <v>39</v>
          </cell>
        </row>
        <row r="5">
          <cell r="EN5">
            <v>39</v>
          </cell>
        </row>
        <row r="8">
          <cell r="EN8"/>
        </row>
        <row r="9">
          <cell r="EN9"/>
        </row>
        <row r="19">
          <cell r="DX19">
            <v>106</v>
          </cell>
          <cell r="DY19">
            <v>62</v>
          </cell>
          <cell r="DZ19">
            <v>36</v>
          </cell>
          <cell r="EL19">
            <v>0</v>
          </cell>
          <cell r="EM19">
            <v>52</v>
          </cell>
          <cell r="EN19">
            <v>78</v>
          </cell>
        </row>
        <row r="22">
          <cell r="EN22">
            <v>2591</v>
          </cell>
        </row>
        <row r="23">
          <cell r="EN23">
            <v>2424</v>
          </cell>
        </row>
        <row r="27">
          <cell r="EN27">
            <v>64</v>
          </cell>
        </row>
        <row r="28">
          <cell r="EN28">
            <v>50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L41">
            <v>0</v>
          </cell>
          <cell r="EM41">
            <v>3315</v>
          </cell>
          <cell r="EN41">
            <v>5015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AJ57"/>
        </row>
        <row r="58">
          <cell r="AJ58"/>
        </row>
      </sheetData>
      <sheetData sheetId="39"/>
      <sheetData sheetId="40">
        <row r="4">
          <cell r="EN4">
            <v>123</v>
          </cell>
        </row>
        <row r="5">
          <cell r="EN5">
            <v>123</v>
          </cell>
        </row>
        <row r="8">
          <cell r="EN8"/>
        </row>
        <row r="9">
          <cell r="EN9"/>
        </row>
        <row r="19">
          <cell r="DX19">
            <v>150</v>
          </cell>
          <cell r="DY19">
            <v>170</v>
          </cell>
          <cell r="DZ19">
            <v>212</v>
          </cell>
          <cell r="EL19">
            <v>156</v>
          </cell>
          <cell r="EM19">
            <v>202</v>
          </cell>
          <cell r="EN19">
            <v>246</v>
          </cell>
        </row>
        <row r="22">
          <cell r="EN22">
            <v>7678</v>
          </cell>
        </row>
        <row r="23">
          <cell r="EN23">
            <v>7305</v>
          </cell>
        </row>
        <row r="27">
          <cell r="EN27">
            <v>206</v>
          </cell>
        </row>
        <row r="28">
          <cell r="EN28">
            <v>195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L41">
            <v>0</v>
          </cell>
          <cell r="EM41">
            <v>11308</v>
          </cell>
          <cell r="EN41">
            <v>14983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41">
        <row r="4">
          <cell r="EN4"/>
        </row>
        <row r="5">
          <cell r="EN5"/>
        </row>
        <row r="8">
          <cell r="EN8"/>
        </row>
        <row r="9">
          <cell r="EN9"/>
        </row>
        <row r="19">
          <cell r="DX19">
            <v>10</v>
          </cell>
          <cell r="DY19">
            <v>2</v>
          </cell>
          <cell r="DZ19">
            <v>0</v>
          </cell>
          <cell r="EL19">
            <v>14</v>
          </cell>
          <cell r="EM19">
            <v>0</v>
          </cell>
          <cell r="EN19">
            <v>0</v>
          </cell>
        </row>
        <row r="22">
          <cell r="EN22"/>
        </row>
        <row r="23">
          <cell r="EN23"/>
        </row>
        <row r="27">
          <cell r="EN27"/>
        </row>
        <row r="28">
          <cell r="EN28"/>
        </row>
        <row r="41">
          <cell r="DX41">
            <v>588</v>
          </cell>
          <cell r="DY41">
            <v>109</v>
          </cell>
          <cell r="DZ41">
            <v>0</v>
          </cell>
          <cell r="EL41">
            <v>1079</v>
          </cell>
          <cell r="EM41">
            <v>0</v>
          </cell>
          <cell r="EN41">
            <v>0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AJ57"/>
        </row>
        <row r="58">
          <cell r="AJ58"/>
        </row>
      </sheetData>
      <sheetData sheetId="42"/>
      <sheetData sheetId="43">
        <row r="4">
          <cell r="EN4">
            <v>1736</v>
          </cell>
        </row>
        <row r="5">
          <cell r="EN5">
            <v>1739</v>
          </cell>
        </row>
        <row r="8">
          <cell r="EN8"/>
        </row>
        <row r="9">
          <cell r="EN9">
            <v>1</v>
          </cell>
        </row>
        <row r="15">
          <cell r="EL15">
            <v>181</v>
          </cell>
          <cell r="EM15">
            <v>201</v>
          </cell>
          <cell r="EN15">
            <v>277</v>
          </cell>
        </row>
        <row r="16">
          <cell r="EL16">
            <v>175</v>
          </cell>
          <cell r="EM16">
            <v>200</v>
          </cell>
          <cell r="EN16">
            <v>275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L19">
            <v>4125</v>
          </cell>
          <cell r="EM19">
            <v>3562</v>
          </cell>
          <cell r="EN19">
            <v>4028</v>
          </cell>
        </row>
        <row r="22">
          <cell r="EN22">
            <v>99983</v>
          </cell>
        </row>
        <row r="23">
          <cell r="EN23">
            <v>99666</v>
          </cell>
        </row>
        <row r="27">
          <cell r="EN27">
            <v>3413</v>
          </cell>
        </row>
        <row r="28">
          <cell r="EN28">
            <v>3418</v>
          </cell>
        </row>
        <row r="32">
          <cell r="EL32">
            <v>10305</v>
          </cell>
          <cell r="EM32">
            <v>12347</v>
          </cell>
          <cell r="EN32">
            <v>17151</v>
          </cell>
        </row>
        <row r="33">
          <cell r="EL33">
            <v>10480</v>
          </cell>
          <cell r="EM33">
            <v>12595</v>
          </cell>
          <cell r="EN33">
            <v>17379</v>
          </cell>
        </row>
        <row r="37">
          <cell r="EL37">
            <v>76</v>
          </cell>
          <cell r="EM37">
            <v>91</v>
          </cell>
          <cell r="EN37">
            <v>172</v>
          </cell>
        </row>
        <row r="38">
          <cell r="EL38">
            <v>47</v>
          </cell>
          <cell r="EM38">
            <v>106</v>
          </cell>
          <cell r="EN38">
            <v>180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L41">
            <v>216575</v>
          </cell>
          <cell r="EM41">
            <v>198370</v>
          </cell>
          <cell r="EN41">
            <v>234179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  <row r="70">
          <cell r="EN70">
            <v>34185</v>
          </cell>
        </row>
        <row r="71">
          <cell r="EN71">
            <v>65481</v>
          </cell>
        </row>
        <row r="73">
          <cell r="EN73">
            <v>5961</v>
          </cell>
        </row>
        <row r="74">
          <cell r="EN74">
            <v>11418</v>
          </cell>
        </row>
      </sheetData>
      <sheetData sheetId="44"/>
      <sheetData sheetId="45">
        <row r="4">
          <cell r="EN4">
            <v>143</v>
          </cell>
        </row>
        <row r="5">
          <cell r="EN5">
            <v>141</v>
          </cell>
        </row>
        <row r="8">
          <cell r="EN8"/>
        </row>
        <row r="9">
          <cell r="EN9"/>
        </row>
        <row r="19">
          <cell r="DX19">
            <v>52</v>
          </cell>
          <cell r="DY19">
            <v>25</v>
          </cell>
          <cell r="DZ19">
            <v>25</v>
          </cell>
          <cell r="EL19">
            <v>156</v>
          </cell>
          <cell r="EM19">
            <v>202</v>
          </cell>
          <cell r="EN19">
            <v>284</v>
          </cell>
        </row>
        <row r="22">
          <cell r="EN22">
            <v>7978</v>
          </cell>
        </row>
        <row r="23">
          <cell r="EN23">
            <v>7806</v>
          </cell>
        </row>
        <row r="27">
          <cell r="EN27"/>
        </row>
        <row r="28">
          <cell r="EN28"/>
        </row>
        <row r="41">
          <cell r="DX41">
            <v>3192</v>
          </cell>
          <cell r="DY41">
            <v>1680</v>
          </cell>
          <cell r="DZ41">
            <v>1586</v>
          </cell>
          <cell r="EL41">
            <v>7148</v>
          </cell>
          <cell r="EM41">
            <v>9738</v>
          </cell>
          <cell r="EN41">
            <v>15784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46">
        <row r="4">
          <cell r="EN4">
            <v>81</v>
          </cell>
        </row>
        <row r="5">
          <cell r="EN5">
            <v>81</v>
          </cell>
        </row>
        <row r="8">
          <cell r="EN8"/>
        </row>
        <row r="9">
          <cell r="EN9"/>
        </row>
        <row r="19">
          <cell r="DX19">
            <v>0</v>
          </cell>
          <cell r="DY19">
            <v>0</v>
          </cell>
          <cell r="DZ19">
            <v>0</v>
          </cell>
          <cell r="EL19">
            <v>0</v>
          </cell>
          <cell r="EM19">
            <v>128</v>
          </cell>
          <cell r="EN19">
            <v>162</v>
          </cell>
        </row>
        <row r="22">
          <cell r="EN22">
            <v>5150</v>
          </cell>
        </row>
        <row r="23">
          <cell r="EN23">
            <v>5256</v>
          </cell>
        </row>
        <row r="27">
          <cell r="EN27"/>
        </row>
        <row r="28">
          <cell r="EN28"/>
        </row>
        <row r="41">
          <cell r="DX41">
            <v>0</v>
          </cell>
          <cell r="DY41">
            <v>0</v>
          </cell>
          <cell r="DZ41">
            <v>0</v>
          </cell>
          <cell r="EL41">
            <v>0</v>
          </cell>
          <cell r="EM41">
            <v>6656</v>
          </cell>
          <cell r="EN41">
            <v>10406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</sheetData>
      <sheetData sheetId="47"/>
      <sheetData sheetId="48">
        <row r="4">
          <cell r="EN4">
            <v>2844</v>
          </cell>
        </row>
        <row r="5">
          <cell r="EN5">
            <v>2836</v>
          </cell>
        </row>
        <row r="8">
          <cell r="EN8"/>
        </row>
        <row r="9">
          <cell r="EN9">
            <v>9</v>
          </cell>
        </row>
        <row r="15">
          <cell r="EL15">
            <v>153</v>
          </cell>
          <cell r="EM15">
            <v>150</v>
          </cell>
          <cell r="EN15">
            <v>125</v>
          </cell>
        </row>
        <row r="16">
          <cell r="EL16">
            <v>155</v>
          </cell>
          <cell r="EM16">
            <v>148</v>
          </cell>
          <cell r="EN16">
            <v>126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L19">
            <v>5231</v>
          </cell>
          <cell r="EM19">
            <v>5242</v>
          </cell>
          <cell r="EN19">
            <v>5940</v>
          </cell>
        </row>
        <row r="22">
          <cell r="EN22">
            <v>124664</v>
          </cell>
        </row>
        <row r="23">
          <cell r="EN23">
            <v>125867</v>
          </cell>
        </row>
        <row r="27">
          <cell r="EN27">
            <v>5043</v>
          </cell>
        </row>
        <row r="28">
          <cell r="EN28">
            <v>5192</v>
          </cell>
        </row>
        <row r="32">
          <cell r="EL32">
            <v>8711</v>
          </cell>
          <cell r="EM32">
            <v>9168</v>
          </cell>
          <cell r="EN32">
            <v>7173</v>
          </cell>
        </row>
        <row r="33">
          <cell r="EL33">
            <v>8613</v>
          </cell>
          <cell r="EM33">
            <v>8600</v>
          </cell>
          <cell r="EN33">
            <v>7271</v>
          </cell>
        </row>
        <row r="37">
          <cell r="EL37">
            <v>95</v>
          </cell>
          <cell r="EM37">
            <v>145</v>
          </cell>
          <cell r="EN37">
            <v>66</v>
          </cell>
        </row>
        <row r="38">
          <cell r="EL38">
            <v>94</v>
          </cell>
          <cell r="EM38">
            <v>147</v>
          </cell>
          <cell r="EN38">
            <v>58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L41">
            <v>213188</v>
          </cell>
          <cell r="EM41">
            <v>226213</v>
          </cell>
          <cell r="EN41">
            <v>264975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  <row r="70">
          <cell r="EN70">
            <v>30586</v>
          </cell>
        </row>
        <row r="71">
          <cell r="EN71">
            <v>95281</v>
          </cell>
        </row>
        <row r="73">
          <cell r="EN73">
            <v>1767</v>
          </cell>
        </row>
        <row r="74">
          <cell r="EN74">
            <v>5504</v>
          </cell>
        </row>
      </sheetData>
      <sheetData sheetId="49">
        <row r="4">
          <cell r="EN4">
            <v>218</v>
          </cell>
        </row>
        <row r="5">
          <cell r="EN5">
            <v>218</v>
          </cell>
        </row>
        <row r="8">
          <cell r="EN8"/>
        </row>
        <row r="9">
          <cell r="EN9"/>
        </row>
        <row r="19">
          <cell r="DX19">
            <v>290</v>
          </cell>
          <cell r="DY19">
            <v>312</v>
          </cell>
          <cell r="DZ19">
            <v>310</v>
          </cell>
          <cell r="EL19">
            <v>0</v>
          </cell>
          <cell r="EM19">
            <v>362</v>
          </cell>
          <cell r="EN19">
            <v>436</v>
          </cell>
        </row>
        <row r="22">
          <cell r="EN22">
            <v>14315</v>
          </cell>
        </row>
        <row r="23">
          <cell r="EN23">
            <v>14646</v>
          </cell>
        </row>
        <row r="27">
          <cell r="EN27">
            <v>399</v>
          </cell>
        </row>
        <row r="28">
          <cell r="EN28">
            <v>353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L41">
            <v>0</v>
          </cell>
          <cell r="EM41">
            <v>23445</v>
          </cell>
          <cell r="EN41">
            <v>28961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</row>
      </sheetData>
      <sheetData sheetId="51"/>
      <sheetData sheetId="52">
        <row r="4">
          <cell r="EN4">
            <v>30</v>
          </cell>
        </row>
        <row r="5">
          <cell r="EN5">
            <v>30</v>
          </cell>
        </row>
        <row r="8">
          <cell r="EN8">
            <v>0</v>
          </cell>
        </row>
        <row r="9">
          <cell r="EN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L19">
            <v>0</v>
          </cell>
          <cell r="EM19">
            <v>0</v>
          </cell>
          <cell r="EN19">
            <v>60</v>
          </cell>
        </row>
        <row r="22">
          <cell r="EN22">
            <v>1986</v>
          </cell>
        </row>
        <row r="23">
          <cell r="EN23">
            <v>2009</v>
          </cell>
        </row>
        <row r="27">
          <cell r="EN27">
            <v>89</v>
          </cell>
        </row>
        <row r="28">
          <cell r="EN28">
            <v>92</v>
          </cell>
        </row>
        <row r="41">
          <cell r="DX41">
            <v>0</v>
          </cell>
          <cell r="DY41">
            <v>0</v>
          </cell>
          <cell r="DZ41">
            <v>0</v>
          </cell>
          <cell r="EL41">
            <v>0</v>
          </cell>
          <cell r="EM41">
            <v>0</v>
          </cell>
          <cell r="EN41">
            <v>3995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EN58"/>
        </row>
      </sheetData>
      <sheetData sheetId="53">
        <row r="4">
          <cell r="EN4">
            <v>76</v>
          </cell>
        </row>
        <row r="5">
          <cell r="EN5">
            <v>76</v>
          </cell>
        </row>
        <row r="8">
          <cell r="EN8"/>
        </row>
        <row r="9">
          <cell r="EN9"/>
        </row>
        <row r="19">
          <cell r="DX19">
            <v>264</v>
          </cell>
          <cell r="DY19">
            <v>208</v>
          </cell>
          <cell r="DZ19">
            <v>182</v>
          </cell>
          <cell r="EL19">
            <v>0</v>
          </cell>
          <cell r="EM19">
            <v>176</v>
          </cell>
          <cell r="EN19">
            <v>152</v>
          </cell>
        </row>
        <row r="22">
          <cell r="EN22">
            <v>4536</v>
          </cell>
        </row>
        <row r="23">
          <cell r="EN23">
            <v>4839</v>
          </cell>
        </row>
        <row r="27">
          <cell r="EN27"/>
        </row>
        <row r="28">
          <cell r="EN28"/>
        </row>
        <row r="41">
          <cell r="DX41">
            <v>15615</v>
          </cell>
          <cell r="DY41">
            <v>11973</v>
          </cell>
          <cell r="DZ41">
            <v>10793</v>
          </cell>
          <cell r="EL41">
            <v>0</v>
          </cell>
          <cell r="EM41">
            <v>9540</v>
          </cell>
          <cell r="EN41">
            <v>9375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G58"/>
        </row>
      </sheetData>
      <sheetData sheetId="54">
        <row r="4">
          <cell r="EN4">
            <v>70</v>
          </cell>
        </row>
        <row r="5">
          <cell r="EN5">
            <v>70</v>
          </cell>
        </row>
        <row r="8">
          <cell r="EN8"/>
        </row>
        <row r="9">
          <cell r="EN9"/>
        </row>
        <row r="19">
          <cell r="DX19">
            <v>414</v>
          </cell>
          <cell r="DY19">
            <v>388</v>
          </cell>
          <cell r="DZ19">
            <v>421</v>
          </cell>
          <cell r="EL19">
            <v>136</v>
          </cell>
          <cell r="EM19">
            <v>138</v>
          </cell>
          <cell r="EN19">
            <v>140</v>
          </cell>
        </row>
        <row r="22">
          <cell r="EN22">
            <v>3088</v>
          </cell>
        </row>
        <row r="23">
          <cell r="EN23">
            <v>2800</v>
          </cell>
        </row>
        <row r="27">
          <cell r="EN27">
            <v>158</v>
          </cell>
        </row>
        <row r="28">
          <cell r="EN28">
            <v>83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L41">
            <v>6152</v>
          </cell>
          <cell r="EM41">
            <v>6170</v>
          </cell>
          <cell r="EN41">
            <v>5888</v>
          </cell>
        </row>
        <row r="47">
          <cell r="EN47"/>
        </row>
        <row r="48">
          <cell r="EN48"/>
        </row>
        <row r="52">
          <cell r="EN52"/>
        </row>
        <row r="53">
          <cell r="EN53"/>
        </row>
        <row r="57">
          <cell r="EN57"/>
        </row>
        <row r="58">
          <cell r="BH58"/>
        </row>
        <row r="70">
          <cell r="EN70">
            <v>1036</v>
          </cell>
        </row>
        <row r="71">
          <cell r="EN71">
            <v>1764</v>
          </cell>
        </row>
      </sheetData>
      <sheetData sheetId="55"/>
      <sheetData sheetId="56"/>
      <sheetData sheetId="57"/>
      <sheetData sheetId="58">
        <row r="4">
          <cell r="EN4"/>
        </row>
        <row r="5">
          <cell r="EN5"/>
        </row>
        <row r="15">
          <cell r="EL15"/>
          <cell r="EM15"/>
          <cell r="EN15"/>
        </row>
        <row r="16">
          <cell r="EL16"/>
          <cell r="EM16"/>
          <cell r="EN16"/>
        </row>
        <row r="22">
          <cell r="EN22"/>
        </row>
        <row r="23">
          <cell r="EN23"/>
        </row>
        <row r="32">
          <cell r="EL32"/>
          <cell r="EM32"/>
          <cell r="EN32"/>
        </row>
        <row r="33">
          <cell r="EL33"/>
          <cell r="EM33"/>
          <cell r="EN33"/>
        </row>
        <row r="37">
          <cell r="EL37"/>
          <cell r="EM37"/>
          <cell r="EN37"/>
        </row>
        <row r="38">
          <cell r="EL38"/>
          <cell r="EM38"/>
          <cell r="EN38"/>
        </row>
      </sheetData>
      <sheetData sheetId="59">
        <row r="4">
          <cell r="EN4"/>
        </row>
        <row r="5">
          <cell r="EN5"/>
        </row>
        <row r="15">
          <cell r="EN15"/>
        </row>
        <row r="16">
          <cell r="EN16"/>
        </row>
        <row r="22">
          <cell r="EN22"/>
        </row>
        <row r="23">
          <cell r="EN23"/>
        </row>
        <row r="32">
          <cell r="EN32"/>
        </row>
        <row r="33">
          <cell r="EN33"/>
        </row>
      </sheetData>
      <sheetData sheetId="60">
        <row r="15">
          <cell r="EL15"/>
          <cell r="EM15"/>
          <cell r="EN15"/>
        </row>
        <row r="16">
          <cell r="EL16"/>
          <cell r="EM16"/>
          <cell r="EN16"/>
        </row>
        <row r="32">
          <cell r="EL32"/>
          <cell r="EM32"/>
          <cell r="EN32"/>
        </row>
        <row r="33">
          <cell r="EL33"/>
          <cell r="EM33"/>
          <cell r="EN33"/>
        </row>
        <row r="37">
          <cell r="EL37"/>
          <cell r="EM37"/>
          <cell r="EN37"/>
        </row>
        <row r="38">
          <cell r="EL38"/>
          <cell r="EM38"/>
          <cell r="EN38"/>
        </row>
      </sheetData>
      <sheetData sheetId="61">
        <row r="4">
          <cell r="EN4"/>
        </row>
        <row r="5">
          <cell r="EN5"/>
        </row>
        <row r="15">
          <cell r="EL15"/>
          <cell r="EM15"/>
          <cell r="EN15"/>
        </row>
        <row r="16">
          <cell r="EL16"/>
          <cell r="EM16"/>
          <cell r="EN16"/>
        </row>
        <row r="22">
          <cell r="EN22"/>
        </row>
        <row r="23">
          <cell r="EN23"/>
        </row>
        <row r="32">
          <cell r="EL32"/>
          <cell r="EM32"/>
          <cell r="EN32"/>
        </row>
        <row r="33">
          <cell r="EL33"/>
          <cell r="EM33"/>
          <cell r="EN33"/>
        </row>
        <row r="37">
          <cell r="EL37"/>
          <cell r="EM37"/>
          <cell r="EN37"/>
        </row>
        <row r="38">
          <cell r="EL38"/>
          <cell r="EM38"/>
          <cell r="EN38"/>
        </row>
      </sheetData>
      <sheetData sheetId="62"/>
      <sheetData sheetId="63"/>
      <sheetData sheetId="64">
        <row r="4">
          <cell r="EN4">
            <v>23</v>
          </cell>
        </row>
        <row r="5">
          <cell r="EN5">
            <v>23</v>
          </cell>
        </row>
        <row r="47">
          <cell r="EN47">
            <v>725560</v>
          </cell>
        </row>
        <row r="48">
          <cell r="EN48"/>
        </row>
        <row r="52">
          <cell r="EN52">
            <v>441255</v>
          </cell>
        </row>
        <row r="53">
          <cell r="EN53"/>
        </row>
        <row r="57">
          <cell r="EN57"/>
        </row>
        <row r="58">
          <cell r="EN58"/>
        </row>
      </sheetData>
      <sheetData sheetId="65">
        <row r="4">
          <cell r="EN4">
            <v>36</v>
          </cell>
        </row>
        <row r="5">
          <cell r="EN5">
            <v>36</v>
          </cell>
        </row>
        <row r="47">
          <cell r="EN47">
            <v>24096</v>
          </cell>
        </row>
        <row r="48">
          <cell r="EN48"/>
        </row>
        <row r="52">
          <cell r="EN52">
            <v>29396</v>
          </cell>
        </row>
        <row r="53">
          <cell r="EN53"/>
        </row>
        <row r="57">
          <cell r="EN57"/>
        </row>
        <row r="58">
          <cell r="EN58"/>
        </row>
      </sheetData>
      <sheetData sheetId="66"/>
      <sheetData sheetId="67">
        <row r="15">
          <cell r="EN15">
            <v>21</v>
          </cell>
        </row>
        <row r="16">
          <cell r="EN16">
            <v>21</v>
          </cell>
        </row>
        <row r="47">
          <cell r="EN47">
            <v>18243</v>
          </cell>
        </row>
        <row r="48">
          <cell r="EN48"/>
        </row>
        <row r="52">
          <cell r="EN52">
            <v>65398</v>
          </cell>
        </row>
        <row r="53">
          <cell r="EN53"/>
        </row>
        <row r="57">
          <cell r="EN57"/>
        </row>
        <row r="58">
          <cell r="EN58"/>
        </row>
      </sheetData>
      <sheetData sheetId="68">
        <row r="4">
          <cell r="EN4">
            <v>93</v>
          </cell>
        </row>
        <row r="5">
          <cell r="EN5">
            <v>93</v>
          </cell>
        </row>
        <row r="15">
          <cell r="EN15"/>
        </row>
        <row r="47">
          <cell r="EN47">
            <v>7185296</v>
          </cell>
        </row>
        <row r="48">
          <cell r="EN48"/>
        </row>
        <row r="52">
          <cell r="EN52">
            <v>9822879</v>
          </cell>
        </row>
        <row r="53">
          <cell r="EN53"/>
        </row>
        <row r="57">
          <cell r="EN57"/>
        </row>
        <row r="58">
          <cell r="EN58"/>
        </row>
      </sheetData>
      <sheetData sheetId="69">
        <row r="4">
          <cell r="EN4">
            <v>90</v>
          </cell>
        </row>
        <row r="5">
          <cell r="EN5">
            <v>90</v>
          </cell>
        </row>
        <row r="15">
          <cell r="EN15">
            <v>18</v>
          </cell>
        </row>
        <row r="16">
          <cell r="EN16">
            <v>18</v>
          </cell>
        </row>
        <row r="47">
          <cell r="EN47">
            <v>5308840</v>
          </cell>
        </row>
        <row r="48">
          <cell r="EN48">
            <v>10735</v>
          </cell>
        </row>
        <row r="52">
          <cell r="EN52">
            <v>4554932</v>
          </cell>
        </row>
        <row r="53">
          <cell r="EN53">
            <v>365235</v>
          </cell>
        </row>
        <row r="57">
          <cell r="EN57"/>
        </row>
        <row r="58">
          <cell r="EN58"/>
        </row>
      </sheetData>
      <sheetData sheetId="70"/>
      <sheetData sheetId="71"/>
      <sheetData sheetId="72"/>
      <sheetData sheetId="73">
        <row r="4">
          <cell r="EN4">
            <v>243</v>
          </cell>
        </row>
        <row r="5">
          <cell r="EN5">
            <v>243</v>
          </cell>
        </row>
      </sheetData>
      <sheetData sheetId="74">
        <row r="4">
          <cell r="EN4">
            <v>24</v>
          </cell>
        </row>
        <row r="5">
          <cell r="EN5">
            <v>24</v>
          </cell>
        </row>
        <row r="47">
          <cell r="EN47">
            <v>30434</v>
          </cell>
        </row>
        <row r="48">
          <cell r="EN48"/>
        </row>
        <row r="52">
          <cell r="EN52">
            <v>36687</v>
          </cell>
        </row>
        <row r="53">
          <cell r="EN53"/>
        </row>
        <row r="57">
          <cell r="EN57"/>
        </row>
        <row r="58">
          <cell r="EN58"/>
        </row>
      </sheetData>
      <sheetData sheetId="75">
        <row r="4">
          <cell r="EN4">
            <v>23</v>
          </cell>
        </row>
        <row r="5">
          <cell r="EN5">
            <v>23</v>
          </cell>
        </row>
        <row r="47">
          <cell r="EN47">
            <v>47358</v>
          </cell>
        </row>
        <row r="48">
          <cell r="EN48"/>
        </row>
        <row r="52">
          <cell r="EN52">
            <v>120479</v>
          </cell>
        </row>
        <row r="53">
          <cell r="EN53"/>
        </row>
        <row r="57">
          <cell r="EN57"/>
        </row>
        <row r="58">
          <cell r="EN58"/>
        </row>
      </sheetData>
      <sheetData sheetId="76">
        <row r="4">
          <cell r="EN4">
            <v>23</v>
          </cell>
        </row>
        <row r="5">
          <cell r="EN5">
            <v>23</v>
          </cell>
        </row>
        <row r="8">
          <cell r="EN8"/>
        </row>
        <row r="9">
          <cell r="EN9"/>
        </row>
        <row r="47">
          <cell r="EN47">
            <v>44632</v>
          </cell>
        </row>
        <row r="48">
          <cell r="EN48"/>
        </row>
        <row r="52">
          <cell r="EN52">
            <v>33440</v>
          </cell>
        </row>
        <row r="53">
          <cell r="EN53"/>
        </row>
        <row r="57">
          <cell r="EN57"/>
        </row>
        <row r="58">
          <cell r="EN58"/>
        </row>
      </sheetData>
      <sheetData sheetId="77">
        <row r="4">
          <cell r="EN4">
            <v>51</v>
          </cell>
        </row>
        <row r="5">
          <cell r="EN5">
            <v>49</v>
          </cell>
        </row>
      </sheetData>
      <sheetData sheetId="78">
        <row r="4">
          <cell r="EN4">
            <v>894</v>
          </cell>
        </row>
        <row r="5">
          <cell r="EN5">
            <v>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14" sqref="J1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0">
        <v>42430</v>
      </c>
      <c r="B2" s="17"/>
      <c r="C2" s="17"/>
      <c r="D2" s="483" t="s">
        <v>186</v>
      </c>
      <c r="E2" s="483" t="s">
        <v>181</v>
      </c>
      <c r="F2" s="8"/>
      <c r="G2" s="8"/>
      <c r="H2" s="8"/>
      <c r="I2" s="8"/>
      <c r="J2" s="23"/>
    </row>
    <row r="3" spans="1:14" ht="13.5" thickBot="1" x14ac:dyDescent="0.25">
      <c r="A3" s="396"/>
      <c r="B3" s="8" t="s">
        <v>0</v>
      </c>
      <c r="C3" s="8" t="s">
        <v>1</v>
      </c>
      <c r="D3" s="484"/>
      <c r="E3" s="485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9">
        <f>'Major Airline Stats'!I4</f>
        <v>1237750</v>
      </c>
      <c r="C5" s="301">
        <f>'Major Airline Stats'!I5</f>
        <v>1246048</v>
      </c>
      <c r="D5" s="5">
        <f>'Major Airline Stats'!I6</f>
        <v>2483798</v>
      </c>
      <c r="E5" s="9">
        <f>'[1]Monthly Summary'!D5</f>
        <v>2353250</v>
      </c>
      <c r="F5" s="39">
        <f>(D5-E5)/E5</f>
        <v>5.5475618825029216E-2</v>
      </c>
      <c r="G5" s="9">
        <f>+D5+'[2]Monthly Summary'!G5</f>
        <v>6410045</v>
      </c>
      <c r="H5" s="9">
        <f>'[1]Monthly Summary'!G5</f>
        <v>6004136</v>
      </c>
      <c r="I5" s="85">
        <f>(G5-H5)/H5</f>
        <v>6.7604897690525328E-2</v>
      </c>
      <c r="J5" s="9"/>
    </row>
    <row r="6" spans="1:14" x14ac:dyDescent="0.2">
      <c r="A6" s="67" t="s">
        <v>5</v>
      </c>
      <c r="B6" s="299">
        <f>'Regional Major'!L5</f>
        <v>366388</v>
      </c>
      <c r="C6" s="299">
        <f>'Regional Major'!L6</f>
        <v>367544</v>
      </c>
      <c r="D6" s="5">
        <f>B6+C6</f>
        <v>733932</v>
      </c>
      <c r="E6" s="9">
        <f>'[1]Monthly Summary'!D6</f>
        <v>779001</v>
      </c>
      <c r="F6" s="39">
        <f>(D6-E6)/E6</f>
        <v>-5.785486796550967E-2</v>
      </c>
      <c r="G6" s="9">
        <f>+D6+'[2]Monthly Summary'!G6</f>
        <v>1971407</v>
      </c>
      <c r="H6" s="9">
        <f>'[1]Monthly Summary'!G6</f>
        <v>2084848</v>
      </c>
      <c r="I6" s="85">
        <f>(G6-H6)/H6</f>
        <v>-5.4412120212120982E-2</v>
      </c>
      <c r="J6" s="20"/>
      <c r="K6" s="2"/>
    </row>
    <row r="7" spans="1:14" x14ac:dyDescent="0.2">
      <c r="A7" s="67" t="s">
        <v>6</v>
      </c>
      <c r="B7" s="9">
        <f>Charter!G5</f>
        <v>0</v>
      </c>
      <c r="C7" s="300">
        <f>Charter!G6</f>
        <v>0</v>
      </c>
      <c r="D7" s="5">
        <f>B7+C7</f>
        <v>0</v>
      </c>
      <c r="E7" s="9">
        <f>'[1]Monthly Summary'!D7</f>
        <v>811</v>
      </c>
      <c r="F7" s="39">
        <f>(D7-E7)/E7</f>
        <v>-1</v>
      </c>
      <c r="G7" s="9">
        <f>+D7+'[2]Monthly Summary'!G7</f>
        <v>480</v>
      </c>
      <c r="H7" s="9">
        <f>'[1]Monthly Summary'!G7</f>
        <v>1944</v>
      </c>
      <c r="I7" s="85">
        <f>(G7-H7)/H7</f>
        <v>-0.75308641975308643</v>
      </c>
      <c r="J7" s="20"/>
      <c r="K7" s="2"/>
    </row>
    <row r="8" spans="1:14" x14ac:dyDescent="0.2">
      <c r="A8" s="70" t="s">
        <v>7</v>
      </c>
      <c r="B8" s="148">
        <f>SUM(B5:B7)</f>
        <v>1604138</v>
      </c>
      <c r="C8" s="148">
        <f>SUM(C5:C7)</f>
        <v>1613592</v>
      </c>
      <c r="D8" s="148">
        <f>SUM(D5:D7)</f>
        <v>3217730</v>
      </c>
      <c r="E8" s="148">
        <f>SUM(E5:E7)</f>
        <v>3133062</v>
      </c>
      <c r="F8" s="92">
        <f>(D8-E8)/E8</f>
        <v>2.7024042294726373E-2</v>
      </c>
      <c r="G8" s="148">
        <f>SUM(G5:G7)</f>
        <v>8381932</v>
      </c>
      <c r="H8" s="148">
        <f>SUM(H5:H7)</f>
        <v>8090928</v>
      </c>
      <c r="I8" s="91">
        <f>(G8-H8)/H8</f>
        <v>3.5966702459841439E-2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2">
        <f>'Major Airline Stats'!I9+'Regional Major'!L10</f>
        <v>49228</v>
      </c>
      <c r="C10" s="302">
        <f>'Major Airline Stats'!I10+'Regional Major'!L11</f>
        <v>49265</v>
      </c>
      <c r="D10" s="120">
        <f>SUM(B10:C10)</f>
        <v>98493</v>
      </c>
      <c r="E10" s="120">
        <f>'[1]Monthly Summary'!D10</f>
        <v>91444</v>
      </c>
      <c r="F10" s="93">
        <f>(D10-E10)/E10</f>
        <v>7.7085429333799915E-2</v>
      </c>
      <c r="G10" s="9">
        <f>+D10+'[2]Monthly Summary'!G10</f>
        <v>273502</v>
      </c>
      <c r="H10" s="120">
        <f>'[1]Monthly Summary'!G10</f>
        <v>257893</v>
      </c>
      <c r="I10" s="96">
        <f>(G10-H10)/H10</f>
        <v>6.0525101495581504E-2</v>
      </c>
      <c r="J10" s="264"/>
    </row>
    <row r="11" spans="1:14" ht="15.75" thickBot="1" x14ac:dyDescent="0.3">
      <c r="A11" s="69" t="s">
        <v>15</v>
      </c>
      <c r="B11" s="278">
        <f>B10+B8</f>
        <v>1653366</v>
      </c>
      <c r="C11" s="278">
        <f>C10+C8</f>
        <v>1662857</v>
      </c>
      <c r="D11" s="278">
        <f>D10+D8</f>
        <v>3316223</v>
      </c>
      <c r="E11" s="278">
        <f>E10+E8</f>
        <v>3224506</v>
      </c>
      <c r="F11" s="94">
        <f>(D11-E11)/E11</f>
        <v>2.8443736808056799E-2</v>
      </c>
      <c r="G11" s="278">
        <f>G8+G10</f>
        <v>8655434</v>
      </c>
      <c r="H11" s="278">
        <f>H8+H10</f>
        <v>8348821</v>
      </c>
      <c r="I11" s="97">
        <f>(G11-H11)/H11</f>
        <v>3.6725305285620569E-2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3" t="s">
        <v>186</v>
      </c>
      <c r="E13" s="483" t="s">
        <v>181</v>
      </c>
      <c r="F13" s="443"/>
      <c r="G13" s="443"/>
      <c r="H13" s="443"/>
      <c r="I13" s="443"/>
    </row>
    <row r="14" spans="1:14" ht="13.5" thickBot="1" x14ac:dyDescent="0.25">
      <c r="A14" s="16"/>
      <c r="B14" s="102" t="s">
        <v>14</v>
      </c>
      <c r="C14" s="102" t="s">
        <v>13</v>
      </c>
      <c r="D14" s="484"/>
      <c r="E14" s="485"/>
      <c r="F14" s="443" t="s">
        <v>2</v>
      </c>
      <c r="G14" s="443" t="s">
        <v>187</v>
      </c>
      <c r="H14" s="443" t="s">
        <v>178</v>
      </c>
      <c r="I14" s="443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10">
        <f>'Major Airline Stats'!I15+'Major Airline Stats'!I19</f>
        <v>9066</v>
      </c>
      <c r="C16" s="310">
        <f>'Major Airline Stats'!I16+'Major Airline Stats'!I20</f>
        <v>9071</v>
      </c>
      <c r="D16" s="47">
        <f t="shared" ref="D16:D21" si="0">SUM(B16:C16)</f>
        <v>18137</v>
      </c>
      <c r="E16" s="9">
        <f>'[1]Monthly Summary'!D16</f>
        <v>17212</v>
      </c>
      <c r="F16" s="95">
        <f t="shared" ref="F16:F22" si="1">(D16-E16)/E16</f>
        <v>5.3741575644898905E-2</v>
      </c>
      <c r="G16" s="9">
        <f>+D16+'[2]Monthly Summary'!G16</f>
        <v>49187</v>
      </c>
      <c r="H16" s="9">
        <f>'[1]Monthly Summary'!G16</f>
        <v>46195</v>
      </c>
      <c r="I16" s="262">
        <f t="shared" ref="I16:I22" si="2">(G16-H16)/H16</f>
        <v>6.4768914384673665E-2</v>
      </c>
      <c r="N16" s="130"/>
    </row>
    <row r="17" spans="1:12" x14ac:dyDescent="0.2">
      <c r="A17" s="68" t="s">
        <v>5</v>
      </c>
      <c r="B17" s="47">
        <f>'Regional Major'!L15+'Regional Major'!L18</f>
        <v>6996</v>
      </c>
      <c r="C17" s="47">
        <f>'Regional Major'!L16+'Regional Major'!L19</f>
        <v>7002</v>
      </c>
      <c r="D17" s="47">
        <f>SUM(B17:C17)</f>
        <v>13998</v>
      </c>
      <c r="E17" s="9">
        <f>'[1]Monthly Summary'!D17</f>
        <v>15068</v>
      </c>
      <c r="F17" s="95">
        <f t="shared" si="1"/>
        <v>-7.1011414919033719E-2</v>
      </c>
      <c r="G17" s="9">
        <f>+D17+'[2]Monthly Summary'!G17</f>
        <v>39273</v>
      </c>
      <c r="H17" s="9">
        <f>'[1]Monthly Summary'!G17</f>
        <v>41633</v>
      </c>
      <c r="I17" s="262">
        <f t="shared" si="2"/>
        <v>-5.6685802128119522E-2</v>
      </c>
    </row>
    <row r="18" spans="1:12" x14ac:dyDescent="0.2">
      <c r="A18" s="68" t="s">
        <v>10</v>
      </c>
      <c r="B18" s="47">
        <f>Charter!G10</f>
        <v>0</v>
      </c>
      <c r="C18" s="47">
        <f>Charter!G11</f>
        <v>0</v>
      </c>
      <c r="D18" s="47">
        <f t="shared" si="0"/>
        <v>0</v>
      </c>
      <c r="E18" s="9">
        <f>'[1]Monthly Summary'!D18</f>
        <v>12</v>
      </c>
      <c r="F18" s="95">
        <f t="shared" si="1"/>
        <v>-1</v>
      </c>
      <c r="G18" s="9">
        <f>+D18+'[2]Monthly Summary'!G18</f>
        <v>6</v>
      </c>
      <c r="H18" s="9">
        <f>'[1]Monthly Summary'!G18</f>
        <v>29</v>
      </c>
      <c r="I18" s="262">
        <f t="shared" si="2"/>
        <v>-0.7931034482758621</v>
      </c>
    </row>
    <row r="19" spans="1:12" x14ac:dyDescent="0.2">
      <c r="A19" s="68" t="s">
        <v>11</v>
      </c>
      <c r="B19" s="47">
        <f>Cargo!M4</f>
        <v>594</v>
      </c>
      <c r="C19" s="47">
        <f>Cargo!M5</f>
        <v>594</v>
      </c>
      <c r="D19" s="47">
        <f t="shared" si="0"/>
        <v>1188</v>
      </c>
      <c r="E19" s="9">
        <f>'[1]Monthly Summary'!D19</f>
        <v>1012</v>
      </c>
      <c r="F19" s="95">
        <f t="shared" si="1"/>
        <v>0.17391304347826086</v>
      </c>
      <c r="G19" s="9">
        <f>+D19+'[2]Monthly Summary'!G19</f>
        <v>3322</v>
      </c>
      <c r="H19" s="9">
        <f>'[1]Monthly Summary'!G19</f>
        <v>2967</v>
      </c>
      <c r="I19" s="262">
        <f t="shared" si="2"/>
        <v>0.119649477586788</v>
      </c>
    </row>
    <row r="20" spans="1:12" x14ac:dyDescent="0.2">
      <c r="A20" s="68" t="s">
        <v>159</v>
      </c>
      <c r="B20" s="47">
        <f>'[3]General Avation'!$EN$4</f>
        <v>894</v>
      </c>
      <c r="C20" s="47">
        <f>'[3]General Avation'!$EN$5</f>
        <v>895</v>
      </c>
      <c r="D20" s="47">
        <f t="shared" si="0"/>
        <v>1789</v>
      </c>
      <c r="E20" s="9">
        <f>'[1]Monthly Summary'!D20</f>
        <v>1781</v>
      </c>
      <c r="F20" s="95">
        <f t="shared" si="1"/>
        <v>4.4918585064570469E-3</v>
      </c>
      <c r="G20" s="9">
        <f>+D20+'[2]Monthly Summary'!G20</f>
        <v>4928</v>
      </c>
      <c r="H20" s="9">
        <f>'[1]Monthly Summary'!G20</f>
        <v>5060</v>
      </c>
      <c r="I20" s="262">
        <f t="shared" si="2"/>
        <v>-2.6086956521739129E-2</v>
      </c>
    </row>
    <row r="21" spans="1:12" ht="12.75" customHeight="1" x14ac:dyDescent="0.2">
      <c r="A21" s="68" t="s">
        <v>12</v>
      </c>
      <c r="B21" s="18">
        <f>'[3]Military '!$EN$4</f>
        <v>51</v>
      </c>
      <c r="C21" s="18">
        <f>'[3]Military '!$EN$5</f>
        <v>49</v>
      </c>
      <c r="D21" s="18">
        <f t="shared" si="0"/>
        <v>100</v>
      </c>
      <c r="E21" s="120">
        <f>'[1]Monthly Summary'!D21</f>
        <v>108</v>
      </c>
      <c r="F21" s="260">
        <f t="shared" si="1"/>
        <v>-7.407407407407407E-2</v>
      </c>
      <c r="G21" s="478">
        <f>+D21+'[2]Monthly Summary'!G21</f>
        <v>272</v>
      </c>
      <c r="H21" s="120">
        <f>'[1]Monthly Summary'!G21</f>
        <v>284</v>
      </c>
      <c r="I21" s="263">
        <f t="shared" si="2"/>
        <v>-4.2253521126760563E-2</v>
      </c>
    </row>
    <row r="22" spans="1:12" ht="15.75" thickBot="1" x14ac:dyDescent="0.3">
      <c r="A22" s="69" t="s">
        <v>31</v>
      </c>
      <c r="B22" s="279">
        <f>SUM(B16:B21)</f>
        <v>17601</v>
      </c>
      <c r="C22" s="279">
        <f>SUM(C16:C21)</f>
        <v>17611</v>
      </c>
      <c r="D22" s="279">
        <f>SUM(D16:D21)</f>
        <v>35212</v>
      </c>
      <c r="E22" s="279">
        <f>SUM(E16:E21)</f>
        <v>35193</v>
      </c>
      <c r="F22" s="275">
        <f t="shared" si="1"/>
        <v>5.3988008979058335E-4</v>
      </c>
      <c r="G22" s="279">
        <f>SUM(G16:G21)</f>
        <v>96988</v>
      </c>
      <c r="H22" s="279">
        <f>SUM(H16:H21)</f>
        <v>96168</v>
      </c>
      <c r="I22" s="276">
        <f t="shared" si="2"/>
        <v>8.5267448631561431E-3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3" t="s">
        <v>186</v>
      </c>
      <c r="E24" s="483" t="s">
        <v>181</v>
      </c>
      <c r="F24" s="443"/>
      <c r="G24" s="443"/>
      <c r="H24" s="443"/>
      <c r="I24" s="443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443" t="s">
        <v>2</v>
      </c>
      <c r="G25" s="443" t="s">
        <v>187</v>
      </c>
      <c r="H25" s="443" t="s">
        <v>178</v>
      </c>
      <c r="I25" s="443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7837.2079778038196</v>
      </c>
      <c r="C27" s="22">
        <f>(Cargo!M21+'Major Airline Stats'!I33+'Regional Major'!L30)*0.00045359237</f>
        <v>8092.6575928167194</v>
      </c>
      <c r="D27" s="22">
        <f>(SUM(B27:C27)+('Cargo Summary'!E17*0.00045359237))</f>
        <v>15929.865570620539</v>
      </c>
      <c r="E27" s="9">
        <f>'[1]Monthly Summary'!D27</f>
        <v>14725.248066617551</v>
      </c>
      <c r="F27" s="98">
        <f>(D27-E27)/E27</f>
        <v>8.1806262179982006E-2</v>
      </c>
      <c r="G27" s="9">
        <f>+D27+'[2]Monthly Summary'!G27</f>
        <v>41814.54190227545</v>
      </c>
      <c r="H27" s="9">
        <f>'[1]Monthly Summary'!G27</f>
        <v>44634.511151609608</v>
      </c>
      <c r="I27" s="100">
        <f>(G27-H27)/H27</f>
        <v>-6.3179122534928078E-2</v>
      </c>
    </row>
    <row r="28" spans="1:12" x14ac:dyDescent="0.2">
      <c r="A28" s="62" t="s">
        <v>18</v>
      </c>
      <c r="B28" s="22">
        <f>(Cargo!M17+'Major Airline Stats'!I29+'Regional Major'!L26)*0.00045359237</f>
        <v>313.24161294366399</v>
      </c>
      <c r="C28" s="22">
        <f>(Cargo!M22+'Major Airline Stats'!I34+'Regional Major'!L31)*0.00045359237</f>
        <v>655.79160155200998</v>
      </c>
      <c r="D28" s="22">
        <f>SUM(B28:C28)</f>
        <v>969.03321449567397</v>
      </c>
      <c r="E28" s="9">
        <f>'[1]Monthly Summary'!D28</f>
        <v>1639.62438023461</v>
      </c>
      <c r="F28" s="98">
        <f>(D28-E28)/E28</f>
        <v>-0.40899072606067416</v>
      </c>
      <c r="G28" s="9">
        <f>+D28+'[2]Monthly Summary'!G28</f>
        <v>3061.2212172351237</v>
      </c>
      <c r="H28" s="9">
        <f>'[1]Monthly Summary'!G28</f>
        <v>3563.06558870955</v>
      </c>
      <c r="I28" s="100">
        <f>(G28-H28)/H28</f>
        <v>-0.14084623450790343</v>
      </c>
    </row>
    <row r="29" spans="1:12" ht="15.75" thickBot="1" x14ac:dyDescent="0.3">
      <c r="A29" s="63" t="s">
        <v>66</v>
      </c>
      <c r="B29" s="54">
        <f>SUM(B27:B28)</f>
        <v>8150.4495907474839</v>
      </c>
      <c r="C29" s="54">
        <f>SUM(C27:C28)</f>
        <v>8748.4491943687299</v>
      </c>
      <c r="D29" s="54">
        <f>SUM(D27:D28)</f>
        <v>16898.898785116213</v>
      </c>
      <c r="E29" s="54">
        <f>SUM(E27:E28)</f>
        <v>16364.872446852161</v>
      </c>
      <c r="F29" s="99">
        <f>(D29-E29)/E29</f>
        <v>3.2632477888134913E-2</v>
      </c>
      <c r="G29" s="54">
        <f>SUM(G27:G28)</f>
        <v>44875.763119510571</v>
      </c>
      <c r="H29" s="54">
        <f>SUM(H27:H28)</f>
        <v>48197.576740319157</v>
      </c>
      <c r="I29" s="101">
        <f>(G29-H29)/H29</f>
        <v>-6.8920760035426396E-2</v>
      </c>
    </row>
    <row r="30" spans="1:12" s="7" customFormat="1" ht="4.5" customHeight="1" thickBot="1" x14ac:dyDescent="0.3">
      <c r="A30" s="59"/>
      <c r="B30" s="398"/>
      <c r="C30" s="398"/>
      <c r="D30" s="398"/>
      <c r="E30" s="398"/>
      <c r="F30" s="280"/>
      <c r="G30" s="398"/>
      <c r="H30" s="398"/>
      <c r="I30" s="280"/>
    </row>
    <row r="31" spans="1:12" ht="13.5" thickBot="1" x14ac:dyDescent="0.25">
      <c r="B31" s="482" t="s">
        <v>155</v>
      </c>
      <c r="C31" s="481"/>
      <c r="D31" s="482" t="s">
        <v>162</v>
      </c>
      <c r="E31" s="481"/>
      <c r="F31" s="421"/>
      <c r="G31" s="423"/>
      <c r="H31" s="420"/>
      <c r="I31" s="420"/>
    </row>
    <row r="32" spans="1:12" x14ac:dyDescent="0.2">
      <c r="A32" s="402" t="s">
        <v>156</v>
      </c>
      <c r="B32" s="403">
        <f>C8-B33</f>
        <v>998582</v>
      </c>
      <c r="C32" s="404">
        <f>B32/C8</f>
        <v>0.6188565634931259</v>
      </c>
      <c r="D32" s="405">
        <f>+B32+'[2]Monthly Summary'!$D$32</f>
        <v>2575693</v>
      </c>
      <c r="E32" s="406">
        <f>+D32/D34</f>
        <v>0.61165086815619185</v>
      </c>
      <c r="G32" s="430"/>
      <c r="H32" s="420"/>
      <c r="I32" s="419"/>
    </row>
    <row r="33" spans="1:14" ht="13.5" thickBot="1" x14ac:dyDescent="0.25">
      <c r="A33" s="407" t="s">
        <v>157</v>
      </c>
      <c r="B33" s="408">
        <f>'Major Airline Stats'!I51+'Regional Major'!L45</f>
        <v>615010</v>
      </c>
      <c r="C33" s="409">
        <f>+B33/C8</f>
        <v>0.3811434365068741</v>
      </c>
      <c r="D33" s="410">
        <f>+B33+'[2]Monthly Summary'!$D$33</f>
        <v>1635358</v>
      </c>
      <c r="E33" s="411">
        <f>+D33/D34</f>
        <v>0.38834913184380809</v>
      </c>
      <c r="G33" s="420"/>
      <c r="H33" s="420"/>
      <c r="I33" s="419"/>
    </row>
    <row r="34" spans="1:14" ht="13.5" thickBot="1" x14ac:dyDescent="0.25">
      <c r="B34" s="314"/>
      <c r="D34" s="412">
        <f>SUM(D32:D33)</f>
        <v>4211051</v>
      </c>
    </row>
    <row r="35" spans="1:14" ht="13.5" thickBot="1" x14ac:dyDescent="0.25">
      <c r="B35" s="480" t="s">
        <v>216</v>
      </c>
      <c r="C35" s="481"/>
      <c r="D35" s="482" t="s">
        <v>188</v>
      </c>
      <c r="E35" s="481"/>
    </row>
    <row r="36" spans="1:14" x14ac:dyDescent="0.2">
      <c r="A36" s="402" t="s">
        <v>156</v>
      </c>
      <c r="B36" s="403">
        <f>'[1]Monthly Summary'!$B$32</f>
        <v>960860</v>
      </c>
      <c r="C36" s="404">
        <f>+B36/B38</f>
        <v>0.60674411306154896</v>
      </c>
      <c r="D36" s="405">
        <f>'[1]Monthly Summary'!$D$32</f>
        <v>2455274</v>
      </c>
      <c r="E36" s="406">
        <f>+D36/D38</f>
        <v>0.60117489029476567</v>
      </c>
    </row>
    <row r="37" spans="1:14" ht="13.5" thickBot="1" x14ac:dyDescent="0.25">
      <c r="A37" s="407" t="s">
        <v>157</v>
      </c>
      <c r="B37" s="408">
        <f>'[1]Monthly Summary'!$B$33</f>
        <v>622773</v>
      </c>
      <c r="C37" s="411">
        <f>+B37/B38</f>
        <v>0.39325588693845104</v>
      </c>
      <c r="D37" s="410">
        <f>'[1]Monthly Summary'!$D$33</f>
        <v>1628852</v>
      </c>
      <c r="E37" s="411">
        <f>+D37/D38</f>
        <v>0.39882510970523438</v>
      </c>
    </row>
    <row r="38" spans="1:14" x14ac:dyDescent="0.2">
      <c r="B38" s="429">
        <f>+SUM(B36:B37)</f>
        <v>1583633</v>
      </c>
      <c r="D38" s="412">
        <f>SUM(D36:D37)</f>
        <v>4084126</v>
      </c>
    </row>
    <row r="39" spans="1:14" x14ac:dyDescent="0.2">
      <c r="A39" s="416" t="s">
        <v>158</v>
      </c>
    </row>
    <row r="40" spans="1:14" x14ac:dyDescent="0.2">
      <c r="A40" s="229" t="s">
        <v>160</v>
      </c>
      <c r="I40" s="2"/>
    </row>
    <row r="41" spans="1:14" x14ac:dyDescent="0.2">
      <c r="N41" s="417"/>
    </row>
    <row r="42" spans="1:14" x14ac:dyDescent="0.2">
      <c r="G42" s="2"/>
      <c r="N42" s="417"/>
    </row>
    <row r="43" spans="1:14" x14ac:dyDescent="0.2">
      <c r="J43" s="2"/>
      <c r="N43" s="417"/>
    </row>
    <row r="44" spans="1:14" x14ac:dyDescent="0.2">
      <c r="N44" s="417"/>
    </row>
    <row r="45" spans="1:14" x14ac:dyDescent="0.2">
      <c r="J45" s="2"/>
      <c r="N45" s="417"/>
    </row>
    <row r="46" spans="1:14" x14ac:dyDescent="0.2">
      <c r="B46" s="2"/>
      <c r="F46" s="314"/>
    </row>
    <row r="47" spans="1:14" x14ac:dyDescent="0.2">
      <c r="N47" s="417"/>
    </row>
    <row r="51" spans="12:12" x14ac:dyDescent="0.2">
      <c r="L51" s="41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March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1"/>
  <sheetViews>
    <sheetView zoomScaleNormal="100" zoomScaleSheetLayoutView="85" workbookViewId="0">
      <selection activeCell="M7" sqref="M7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0" s="224" customFormat="1" ht="26.25" thickBot="1" x14ac:dyDescent="0.25">
      <c r="A1" s="518" t="s">
        <v>140</v>
      </c>
      <c r="B1" s="519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5" t="s">
        <v>144</v>
      </c>
      <c r="K1" s="526"/>
      <c r="L1" s="270" t="s">
        <v>193</v>
      </c>
      <c r="M1" s="389" t="s">
        <v>147</v>
      </c>
      <c r="N1" s="271" t="s">
        <v>176</v>
      </c>
      <c r="O1" s="348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0">
        <v>42430</v>
      </c>
      <c r="B2" s="521"/>
      <c r="C2" s="522" t="s">
        <v>9</v>
      </c>
      <c r="D2" s="523"/>
      <c r="E2" s="523"/>
      <c r="F2" s="523"/>
      <c r="G2" s="523"/>
      <c r="H2" s="523"/>
      <c r="I2" s="524"/>
      <c r="J2" s="520">
        <v>42430</v>
      </c>
      <c r="K2" s="521"/>
      <c r="L2" s="515" t="s">
        <v>146</v>
      </c>
      <c r="M2" s="516"/>
      <c r="N2" s="516"/>
      <c r="O2" s="516"/>
      <c r="P2" s="516"/>
      <c r="Q2" s="516"/>
      <c r="R2" s="517"/>
    </row>
    <row r="3" spans="1:20" x14ac:dyDescent="0.2">
      <c r="A3" s="349"/>
      <c r="B3" s="350"/>
      <c r="C3" s="351"/>
      <c r="D3" s="352"/>
      <c r="E3" s="353"/>
      <c r="F3" s="354"/>
      <c r="G3" s="424"/>
      <c r="H3" s="425"/>
      <c r="I3" s="354"/>
      <c r="J3" s="355"/>
      <c r="K3" s="350"/>
      <c r="L3" s="351"/>
      <c r="M3" s="352"/>
      <c r="N3" s="353"/>
      <c r="O3" s="354"/>
      <c r="P3" s="356"/>
      <c r="Q3" s="356"/>
      <c r="R3" s="350"/>
    </row>
    <row r="4" spans="1:20" ht="14.1" customHeight="1" x14ac:dyDescent="0.2">
      <c r="A4" s="357" t="s">
        <v>105</v>
      </c>
      <c r="B4" s="55"/>
      <c r="C4" s="358">
        <f>SUM(C5:C7)</f>
        <v>180</v>
      </c>
      <c r="D4" s="359">
        <f>C4/$C$57</f>
        <v>5.6013692235879885E-3</v>
      </c>
      <c r="E4" s="360">
        <f>SUM(E5:E7)</f>
        <v>180</v>
      </c>
      <c r="F4" s="361">
        <f>(C4-E4)/E4</f>
        <v>0</v>
      </c>
      <c r="G4" s="358">
        <f>SUM(G5:G7)</f>
        <v>522</v>
      </c>
      <c r="H4" s="360">
        <f>SUM(H5:H7)</f>
        <v>516</v>
      </c>
      <c r="I4" s="361">
        <f>(G4-H4)/H4</f>
        <v>1.1627906976744186E-2</v>
      </c>
      <c r="J4" s="357" t="s">
        <v>105</v>
      </c>
      <c r="K4" s="55"/>
      <c r="L4" s="358">
        <f>SUM(L5:L7)</f>
        <v>7341</v>
      </c>
      <c r="M4" s="359">
        <f>L4/$L$57</f>
        <v>2.2814219962520163E-3</v>
      </c>
      <c r="N4" s="360">
        <f>SUM(N5:N7)</f>
        <v>7318</v>
      </c>
      <c r="O4" s="361">
        <f>(L4-N4)/N4</f>
        <v>3.1429352282044275E-3</v>
      </c>
      <c r="P4" s="358">
        <f>SUM(P5:P7)</f>
        <v>19987</v>
      </c>
      <c r="Q4" s="360">
        <f>SUM(Q5:Q7)</f>
        <v>18775</v>
      </c>
      <c r="R4" s="361">
        <f>(P4-Q4)/Q4</f>
        <v>6.4553928095872168E-2</v>
      </c>
      <c r="T4" s="20"/>
    </row>
    <row r="5" spans="1:20" ht="14.1" customHeight="1" x14ac:dyDescent="0.2">
      <c r="A5" s="357"/>
      <c r="B5" s="444" t="s">
        <v>105</v>
      </c>
      <c r="C5" s="362">
        <v>0</v>
      </c>
      <c r="D5" s="39">
        <f>C5/$C$57</f>
        <v>0</v>
      </c>
      <c r="E5" s="9">
        <v>0</v>
      </c>
      <c r="F5" s="86" t="e">
        <f>(C5-E5)/E5</f>
        <v>#DIV/0!</v>
      </c>
      <c r="G5" s="300">
        <v>0</v>
      </c>
      <c r="H5" s="300">
        <v>0</v>
      </c>
      <c r="I5" s="453" t="e">
        <f>(G5-H5)/H5</f>
        <v>#DIV/0!</v>
      </c>
      <c r="J5" s="357"/>
      <c r="K5" s="444" t="s">
        <v>105</v>
      </c>
      <c r="L5" s="451">
        <v>0</v>
      </c>
      <c r="M5" s="452">
        <f>L5/$L$57</f>
        <v>0</v>
      </c>
      <c r="N5" s="300">
        <v>0</v>
      </c>
      <c r="O5" s="453" t="e">
        <f>(L5-N5)/N5</f>
        <v>#DIV/0!</v>
      </c>
      <c r="P5" s="300">
        <v>0</v>
      </c>
      <c r="Q5" s="300">
        <v>0</v>
      </c>
      <c r="R5" s="453" t="e">
        <f>(P5-Q5)/Q5</f>
        <v>#DIV/0!</v>
      </c>
      <c r="T5" s="20"/>
    </row>
    <row r="6" spans="1:20" ht="14.1" customHeight="1" x14ac:dyDescent="0.2">
      <c r="A6" s="357"/>
      <c r="B6" s="444" t="s">
        <v>195</v>
      </c>
      <c r="C6" s="451">
        <f>'[3]Jazz Air'!$EN$19</f>
        <v>0</v>
      </c>
      <c r="D6" s="452">
        <f>C6/$C$57</f>
        <v>0</v>
      </c>
      <c r="E6" s="300">
        <f>[3]AirCanada!$DZ$19</f>
        <v>180</v>
      </c>
      <c r="F6" s="453">
        <f>(C6-E6)/E6</f>
        <v>-1</v>
      </c>
      <c r="G6" s="300">
        <f>SUM('[3]Jazz Air'!$EL$19:$EN$19)</f>
        <v>185</v>
      </c>
      <c r="H6" s="300">
        <f>SUM('[3]Jazz Air'!$DX$19:$DZ$19)</f>
        <v>516</v>
      </c>
      <c r="I6" s="453">
        <f>(G6-H6)/H6</f>
        <v>-0.64147286821705429</v>
      </c>
      <c r="J6" s="454"/>
      <c r="K6" s="444" t="s">
        <v>195</v>
      </c>
      <c r="L6" s="451">
        <f>'[3]Jazz Air'!$EN$41</f>
        <v>0</v>
      </c>
      <c r="M6" s="452">
        <f>L6/$L$57</f>
        <v>0</v>
      </c>
      <c r="N6" s="300">
        <f>[3]AirCanada!$DZ$41</f>
        <v>7318</v>
      </c>
      <c r="O6" s="453">
        <f>(L6-N6)/N6</f>
        <v>-1</v>
      </c>
      <c r="P6" s="300">
        <f>SUM('[3]Jazz Air'!$EL$41:$EN$41)</f>
        <v>6759</v>
      </c>
      <c r="Q6" s="300">
        <f>SUM([3]AirCanada!$DX$41:$DZ$41)</f>
        <v>18775</v>
      </c>
      <c r="R6" s="453">
        <f>(P6-Q6)/Q6</f>
        <v>-0.64</v>
      </c>
      <c r="T6" s="20"/>
    </row>
    <row r="7" spans="1:20" ht="14.1" customHeight="1" x14ac:dyDescent="0.2">
      <c r="A7" s="357"/>
      <c r="B7" s="444" t="s">
        <v>196</v>
      </c>
      <c r="C7" s="362">
        <f>'[3]Air Georgian'!$EN$19</f>
        <v>180</v>
      </c>
      <c r="D7" s="39">
        <f>C7/$C$57</f>
        <v>5.6013692235879885E-3</v>
      </c>
      <c r="E7" s="9">
        <f>'[3]Air Georgian'!$DZ$19</f>
        <v>0</v>
      </c>
      <c r="F7" s="86" t="e">
        <f>(C7-E7)/E7</f>
        <v>#DIV/0!</v>
      </c>
      <c r="G7" s="300">
        <f>SUM('[3]Air Georgian'!$EL$19:$EN$19)</f>
        <v>337</v>
      </c>
      <c r="H7" s="300">
        <f>SUM('[3]Air Georgian'!$DX$19:$DZ$19)</f>
        <v>0</v>
      </c>
      <c r="I7" s="453" t="e">
        <f>(G7-H7)/H7</f>
        <v>#DIV/0!</v>
      </c>
      <c r="J7" s="357"/>
      <c r="K7" s="444" t="s">
        <v>196</v>
      </c>
      <c r="L7" s="362">
        <f>'[3]Air Georgian'!$EN$41</f>
        <v>7341</v>
      </c>
      <c r="M7" s="39">
        <f>L7/$L$57</f>
        <v>2.2814219962520163E-3</v>
      </c>
      <c r="N7" s="9">
        <f>'[3]Air Georgian'!$DZ$41</f>
        <v>0</v>
      </c>
      <c r="O7" s="86" t="e">
        <f>(L7-N7)/N7</f>
        <v>#DIV/0!</v>
      </c>
      <c r="P7" s="9">
        <f>SUM('[3]Air Georgian'!$EL$41:$EN$41)</f>
        <v>13228</v>
      </c>
      <c r="Q7" s="9">
        <f>SUM('[3]Air Georgian'!$DX$41:$DZ$41)</f>
        <v>0</v>
      </c>
      <c r="R7" s="86" t="e">
        <f>(P7-Q7)/Q7</f>
        <v>#DIV/0!</v>
      </c>
      <c r="T7" s="20"/>
    </row>
    <row r="8" spans="1:20" ht="14.1" customHeight="1" x14ac:dyDescent="0.2">
      <c r="A8" s="357"/>
      <c r="B8" s="55"/>
      <c r="C8" s="358"/>
      <c r="D8" s="359"/>
      <c r="E8" s="360"/>
      <c r="F8" s="361"/>
      <c r="G8" s="360"/>
      <c r="H8" s="360"/>
      <c r="I8" s="361"/>
      <c r="J8" s="357"/>
      <c r="K8" s="55"/>
      <c r="L8" s="362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7" t="s">
        <v>168</v>
      </c>
      <c r="B9" s="55"/>
      <c r="C9" s="358">
        <f>'[3]Air France'!$EN$19</f>
        <v>0</v>
      </c>
      <c r="D9" s="359">
        <f>C9/$C$57</f>
        <v>0</v>
      </c>
      <c r="E9" s="360">
        <f>'[3]Air France'!$DZ$19</f>
        <v>0</v>
      </c>
      <c r="F9" s="361" t="e">
        <f>(C9-E9)/E9</f>
        <v>#DIV/0!</v>
      </c>
      <c r="G9" s="360">
        <f>SUM('[3]Air France'!$EL$19:$EN$19)</f>
        <v>0</v>
      </c>
      <c r="H9" s="360">
        <f>SUM('[3]Air France'!$DX$19:$DZ$19)</f>
        <v>0</v>
      </c>
      <c r="I9" s="361" t="e">
        <f>(G9-H9)/H9</f>
        <v>#DIV/0!</v>
      </c>
      <c r="J9" s="357" t="s">
        <v>168</v>
      </c>
      <c r="K9" s="55"/>
      <c r="L9" s="358">
        <f>'[3]Air France'!$EN$41</f>
        <v>0</v>
      </c>
      <c r="M9" s="359">
        <f>L9/$L$57</f>
        <v>0</v>
      </c>
      <c r="N9" s="360">
        <f>'[3]Air France'!$DZ$41</f>
        <v>0</v>
      </c>
      <c r="O9" s="361" t="e">
        <f>(L9-N9)/N9</f>
        <v>#DIV/0!</v>
      </c>
      <c r="P9" s="360">
        <f>SUM('[3]Air France'!$EL$41:$EN$41)</f>
        <v>0</v>
      </c>
      <c r="Q9" s="360">
        <f>SUM('[3]Air France'!$DX$41:$DZ$41)</f>
        <v>0</v>
      </c>
      <c r="R9" s="361" t="e">
        <f>(P9-Q9)/Q9</f>
        <v>#DIV/0!</v>
      </c>
      <c r="T9" s="20"/>
    </row>
    <row r="10" spans="1:20" ht="14.1" customHeight="1" x14ac:dyDescent="0.2">
      <c r="A10" s="357"/>
      <c r="B10" s="55"/>
      <c r="C10" s="358"/>
      <c r="D10" s="359"/>
      <c r="E10" s="360"/>
      <c r="F10" s="361"/>
      <c r="G10" s="360"/>
      <c r="H10" s="360"/>
      <c r="I10" s="361"/>
      <c r="J10" s="357"/>
      <c r="K10" s="55"/>
      <c r="L10" s="362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7" t="s">
        <v>135</v>
      </c>
      <c r="B11" s="55"/>
      <c r="C11" s="358">
        <f>SUM(C12:C13)</f>
        <v>184</v>
      </c>
      <c r="D11" s="359">
        <f>C11/$C$57</f>
        <v>5.7258440952232771E-3</v>
      </c>
      <c r="E11" s="360">
        <f>SUM(E12:E13)</f>
        <v>110</v>
      </c>
      <c r="F11" s="361">
        <f>(C11-E11)/E11</f>
        <v>0.67272727272727273</v>
      </c>
      <c r="G11" s="360">
        <f>SUM(G12:G13)</f>
        <v>450</v>
      </c>
      <c r="H11" s="360">
        <f>SUM(H12:H13)</f>
        <v>238</v>
      </c>
      <c r="I11" s="361">
        <f>(G11-H11)/H11</f>
        <v>0.89075630252100846</v>
      </c>
      <c r="J11" s="357" t="s">
        <v>135</v>
      </c>
      <c r="K11" s="55"/>
      <c r="L11" s="358">
        <f>SUM(L12:L13)</f>
        <v>23354</v>
      </c>
      <c r="M11" s="359">
        <f>L11/$L$57</f>
        <v>7.2579116333564347E-3</v>
      </c>
      <c r="N11" s="360">
        <f>SUM(N12:N13)</f>
        <v>14840</v>
      </c>
      <c r="O11" s="361">
        <f>(L11-N11)/N11</f>
        <v>0.57371967654986522</v>
      </c>
      <c r="P11" s="360">
        <f>SUM(P12:P13)</f>
        <v>59730</v>
      </c>
      <c r="Q11" s="360">
        <f>SUM(Q12:Q13)</f>
        <v>31772</v>
      </c>
      <c r="R11" s="361">
        <f>(P11-Q11)/Q11</f>
        <v>0.87995719501447811</v>
      </c>
      <c r="T11" s="20"/>
    </row>
    <row r="12" spans="1:20" ht="14.1" customHeight="1" x14ac:dyDescent="0.2">
      <c r="A12" s="357"/>
      <c r="B12" s="444" t="s">
        <v>135</v>
      </c>
      <c r="C12" s="451">
        <f>[3]Alaska!$EN$19</f>
        <v>124</v>
      </c>
      <c r="D12" s="452">
        <f>C12/$C$57</f>
        <v>3.8587210206939473E-3</v>
      </c>
      <c r="E12" s="300">
        <f>[3]Alaska!$DZ$19</f>
        <v>110</v>
      </c>
      <c r="F12" s="453">
        <f>(C12-E12)/E12</f>
        <v>0.12727272727272726</v>
      </c>
      <c r="G12" s="300">
        <f>SUM([3]Alaska!$EL$19:$EN$19)</f>
        <v>390</v>
      </c>
      <c r="H12" s="300">
        <f>SUM([3]Alaska!$DX$19:$DZ$19)</f>
        <v>238</v>
      </c>
      <c r="I12" s="453">
        <f>(G12-H12)/H12</f>
        <v>0.6386554621848739</v>
      </c>
      <c r="J12" s="357"/>
      <c r="K12" s="444" t="s">
        <v>135</v>
      </c>
      <c r="L12" s="451">
        <f>[3]Alaska!$EN$41</f>
        <v>19359</v>
      </c>
      <c r="M12" s="452">
        <f>L12/$L$57</f>
        <v>6.0163531433650433E-3</v>
      </c>
      <c r="N12" s="300">
        <f>[3]Alaska!$DZ$41</f>
        <v>14840</v>
      </c>
      <c r="O12" s="453">
        <f>(L12-N12)/N12</f>
        <v>0.30451482479784364</v>
      </c>
      <c r="P12" s="300">
        <f>SUM([3]Alaska!$EL$41:$EN$41)</f>
        <v>55735</v>
      </c>
      <c r="Q12" s="300">
        <f>SUM([3]Alaska!$DX$41:$DZ$41)</f>
        <v>31772</v>
      </c>
      <c r="R12" s="453">
        <f>(P12-Q12)/Q12</f>
        <v>0.75421755004406399</v>
      </c>
      <c r="T12" s="20"/>
    </row>
    <row r="13" spans="1:20" ht="14.1" customHeight="1" x14ac:dyDescent="0.2">
      <c r="A13" s="357"/>
      <c r="B13" s="444" t="s">
        <v>104</v>
      </c>
      <c r="C13" s="362">
        <f>'[3]Sky West_AS'!$EN$19</f>
        <v>60</v>
      </c>
      <c r="D13" s="39">
        <f>C13/$C$57</f>
        <v>1.8671230745293294E-3</v>
      </c>
      <c r="E13" s="9">
        <f>'[3]Sky West_AS'!$DZ$19</f>
        <v>0</v>
      </c>
      <c r="F13" s="86" t="e">
        <f>(C13-E13)/E13</f>
        <v>#DIV/0!</v>
      </c>
      <c r="G13" s="9">
        <f>SUM('[3]Sky West_AS'!$EL$19:$EN$19)</f>
        <v>60</v>
      </c>
      <c r="H13" s="9">
        <f>SUM('[3]Sky West_AS'!$DX$19:$DZ$19)</f>
        <v>0</v>
      </c>
      <c r="I13" s="86" t="e">
        <f>(G13-H13)/H13</f>
        <v>#DIV/0!</v>
      </c>
      <c r="J13" s="357"/>
      <c r="K13" s="444" t="s">
        <v>104</v>
      </c>
      <c r="L13" s="362">
        <f>'[3]Sky West_AS'!$EN$41</f>
        <v>3995</v>
      </c>
      <c r="M13" s="39">
        <f>L13/$L$57</f>
        <v>1.2415584899913915E-3</v>
      </c>
      <c r="N13" s="9">
        <f>'[3]Sky West_AS'!$DZ$41</f>
        <v>0</v>
      </c>
      <c r="O13" s="86" t="e">
        <f>(L13-N13)/N13</f>
        <v>#DIV/0!</v>
      </c>
      <c r="P13" s="9">
        <f>SUM('[3]Sky West_AS'!$EL$41:$EN$41)</f>
        <v>3995</v>
      </c>
      <c r="Q13" s="9">
        <f>SUM('[3]Sky West_AS'!$DX$41:$DZ$41)</f>
        <v>0</v>
      </c>
      <c r="R13" s="86" t="e">
        <f>(P13-Q13)/Q13</f>
        <v>#DIV/0!</v>
      </c>
      <c r="T13" s="20"/>
    </row>
    <row r="14" spans="1:20" ht="14.1" customHeight="1" x14ac:dyDescent="0.2">
      <c r="A14" s="357"/>
      <c r="B14" s="55"/>
      <c r="C14" s="358"/>
      <c r="D14" s="359"/>
      <c r="E14" s="363"/>
      <c r="F14" s="361"/>
      <c r="G14" s="363"/>
      <c r="H14" s="363"/>
      <c r="I14" s="361"/>
      <c r="J14" s="357"/>
      <c r="K14" s="55"/>
      <c r="L14" s="364"/>
      <c r="M14" s="39"/>
      <c r="N14" s="146"/>
      <c r="O14" s="86"/>
      <c r="P14" s="146"/>
      <c r="Q14" s="146"/>
      <c r="R14" s="86"/>
      <c r="T14" s="20"/>
    </row>
    <row r="15" spans="1:20" ht="14.1" customHeight="1" x14ac:dyDescent="0.2">
      <c r="A15" s="357" t="s">
        <v>19</v>
      </c>
      <c r="B15" s="365"/>
      <c r="C15" s="358">
        <f>SUM(C16:C21)</f>
        <v>1765</v>
      </c>
      <c r="D15" s="359">
        <f t="shared" ref="D15:D21" si="0">C15/$C$57</f>
        <v>5.4924537109071109E-2</v>
      </c>
      <c r="E15" s="360">
        <f>SUM(E16:E21)</f>
        <v>1667</v>
      </c>
      <c r="F15" s="361">
        <f t="shared" ref="F15:F21" si="1">(C15-E15)/E15</f>
        <v>5.8788242351529692E-2</v>
      </c>
      <c r="G15" s="358">
        <f>SUM(G16:G21)</f>
        <v>5048</v>
      </c>
      <c r="H15" s="360">
        <f>SUM(H16:H21)</f>
        <v>4861</v>
      </c>
      <c r="I15" s="361">
        <f t="shared" ref="I15:I21" si="2">(G15-H15)/H15</f>
        <v>3.8469450730302404E-2</v>
      </c>
      <c r="J15" s="357" t="s">
        <v>19</v>
      </c>
      <c r="K15" s="365"/>
      <c r="L15" s="358">
        <f>SUM(L16:L21)</f>
        <v>202875</v>
      </c>
      <c r="M15" s="359">
        <f t="shared" ref="M15:M21" si="3">L15/$L$57</f>
        <v>6.3049106046809397E-2</v>
      </c>
      <c r="N15" s="360">
        <f>SUM(N16:N21)</f>
        <v>200104</v>
      </c>
      <c r="O15" s="361">
        <f t="shared" ref="O15:O21" si="4">(L15-N15)/N15</f>
        <v>1.3847799144444889E-2</v>
      </c>
      <c r="P15" s="358">
        <f>SUM(P16:P21)</f>
        <v>568947</v>
      </c>
      <c r="Q15" s="360">
        <f>SUM(Q16:Q21)</f>
        <v>564911</v>
      </c>
      <c r="R15" s="361">
        <f t="shared" ref="R15:R21" si="5">(P15-Q15)/Q15</f>
        <v>7.1444882468211807E-3</v>
      </c>
      <c r="T15" s="20"/>
    </row>
    <row r="16" spans="1:20" ht="14.1" customHeight="1" x14ac:dyDescent="0.2">
      <c r="A16" s="53"/>
      <c r="B16" s="366" t="s">
        <v>19</v>
      </c>
      <c r="C16" s="362">
        <f>[3]American!$EN$19</f>
        <v>1431</v>
      </c>
      <c r="D16" s="39">
        <f t="shared" si="0"/>
        <v>4.4530885327524507E-2</v>
      </c>
      <c r="E16" s="9">
        <f>[3]American!$DZ$19</f>
        <v>757</v>
      </c>
      <c r="F16" s="86">
        <f t="shared" si="1"/>
        <v>0.89035667107001326</v>
      </c>
      <c r="G16" s="9">
        <f>SUM([3]American!$EL$19:$EN$19)</f>
        <v>4230</v>
      </c>
      <c r="H16" s="9">
        <f>SUM([3]American!$DX$19:$DZ$19)</f>
        <v>2085</v>
      </c>
      <c r="I16" s="86">
        <f t="shared" si="2"/>
        <v>1.0287769784172662</v>
      </c>
      <c r="J16" s="53"/>
      <c r="K16" s="366" t="s">
        <v>19</v>
      </c>
      <c r="L16" s="362">
        <f>[3]American!$EN$41</f>
        <v>185017</v>
      </c>
      <c r="M16" s="39">
        <f t="shared" si="3"/>
        <v>5.7499230824214584E-2</v>
      </c>
      <c r="N16" s="9">
        <f>[3]American!$DZ$41</f>
        <v>95400</v>
      </c>
      <c r="O16" s="86">
        <f t="shared" si="4"/>
        <v>0.93938155136268342</v>
      </c>
      <c r="P16" s="9">
        <f>SUM([3]American!$EL$41:$EN$41)</f>
        <v>528535</v>
      </c>
      <c r="Q16" s="9">
        <f>SUM([3]American!$DX$41:$DZ$41)</f>
        <v>253734</v>
      </c>
      <c r="R16" s="86">
        <f t="shared" si="5"/>
        <v>1.0830278953549781</v>
      </c>
      <c r="T16" s="20"/>
    </row>
    <row r="17" spans="1:23" ht="14.1" customHeight="1" x14ac:dyDescent="0.2">
      <c r="A17" s="53"/>
      <c r="B17" s="442" t="s">
        <v>22</v>
      </c>
      <c r="C17" s="362">
        <f>'[3]US Airways'!$EN$19</f>
        <v>0</v>
      </c>
      <c r="D17" s="39">
        <f t="shared" si="0"/>
        <v>0</v>
      </c>
      <c r="E17" s="9">
        <f>'[3]US Airways'!$DZ$19</f>
        <v>717</v>
      </c>
      <c r="F17" s="86">
        <f t="shared" si="1"/>
        <v>-1</v>
      </c>
      <c r="G17" s="9">
        <f>SUM('[3]US Airways'!$EL$19:$EN$19)</f>
        <v>0</v>
      </c>
      <c r="H17" s="9">
        <f>SUM('[3]US Airways'!$DX$19:$DZ$19)</f>
        <v>2098</v>
      </c>
      <c r="I17" s="86">
        <f t="shared" si="2"/>
        <v>-1</v>
      </c>
      <c r="J17" s="373"/>
      <c r="K17" s="366" t="s">
        <v>22</v>
      </c>
      <c r="L17" s="362">
        <f>'[3]US Airways'!$EN$41</f>
        <v>0</v>
      </c>
      <c r="M17" s="39">
        <f t="shared" si="3"/>
        <v>0</v>
      </c>
      <c r="N17" s="9">
        <f>'[3]US Airways'!$DZ$41</f>
        <v>92131</v>
      </c>
      <c r="O17" s="86">
        <f t="shared" si="4"/>
        <v>-1</v>
      </c>
      <c r="P17" s="9">
        <f>SUM('[3]US Airways'!$EL$41:$EN$41)</f>
        <v>0</v>
      </c>
      <c r="Q17" s="9">
        <f>SUM('[3]US Airways'!$DX$41:$DZ$41)</f>
        <v>269550</v>
      </c>
      <c r="R17" s="86">
        <f t="shared" si="5"/>
        <v>-1</v>
      </c>
      <c r="T17" s="20"/>
    </row>
    <row r="18" spans="1:23" ht="14.1" customHeight="1" x14ac:dyDescent="0.2">
      <c r="A18" s="53"/>
      <c r="B18" s="442" t="s">
        <v>197</v>
      </c>
      <c r="C18" s="362">
        <f>'[3]American Eagle'!$EN$19</f>
        <v>34</v>
      </c>
      <c r="D18" s="39">
        <f t="shared" si="0"/>
        <v>1.0580364088999532E-3</v>
      </c>
      <c r="E18" s="9">
        <f>'[3]American Eagle'!$DZ$19</f>
        <v>168</v>
      </c>
      <c r="F18" s="86">
        <f t="shared" si="1"/>
        <v>-0.79761904761904767</v>
      </c>
      <c r="G18" s="9">
        <f>SUM('[3]American Eagle'!$EL$19:$EN$19)</f>
        <v>62</v>
      </c>
      <c r="H18" s="9">
        <f>SUM('[3]American Eagle'!$DX$19:$DZ$19)</f>
        <v>564</v>
      </c>
      <c r="I18" s="86">
        <f t="shared" si="2"/>
        <v>-0.89007092198581561</v>
      </c>
      <c r="J18" s="53"/>
      <c r="K18" s="442" t="s">
        <v>197</v>
      </c>
      <c r="L18" s="362">
        <f>'[3]American Eagle'!$EN$41</f>
        <v>1587</v>
      </c>
      <c r="M18" s="39">
        <f t="shared" si="3"/>
        <v>4.9320483695027245E-4</v>
      </c>
      <c r="N18" s="9">
        <f>'[3]American Eagle'!$DZ$41</f>
        <v>10987</v>
      </c>
      <c r="O18" s="86">
        <f t="shared" si="4"/>
        <v>-0.85555656685173387</v>
      </c>
      <c r="P18" s="9">
        <f>SUM('[3]American Eagle'!$EL$41:$EN$41)</f>
        <v>3036</v>
      </c>
      <c r="Q18" s="9">
        <f>SUM('[3]American Eagle'!$DX$41:$DZ$41)</f>
        <v>34472</v>
      </c>
      <c r="R18" s="86">
        <f t="shared" si="5"/>
        <v>-0.91192852169877003</v>
      </c>
      <c r="T18" s="20"/>
    </row>
    <row r="19" spans="1:23" ht="14.1" customHeight="1" x14ac:dyDescent="0.2">
      <c r="A19" s="53"/>
      <c r="B19" s="442" t="s">
        <v>56</v>
      </c>
      <c r="C19" s="362">
        <f>[3]Republic!$EN$19</f>
        <v>284</v>
      </c>
      <c r="D19" s="39">
        <f t="shared" si="0"/>
        <v>8.8377158861054923E-3</v>
      </c>
      <c r="E19" s="9">
        <f>[3]Republic!$DZ$19</f>
        <v>25</v>
      </c>
      <c r="F19" s="86">
        <f t="shared" si="1"/>
        <v>10.36</v>
      </c>
      <c r="G19" s="9">
        <f>SUM([3]Republic!$EL$19:$EN$19)</f>
        <v>642</v>
      </c>
      <c r="H19" s="9">
        <f>SUM([3]Republic!$DX$19:$DZ$19)</f>
        <v>102</v>
      </c>
      <c r="I19" s="86">
        <f t="shared" si="2"/>
        <v>5.2941176470588234</v>
      </c>
      <c r="J19" s="373"/>
      <c r="K19" s="368" t="s">
        <v>56</v>
      </c>
      <c r="L19" s="362">
        <f>[3]Republic!$EN$41</f>
        <v>15784</v>
      </c>
      <c r="M19" s="39">
        <f t="shared" si="3"/>
        <v>4.9053214533226839E-3</v>
      </c>
      <c r="N19" s="9">
        <f>[3]Republic!$DZ$41</f>
        <v>1586</v>
      </c>
      <c r="O19" s="86">
        <f t="shared" si="4"/>
        <v>8.9520807061790677</v>
      </c>
      <c r="P19" s="9">
        <f>SUM([3]Republic!$EL$41:$EN$41)</f>
        <v>32670</v>
      </c>
      <c r="Q19" s="9">
        <f>SUM([3]Republic!$DX$41:$DZ$41)</f>
        <v>6458</v>
      </c>
      <c r="R19" s="86">
        <f t="shared" si="5"/>
        <v>4.0588417466707956</v>
      </c>
      <c r="T19" s="20"/>
    </row>
    <row r="20" spans="1:23" ht="14.1" customHeight="1" x14ac:dyDescent="0.2">
      <c r="A20" s="53"/>
      <c r="B20" s="442" t="s">
        <v>55</v>
      </c>
      <c r="C20" s="362">
        <f>[3]MESA!$EN$19</f>
        <v>0</v>
      </c>
      <c r="D20" s="39">
        <f t="shared" si="0"/>
        <v>0</v>
      </c>
      <c r="E20" s="9">
        <f>[3]MESA!$DZ$19</f>
        <v>0</v>
      </c>
      <c r="F20" s="86" t="e">
        <f t="shared" si="1"/>
        <v>#DIV/0!</v>
      </c>
      <c r="G20" s="9">
        <f>SUM([3]MESA!$EL$19:$EN$19)</f>
        <v>14</v>
      </c>
      <c r="H20" s="9">
        <f>SUM([3]MESA!$DX$19:$DZ$19)</f>
        <v>12</v>
      </c>
      <c r="I20" s="86">
        <f t="shared" si="2"/>
        <v>0.16666666666666666</v>
      </c>
      <c r="J20" s="373"/>
      <c r="K20" s="442" t="s">
        <v>55</v>
      </c>
      <c r="L20" s="362">
        <f>[3]MESA!$EN$41</f>
        <v>0</v>
      </c>
      <c r="M20" s="39">
        <f t="shared" si="3"/>
        <v>0</v>
      </c>
      <c r="N20" s="9">
        <f>[3]MESA!$DZ$41</f>
        <v>0</v>
      </c>
      <c r="O20" s="86" t="e">
        <f t="shared" si="4"/>
        <v>#DIV/0!</v>
      </c>
      <c r="P20" s="9">
        <f>SUM([3]MESA!$EL$41:$EN$41)</f>
        <v>1079</v>
      </c>
      <c r="Q20" s="9">
        <f>SUM([3]MESA!$DX$41:$DZ$41)</f>
        <v>697</v>
      </c>
      <c r="R20" s="86">
        <f t="shared" si="5"/>
        <v>0.54806312769010046</v>
      </c>
      <c r="T20" s="20"/>
    </row>
    <row r="21" spans="1:23" ht="14.1" customHeight="1" x14ac:dyDescent="0.2">
      <c r="A21" s="53"/>
      <c r="B21" s="442" t="s">
        <v>53</v>
      </c>
      <c r="C21" s="362">
        <f>'[3]Air Wisconsin'!$EN$19</f>
        <v>16</v>
      </c>
      <c r="D21" s="39">
        <f t="shared" si="0"/>
        <v>4.9789948654115448E-4</v>
      </c>
      <c r="E21" s="9">
        <f>'[3]Air Wisconsin'!$DZ$19</f>
        <v>0</v>
      </c>
      <c r="F21" s="86" t="e">
        <f t="shared" si="1"/>
        <v>#DIV/0!</v>
      </c>
      <c r="G21" s="9">
        <f>SUM('[3]Air Wisconsin'!$EL$19:$EN$19)</f>
        <v>100</v>
      </c>
      <c r="H21" s="9">
        <f>SUM('[3]Air Wisconsin'!$DX$19:$DZ$19)</f>
        <v>0</v>
      </c>
      <c r="I21" s="446" t="e">
        <f t="shared" si="2"/>
        <v>#DIV/0!</v>
      </c>
      <c r="J21" s="53"/>
      <c r="K21" s="447" t="s">
        <v>53</v>
      </c>
      <c r="L21" s="362">
        <f>'[3]Air Wisconsin'!$EN$41</f>
        <v>487</v>
      </c>
      <c r="M21" s="39">
        <f t="shared" si="3"/>
        <v>1.5134893232185423E-4</v>
      </c>
      <c r="N21" s="9">
        <f>'[3]Air Wisconsin'!$DZ$41</f>
        <v>0</v>
      </c>
      <c r="O21" s="86" t="e">
        <f t="shared" si="4"/>
        <v>#DIV/0!</v>
      </c>
      <c r="P21" s="9">
        <f>SUM('[3]Air Wisconsin'!$EL$41:$EN$41)</f>
        <v>3627</v>
      </c>
      <c r="Q21" s="9">
        <f>SUM('[3]Air Wisconsin'!$DX$41:$DZ$41)</f>
        <v>0</v>
      </c>
      <c r="R21" s="86" t="e">
        <f t="shared" si="5"/>
        <v>#DIV/0!</v>
      </c>
      <c r="T21" s="20"/>
    </row>
    <row r="22" spans="1:23" ht="14.1" customHeight="1" x14ac:dyDescent="0.2">
      <c r="A22" s="53"/>
      <c r="B22" s="367"/>
      <c r="C22" s="362"/>
      <c r="D22" s="39"/>
      <c r="E22" s="9"/>
      <c r="F22" s="86"/>
      <c r="G22" s="9"/>
      <c r="H22" s="9"/>
      <c r="I22" s="86"/>
      <c r="J22" s="53"/>
      <c r="K22" s="367"/>
      <c r="L22" s="362"/>
      <c r="M22" s="39"/>
      <c r="N22" s="9"/>
      <c r="O22" s="86"/>
      <c r="P22" s="9"/>
      <c r="Q22" s="9"/>
      <c r="R22" s="86"/>
      <c r="T22" s="20"/>
      <c r="U22" s="9"/>
      <c r="V22" s="11"/>
      <c r="W22" s="11"/>
    </row>
    <row r="23" spans="1:23" ht="14.1" customHeight="1" x14ac:dyDescent="0.2">
      <c r="A23" s="357" t="s">
        <v>20</v>
      </c>
      <c r="B23" s="370"/>
      <c r="C23" s="358">
        <f>SUM(C24:C30)</f>
        <v>24152</v>
      </c>
      <c r="D23" s="359">
        <f t="shared" ref="D23:D30" si="6">C23/$C$57</f>
        <v>0.75157927493387278</v>
      </c>
      <c r="E23" s="360">
        <f>SUM(E24:E30)</f>
        <v>24454</v>
      </c>
      <c r="F23" s="361">
        <f t="shared" ref="F23:F30" si="7">(C23-E23)/E23</f>
        <v>-1.2349717837572586E-2</v>
      </c>
      <c r="G23" s="363">
        <f>SUM(G24:G30)</f>
        <v>65808</v>
      </c>
      <c r="H23" s="363">
        <f>SUM(H24:H30)</f>
        <v>66078</v>
      </c>
      <c r="I23" s="361">
        <f>(G23-H23)/H23</f>
        <v>-4.0860800871697087E-3</v>
      </c>
      <c r="J23" s="357" t="s">
        <v>20</v>
      </c>
      <c r="K23" s="370"/>
      <c r="L23" s="358">
        <f>SUM(L24:L30)</f>
        <v>2313012</v>
      </c>
      <c r="M23" s="359">
        <f t="shared" ref="M23:M30" si="8">L23/$L$57</f>
        <v>0.7188334633421698</v>
      </c>
      <c r="N23" s="360">
        <f>SUM(N24:N30)</f>
        <v>2259196</v>
      </c>
      <c r="O23" s="361">
        <f t="shared" ref="O23:O30" si="9">(L23-N23)/N23</f>
        <v>2.3820863705495229E-2</v>
      </c>
      <c r="P23" s="360">
        <f>SUM(P24:P30)</f>
        <v>5941931</v>
      </c>
      <c r="Q23" s="360">
        <f>SUM(Q24:Q30)</f>
        <v>5782514</v>
      </c>
      <c r="R23" s="361">
        <f t="shared" ref="R23:R30" si="10">(P23-Q23)/Q23</f>
        <v>2.7568804848548574E-2</v>
      </c>
      <c r="T23" s="428"/>
      <c r="V23" s="11"/>
      <c r="W23" s="11"/>
    </row>
    <row r="24" spans="1:23" ht="14.1" customHeight="1" x14ac:dyDescent="0.2">
      <c r="A24" s="53"/>
      <c r="B24" s="366" t="s">
        <v>20</v>
      </c>
      <c r="C24" s="362">
        <f>[3]Delta!$EN$19</f>
        <v>11856</v>
      </c>
      <c r="D24" s="39">
        <f t="shared" si="6"/>
        <v>0.3689435195269955</v>
      </c>
      <c r="E24" s="9">
        <f>[3]Delta!$DZ$19</f>
        <v>10791</v>
      </c>
      <c r="F24" s="86">
        <f t="shared" si="7"/>
        <v>9.8693355574089522E-2</v>
      </c>
      <c r="G24" s="9">
        <f>SUM([3]Delta!$EL$19:$EN$19)</f>
        <v>31095</v>
      </c>
      <c r="H24" s="9">
        <f>SUM([3]Delta!$DX$19:$DZ$19)</f>
        <v>28771</v>
      </c>
      <c r="I24" s="86">
        <f t="shared" ref="I24:I30" si="11">(G24-H24)/H24</f>
        <v>8.0775781168537758E-2</v>
      </c>
      <c r="J24" s="53"/>
      <c r="K24" s="366" t="s">
        <v>20</v>
      </c>
      <c r="L24" s="362">
        <f>[3]Delta!$EN$41</f>
        <v>1679282</v>
      </c>
      <c r="M24" s="39">
        <f t="shared" si="8"/>
        <v>0.52188406112383579</v>
      </c>
      <c r="N24" s="9">
        <f>[3]Delta!$DZ$41</f>
        <v>1557740</v>
      </c>
      <c r="O24" s="86">
        <f t="shared" si="9"/>
        <v>7.8024574062423774E-2</v>
      </c>
      <c r="P24" s="9">
        <f>SUM([3]Delta!$EL$41:$EN$41)</f>
        <v>4226495</v>
      </c>
      <c r="Q24" s="9">
        <f>SUM([3]Delta!$DX$41:$DZ$41)</f>
        <v>3932788</v>
      </c>
      <c r="R24" s="86">
        <f t="shared" si="10"/>
        <v>7.4681625350768971E-2</v>
      </c>
      <c r="T24" s="20"/>
      <c r="U24" s="9"/>
      <c r="V24" s="11"/>
      <c r="W24" s="11"/>
    </row>
    <row r="25" spans="1:23" ht="14.1" customHeight="1" x14ac:dyDescent="0.2">
      <c r="A25" s="53"/>
      <c r="B25" s="368" t="s">
        <v>124</v>
      </c>
      <c r="C25" s="362">
        <f>[3]Compass!$EN$19</f>
        <v>1601</v>
      </c>
      <c r="D25" s="39">
        <f t="shared" si="6"/>
        <v>4.9821067372024269E-2</v>
      </c>
      <c r="E25" s="9">
        <f>[3]Compass!$DZ$19</f>
        <v>1596</v>
      </c>
      <c r="F25" s="86">
        <f t="shared" si="7"/>
        <v>3.1328320802005011E-3</v>
      </c>
      <c r="G25" s="9">
        <f>SUM([3]Compass!$EL$19:$EN$19)</f>
        <v>3953</v>
      </c>
      <c r="H25" s="9">
        <f>SUM([3]Compass!$DX$19:$DZ$19)</f>
        <v>4044</v>
      </c>
      <c r="I25" s="86">
        <f t="shared" si="11"/>
        <v>-2.2502472799208705E-2</v>
      </c>
      <c r="J25" s="53"/>
      <c r="K25" s="368" t="s">
        <v>124</v>
      </c>
      <c r="L25" s="362">
        <f>[3]Compass!$EN$41</f>
        <v>96990</v>
      </c>
      <c r="M25" s="39">
        <f t="shared" si="8"/>
        <v>3.0142367445372981E-2</v>
      </c>
      <c r="N25" s="9">
        <f>[3]Compass!$DZ$41</f>
        <v>95573</v>
      </c>
      <c r="O25" s="86">
        <f t="shared" si="9"/>
        <v>1.4826363094179319E-2</v>
      </c>
      <c r="P25" s="9">
        <f>SUM([3]Compass!$EL$41:$EN$41)</f>
        <v>231609</v>
      </c>
      <c r="Q25" s="9">
        <f>SUM([3]Compass!$DX$41:$DZ$41)</f>
        <v>233479</v>
      </c>
      <c r="R25" s="86">
        <f t="shared" si="10"/>
        <v>-8.0092856316842202E-3</v>
      </c>
      <c r="T25" s="9"/>
      <c r="U25" s="9"/>
      <c r="V25" s="11"/>
      <c r="W25" s="11"/>
    </row>
    <row r="26" spans="1:23" ht="14.1" customHeight="1" x14ac:dyDescent="0.2">
      <c r="A26" s="53"/>
      <c r="B26" s="367" t="s">
        <v>170</v>
      </c>
      <c r="C26" s="362">
        <f>[3]Pinnacle!$EN$19</f>
        <v>4028</v>
      </c>
      <c r="D26" s="39">
        <f t="shared" si="6"/>
        <v>0.12534619573673564</v>
      </c>
      <c r="E26" s="9">
        <f>[3]Pinnacle!$DZ$19</f>
        <v>6080</v>
      </c>
      <c r="F26" s="86">
        <f t="shared" si="7"/>
        <v>-0.33750000000000002</v>
      </c>
      <c r="G26" s="9">
        <f>SUM([3]Pinnacle!$EL$19:$EN$19)</f>
        <v>11715</v>
      </c>
      <c r="H26" s="9">
        <f>SUM([3]Pinnacle!$DX$19:$DZ$19)</f>
        <v>16968</v>
      </c>
      <c r="I26" s="86">
        <f t="shared" si="11"/>
        <v>-0.30958274398868457</v>
      </c>
      <c r="J26" s="53"/>
      <c r="K26" s="367" t="s">
        <v>170</v>
      </c>
      <c r="L26" s="362">
        <f>[3]Pinnacle!$EN$41</f>
        <v>234179</v>
      </c>
      <c r="M26" s="39">
        <f t="shared" si="8"/>
        <v>7.2777703536343941E-2</v>
      </c>
      <c r="N26" s="9">
        <f>[3]Pinnacle!$DZ$41</f>
        <v>334085</v>
      </c>
      <c r="O26" s="86">
        <f t="shared" si="9"/>
        <v>-0.29904365655446968</v>
      </c>
      <c r="P26" s="9">
        <f>SUM([3]Pinnacle!$EL$41:$EN$41)</f>
        <v>649124</v>
      </c>
      <c r="Q26" s="9">
        <f>SUM([3]Pinnacle!$DX$41:$DZ$41)</f>
        <v>895758</v>
      </c>
      <c r="R26" s="86">
        <f t="shared" si="10"/>
        <v>-0.27533552588980503</v>
      </c>
      <c r="T26" s="20"/>
      <c r="U26" s="11"/>
    </row>
    <row r="27" spans="1:23" ht="14.1" customHeight="1" x14ac:dyDescent="0.2">
      <c r="A27" s="53"/>
      <c r="B27" s="366" t="s">
        <v>166</v>
      </c>
      <c r="C27" s="362">
        <f>'[3]Go Jet'!$EN$19</f>
        <v>0</v>
      </c>
      <c r="D27" s="39">
        <f t="shared" si="6"/>
        <v>0</v>
      </c>
      <c r="E27" s="9">
        <f>'[3]Go Jet'!$DZ$19</f>
        <v>2</v>
      </c>
      <c r="F27" s="86">
        <f>(C27-E27)/E27</f>
        <v>-1</v>
      </c>
      <c r="G27" s="9">
        <f>SUM('[3]Go Jet'!$EL$19:$EN$19)</f>
        <v>0</v>
      </c>
      <c r="H27" s="9">
        <f>SUM('[3]Go Jet'!$DX$19:$DZ$19)</f>
        <v>28</v>
      </c>
      <c r="I27" s="86">
        <f>(G27-H27)/H27</f>
        <v>-1</v>
      </c>
      <c r="J27" s="53"/>
      <c r="K27" s="366" t="s">
        <v>166</v>
      </c>
      <c r="L27" s="362">
        <f>'[3]Go Jet'!$EN$41</f>
        <v>0</v>
      </c>
      <c r="M27" s="39">
        <f t="shared" si="8"/>
        <v>0</v>
      </c>
      <c r="N27" s="9">
        <f>'[3]Go Jet'!$DZ$41</f>
        <v>118</v>
      </c>
      <c r="O27" s="86">
        <f>(L27-N27)/N27</f>
        <v>-1</v>
      </c>
      <c r="P27" s="9">
        <f>SUM('[3]Go Jet'!$EL$41:$EN$41)</f>
        <v>0</v>
      </c>
      <c r="Q27" s="9">
        <f>SUM('[3]Go Jet'!$DX$41:$DZ$41)</f>
        <v>1577</v>
      </c>
      <c r="R27" s="86">
        <f>(P27-Q27)/Q27</f>
        <v>-1</v>
      </c>
      <c r="T27" s="336"/>
      <c r="U27" s="334"/>
    </row>
    <row r="28" spans="1:23" ht="14.1" customHeight="1" x14ac:dyDescent="0.2">
      <c r="A28" s="53"/>
      <c r="B28" s="367" t="s">
        <v>104</v>
      </c>
      <c r="C28" s="362">
        <f>'[3]Sky West'!$EN$19</f>
        <v>5940</v>
      </c>
      <c r="D28" s="39">
        <f t="shared" si="6"/>
        <v>0.18484518437840361</v>
      </c>
      <c r="E28" s="9">
        <f>'[3]Sky West'!$DZ$19</f>
        <v>4277</v>
      </c>
      <c r="F28" s="86">
        <f t="shared" si="7"/>
        <v>0.38882394201543136</v>
      </c>
      <c r="G28" s="9">
        <f>SUM('[3]Sky West'!$EL$19:$EN$19)</f>
        <v>16413</v>
      </c>
      <c r="H28" s="9">
        <f>SUM('[3]Sky West'!$DX$19:$DZ$19)</f>
        <v>11378</v>
      </c>
      <c r="I28" s="86">
        <f t="shared" si="11"/>
        <v>0.44252065389347867</v>
      </c>
      <c r="J28" s="53"/>
      <c r="K28" s="367" t="s">
        <v>104</v>
      </c>
      <c r="L28" s="362">
        <f>'[3]Sky West'!$EN$41</f>
        <v>264975</v>
      </c>
      <c r="M28" s="39">
        <f t="shared" si="8"/>
        <v>8.234842575355919E-2</v>
      </c>
      <c r="N28" s="9">
        <f>'[3]Sky West'!$DZ$41</f>
        <v>175593</v>
      </c>
      <c r="O28" s="86">
        <f t="shared" si="9"/>
        <v>0.50902940322222412</v>
      </c>
      <c r="P28" s="9">
        <f>SUM('[3]Sky West'!$EL$41:$EN$41)</f>
        <v>704376</v>
      </c>
      <c r="Q28" s="9">
        <f>SUM('[3]Sky West'!$DX$41:$DZ$41)</f>
        <v>460347</v>
      </c>
      <c r="R28" s="86">
        <f t="shared" si="10"/>
        <v>0.53009794785238096</v>
      </c>
      <c r="T28" s="20"/>
    </row>
    <row r="29" spans="1:23" ht="14.1" customHeight="1" x14ac:dyDescent="0.2">
      <c r="A29" s="53"/>
      <c r="B29" s="367" t="s">
        <v>139</v>
      </c>
      <c r="C29" s="362">
        <f>'[3]Shuttle America_Delta'!$EN$19</f>
        <v>140</v>
      </c>
      <c r="D29" s="39">
        <f t="shared" si="6"/>
        <v>4.3566205072351023E-3</v>
      </c>
      <c r="E29" s="9">
        <f>'[3]Shuttle America_Delta'!$DZ$19</f>
        <v>421</v>
      </c>
      <c r="F29" s="86">
        <f t="shared" si="7"/>
        <v>-0.66745843230403801</v>
      </c>
      <c r="G29" s="9">
        <f>SUM('[3]Shuttle America_Delta'!$EL$19:$EN$19)</f>
        <v>414</v>
      </c>
      <c r="H29" s="9">
        <f>SUM('[3]Shuttle America_Delta'!$DX$19:$DZ$19)</f>
        <v>1223</v>
      </c>
      <c r="I29" s="86">
        <f t="shared" si="11"/>
        <v>-0.66148814390842192</v>
      </c>
      <c r="J29" s="53"/>
      <c r="K29" s="367" t="s">
        <v>139</v>
      </c>
      <c r="L29" s="362">
        <f>'[3]Shuttle America_Delta'!$EN$41</f>
        <v>5888</v>
      </c>
      <c r="M29" s="39">
        <f t="shared" si="8"/>
        <v>1.8298614240473874E-3</v>
      </c>
      <c r="N29" s="9">
        <f>'[3]Shuttle America_Delta'!$DZ$41</f>
        <v>22534</v>
      </c>
      <c r="O29" s="86">
        <f t="shared" si="9"/>
        <v>-0.7387059554451052</v>
      </c>
      <c r="P29" s="9">
        <f>SUM('[3]Shuttle America_Delta'!$EL$41:$EN$41)</f>
        <v>18210</v>
      </c>
      <c r="Q29" s="9">
        <f>SUM('[3]Shuttle America_Delta'!$DX$41:$DZ$41)</f>
        <v>63428</v>
      </c>
      <c r="R29" s="86">
        <f t="shared" si="10"/>
        <v>-0.71290281894431484</v>
      </c>
      <c r="T29" s="20"/>
    </row>
    <row r="30" spans="1:23" ht="14.1" customHeight="1" x14ac:dyDescent="0.2">
      <c r="A30" s="53"/>
      <c r="B30" s="445" t="s">
        <v>198</v>
      </c>
      <c r="C30" s="362">
        <f>'[3]Atlantic Southeast'!$EN$19</f>
        <v>587</v>
      </c>
      <c r="D30" s="39">
        <f t="shared" si="6"/>
        <v>1.8266687412478607E-2</v>
      </c>
      <c r="E30" s="9">
        <f>'[3]Atlantic Southeast'!$DZ$19</f>
        <v>1287</v>
      </c>
      <c r="F30" s="86">
        <f t="shared" si="7"/>
        <v>-0.54390054390054388</v>
      </c>
      <c r="G30" s="9">
        <f>SUM('[3]Atlantic Southeast'!$EL$19:$EN$19)</f>
        <v>2218</v>
      </c>
      <c r="H30" s="9">
        <f>SUM('[3]Atlantic Southeast'!$DX$19:$DZ$19)</f>
        <v>3666</v>
      </c>
      <c r="I30" s="86">
        <f t="shared" si="11"/>
        <v>-0.39498090561920352</v>
      </c>
      <c r="J30" s="53"/>
      <c r="K30" s="445" t="s">
        <v>198</v>
      </c>
      <c r="L30" s="362">
        <f>'[3]Atlantic Southeast'!$EN$41</f>
        <v>31698</v>
      </c>
      <c r="M30" s="39">
        <f t="shared" si="8"/>
        <v>9.8510440590105445E-3</v>
      </c>
      <c r="N30" s="9">
        <f>'[3]Atlantic Southeast'!$DZ$41</f>
        <v>73553</v>
      </c>
      <c r="O30" s="86">
        <f t="shared" si="9"/>
        <v>-0.56904545021956954</v>
      </c>
      <c r="P30" s="9">
        <f>SUM('[3]Atlantic Southeast'!$EL$41:$EN$41)</f>
        <v>112117</v>
      </c>
      <c r="Q30" s="9">
        <f>SUM('[3]Atlantic Southeast'!$DX$41:$DZ$41)</f>
        <v>195137</v>
      </c>
      <c r="R30" s="86">
        <f t="shared" si="10"/>
        <v>-0.42544468757847054</v>
      </c>
      <c r="T30" s="333"/>
    </row>
    <row r="31" spans="1:23" ht="14.1" customHeight="1" x14ac:dyDescent="0.2">
      <c r="A31" s="53"/>
      <c r="B31" s="371"/>
      <c r="C31" s="362"/>
      <c r="D31" s="39"/>
      <c r="E31" s="9"/>
      <c r="F31" s="86"/>
      <c r="G31" s="9"/>
      <c r="H31" s="9"/>
      <c r="I31" s="86"/>
      <c r="J31" s="53"/>
      <c r="K31" s="371"/>
      <c r="L31" s="362"/>
      <c r="M31" s="39"/>
      <c r="N31" s="9"/>
      <c r="O31" s="86"/>
      <c r="P31" s="9"/>
      <c r="Q31" s="9"/>
      <c r="R31" s="86"/>
      <c r="T31" s="333"/>
    </row>
    <row r="32" spans="1:23" s="7" customFormat="1" ht="14.1" customHeight="1" x14ac:dyDescent="0.2">
      <c r="A32" s="357" t="s">
        <v>50</v>
      </c>
      <c r="B32" s="372"/>
      <c r="C32" s="358">
        <f>[3]Frontier!$EN$19</f>
        <v>186</v>
      </c>
      <c r="D32" s="359">
        <f>C32/$C$57</f>
        <v>5.7880815310409209E-3</v>
      </c>
      <c r="E32" s="360">
        <f>[3]Frontier!$DZ$19</f>
        <v>182</v>
      </c>
      <c r="F32" s="361">
        <f>(C32-E32)/E32</f>
        <v>2.197802197802198E-2</v>
      </c>
      <c r="G32" s="360">
        <f>SUM([3]Frontier!$EL$19:$EN$19)</f>
        <v>492</v>
      </c>
      <c r="H32" s="360">
        <f>SUM([3]Frontier!$DX$19:$DZ$19)</f>
        <v>440</v>
      </c>
      <c r="I32" s="361">
        <f>(G32-H32)/H32</f>
        <v>0.11818181818181818</v>
      </c>
      <c r="J32" s="357" t="s">
        <v>50</v>
      </c>
      <c r="K32" s="372"/>
      <c r="L32" s="358">
        <f>[3]Frontier!$EN$41</f>
        <v>26128</v>
      </c>
      <c r="M32" s="359">
        <f>L32/$L$57</f>
        <v>8.120010069210282E-3</v>
      </c>
      <c r="N32" s="360">
        <f>[3]Frontier!$DZ$41</f>
        <v>24642</v>
      </c>
      <c r="O32" s="361">
        <f>(L32-N32)/N32</f>
        <v>6.0303546790033274E-2</v>
      </c>
      <c r="P32" s="360">
        <f>SUM([3]Frontier!$EL$41:$EN$41)</f>
        <v>71840</v>
      </c>
      <c r="Q32" s="360">
        <f>SUM([3]Frontier!$DX$41:$DZ$41)</f>
        <v>61159</v>
      </c>
      <c r="R32" s="361">
        <f>(P32-Q32)/Q32</f>
        <v>0.17464314328226427</v>
      </c>
      <c r="T32" s="335"/>
      <c r="U32"/>
    </row>
    <row r="33" spans="1:21" s="7" customFormat="1" ht="14.1" customHeight="1" x14ac:dyDescent="0.2">
      <c r="A33" s="357"/>
      <c r="B33" s="372"/>
      <c r="C33" s="358"/>
      <c r="D33" s="359"/>
      <c r="E33" s="360"/>
      <c r="F33" s="361"/>
      <c r="G33" s="360"/>
      <c r="H33" s="360"/>
      <c r="I33" s="361"/>
      <c r="J33" s="357"/>
      <c r="K33" s="372"/>
      <c r="L33" s="362"/>
      <c r="M33" s="39"/>
      <c r="N33" s="9"/>
      <c r="O33" s="86"/>
      <c r="P33" s="9"/>
      <c r="Q33" s="9"/>
      <c r="R33" s="86"/>
      <c r="T33" s="335"/>
    </row>
    <row r="34" spans="1:21" s="7" customFormat="1" ht="14.1" customHeight="1" x14ac:dyDescent="0.2">
      <c r="A34" s="357" t="s">
        <v>165</v>
      </c>
      <c r="B34" s="372"/>
      <c r="C34" s="358">
        <f>'[3]Great Lakes'!$EN$19</f>
        <v>108</v>
      </c>
      <c r="D34" s="359">
        <f>C34/$C$57</f>
        <v>3.3608215341527927E-3</v>
      </c>
      <c r="E34" s="360">
        <f>'[3]Great Lakes'!$DZ$19</f>
        <v>176</v>
      </c>
      <c r="F34" s="361">
        <f>(C34-E34)/E34</f>
        <v>-0.38636363636363635</v>
      </c>
      <c r="G34" s="360">
        <f>SUM('[3]Great Lakes'!$EL$19:$EN$19)</f>
        <v>385</v>
      </c>
      <c r="H34" s="360">
        <f>SUM('[3]Great Lakes'!$DX$19:$DZ$19)</f>
        <v>542</v>
      </c>
      <c r="I34" s="361">
        <f>(G34-H34)/H34</f>
        <v>-0.28966789667896681</v>
      </c>
      <c r="J34" s="357" t="s">
        <v>165</v>
      </c>
      <c r="K34" s="372"/>
      <c r="L34" s="358">
        <f>'[3]Great Lakes'!$EN$41</f>
        <v>304</v>
      </c>
      <c r="M34" s="359">
        <f>L34/$L$57</f>
        <v>9.4476540915490115E-5</v>
      </c>
      <c r="N34" s="360">
        <f>'[3]Great Lakes'!$DZ$41</f>
        <v>557</v>
      </c>
      <c r="O34" s="361">
        <f>(L34-N34)/N34</f>
        <v>-0.45421903052064633</v>
      </c>
      <c r="P34" s="360">
        <f>SUM('[3]Great Lakes'!$EL$41:$EN$41)</f>
        <v>1082</v>
      </c>
      <c r="Q34" s="360">
        <f>SUM('[3]Great Lakes'!$DX$41:$DZ$41)</f>
        <v>1925</v>
      </c>
      <c r="R34" s="361">
        <f>(P34-Q34)/Q34</f>
        <v>-0.43792207792207793</v>
      </c>
      <c r="T34" s="335"/>
    </row>
    <row r="35" spans="1:21" s="7" customFormat="1" ht="14.1" customHeight="1" x14ac:dyDescent="0.2">
      <c r="A35" s="357"/>
      <c r="B35" s="372"/>
      <c r="C35" s="358"/>
      <c r="D35" s="359"/>
      <c r="E35" s="360"/>
      <c r="F35" s="361"/>
      <c r="G35" s="360"/>
      <c r="H35" s="360"/>
      <c r="I35" s="361"/>
      <c r="J35" s="357"/>
      <c r="K35" s="372"/>
      <c r="L35" s="362"/>
      <c r="M35" s="39"/>
      <c r="N35" s="9"/>
      <c r="O35" s="86"/>
      <c r="P35" s="9"/>
      <c r="Q35" s="9"/>
      <c r="R35" s="86"/>
      <c r="T35" s="335"/>
    </row>
    <row r="36" spans="1:21" s="7" customFormat="1" ht="14.1" customHeight="1" x14ac:dyDescent="0.2">
      <c r="A36" s="357" t="s">
        <v>51</v>
      </c>
      <c r="B36" s="372"/>
      <c r="C36" s="358">
        <f>[3]Icelandair!$EN$19</f>
        <v>0</v>
      </c>
      <c r="D36" s="359">
        <f>C36/$C$57</f>
        <v>0</v>
      </c>
      <c r="E36" s="360">
        <f>[3]Icelandair!$DZ$19</f>
        <v>0</v>
      </c>
      <c r="F36" s="361" t="e">
        <f>(C36-E36)/E36</f>
        <v>#DIV/0!</v>
      </c>
      <c r="G36" s="360">
        <f>SUM([3]Icelandair!$EL$19:$EN$19)</f>
        <v>12</v>
      </c>
      <c r="H36" s="360">
        <f>SUM([3]Icelandair!$DX$19:$DZ$19)</f>
        <v>0</v>
      </c>
      <c r="I36" s="361" t="e">
        <f>(G36-H36)/H36</f>
        <v>#DIV/0!</v>
      </c>
      <c r="J36" s="357" t="s">
        <v>51</v>
      </c>
      <c r="K36" s="372"/>
      <c r="L36" s="358">
        <f>[3]Icelandair!$EN$41</f>
        <v>0</v>
      </c>
      <c r="M36" s="359">
        <f>L36/$L$57</f>
        <v>0</v>
      </c>
      <c r="N36" s="360">
        <f>[3]Icelandair!$DZ$41</f>
        <v>0</v>
      </c>
      <c r="O36" s="361" t="e">
        <f>(L36-N36)/N36</f>
        <v>#DIV/0!</v>
      </c>
      <c r="P36" s="360">
        <f>SUM([3]Icelandair!$EL$41:$EN$41)</f>
        <v>1473</v>
      </c>
      <c r="Q36" s="360">
        <f>SUM([3]Icelandair!$DX$41:$DZ$41)</f>
        <v>0</v>
      </c>
      <c r="R36" s="361" t="e">
        <f>(P36-Q36)/Q36</f>
        <v>#DIV/0!</v>
      </c>
      <c r="T36" s="20"/>
    </row>
    <row r="37" spans="1:21" s="7" customFormat="1" ht="14.1" customHeight="1" x14ac:dyDescent="0.2">
      <c r="A37" s="357"/>
      <c r="B37" s="372"/>
      <c r="C37" s="358"/>
      <c r="D37" s="359"/>
      <c r="E37" s="360"/>
      <c r="F37" s="361"/>
      <c r="G37" s="360"/>
      <c r="H37" s="360"/>
      <c r="I37" s="361"/>
      <c r="J37" s="357"/>
      <c r="K37" s="372"/>
      <c r="L37" s="362"/>
      <c r="M37" s="39"/>
      <c r="N37" s="9"/>
      <c r="O37" s="86"/>
      <c r="P37" s="9"/>
      <c r="Q37" s="9"/>
      <c r="R37" s="86"/>
      <c r="T37" s="20"/>
    </row>
    <row r="38" spans="1:21" ht="14.1" customHeight="1" x14ac:dyDescent="0.2">
      <c r="A38" s="369" t="s">
        <v>136</v>
      </c>
      <c r="B38" s="55"/>
      <c r="C38" s="358">
        <f>SUM(C39:C39)</f>
        <v>1365</v>
      </c>
      <c r="D38" s="359">
        <f>C38/$C$57</f>
        <v>4.2477049945542245E-2</v>
      </c>
      <c r="E38" s="360">
        <f>SUM(E39:E39)</f>
        <v>1334</v>
      </c>
      <c r="F38" s="361">
        <f>(C38-E38)/E38</f>
        <v>2.3238380809595203E-2</v>
      </c>
      <c r="G38" s="358">
        <f>SUM(G39:G39)</f>
        <v>3910</v>
      </c>
      <c r="H38" s="360">
        <f>SUM(H39:H39)</f>
        <v>3743</v>
      </c>
      <c r="I38" s="361">
        <f>(G38-H38)/H38</f>
        <v>4.4616617686347851E-2</v>
      </c>
      <c r="J38" s="357" t="s">
        <v>136</v>
      </c>
      <c r="K38" s="55"/>
      <c r="L38" s="358">
        <f>SUM(L39:L39)</f>
        <v>170095</v>
      </c>
      <c r="M38" s="359">
        <f>L38/$L$57</f>
        <v>5.2861800088882534E-2</v>
      </c>
      <c r="N38" s="360">
        <f>SUM(N39:N39)</f>
        <v>166266</v>
      </c>
      <c r="O38" s="361">
        <f>(L38-N38)/N38</f>
        <v>2.3029362587660737E-2</v>
      </c>
      <c r="P38" s="358">
        <f>SUM(P39:P39)</f>
        <v>456527</v>
      </c>
      <c r="Q38" s="360">
        <f>SUM(Q39:Q39)</f>
        <v>438217</v>
      </c>
      <c r="R38" s="361">
        <f>(P38-Q38)/Q38</f>
        <v>4.178295228163216E-2</v>
      </c>
      <c r="T38" s="20"/>
    </row>
    <row r="39" spans="1:21" ht="14.1" customHeight="1" x14ac:dyDescent="0.2">
      <c r="A39" s="369"/>
      <c r="B39" s="55" t="s">
        <v>136</v>
      </c>
      <c r="C39" s="438">
        <f>[3]Southwest!$EN$19</f>
        <v>1365</v>
      </c>
      <c r="D39" s="439">
        <f>C39/$C$57</f>
        <v>4.2477049945542245E-2</v>
      </c>
      <c r="E39" s="301">
        <f>[3]Southwest!$DZ$19</f>
        <v>1334</v>
      </c>
      <c r="F39" s="440">
        <f>(C39-E39)/E39</f>
        <v>2.3238380809595203E-2</v>
      </c>
      <c r="G39" s="301">
        <f>SUM([3]Southwest!$EL$19:$EN$19)</f>
        <v>3910</v>
      </c>
      <c r="H39" s="301">
        <f>SUM([3]Southwest!$DX$19:$DZ$19)</f>
        <v>3743</v>
      </c>
      <c r="I39" s="440">
        <f>(G39-H39)/H39</f>
        <v>4.4616617686347851E-2</v>
      </c>
      <c r="J39" s="357"/>
      <c r="K39" s="55" t="s">
        <v>136</v>
      </c>
      <c r="L39" s="438">
        <f>[3]Southwest!$EN$41</f>
        <v>170095</v>
      </c>
      <c r="M39" s="439">
        <f>L39/$L$57</f>
        <v>5.2861800088882534E-2</v>
      </c>
      <c r="N39" s="301">
        <f>[3]Southwest!$DZ$41</f>
        <v>166266</v>
      </c>
      <c r="O39" s="440">
        <f>(L39-N39)/N39</f>
        <v>2.3029362587660737E-2</v>
      </c>
      <c r="P39" s="301">
        <f>SUM([3]Southwest!$EL$41:$EN$41)</f>
        <v>456527</v>
      </c>
      <c r="Q39" s="301">
        <f>SUM([3]Southwest!$DX$41:$DZ$41)</f>
        <v>438217</v>
      </c>
      <c r="R39" s="440">
        <f>(P39-Q39)/Q39</f>
        <v>4.178295228163216E-2</v>
      </c>
      <c r="T39" s="20"/>
    </row>
    <row r="40" spans="1:21" ht="14.1" customHeight="1" x14ac:dyDescent="0.2">
      <c r="A40" s="357"/>
      <c r="B40" s="55"/>
      <c r="C40" s="358"/>
      <c r="D40" s="359"/>
      <c r="E40" s="360"/>
      <c r="F40" s="361"/>
      <c r="G40" s="360"/>
      <c r="H40" s="360"/>
      <c r="I40" s="361"/>
      <c r="J40" s="357"/>
      <c r="K40" s="55"/>
      <c r="L40" s="362"/>
      <c r="M40" s="39"/>
      <c r="N40" s="9"/>
      <c r="O40" s="86"/>
      <c r="P40" s="9"/>
      <c r="Q40" s="9"/>
      <c r="R40" s="86"/>
      <c r="T40" s="20"/>
      <c r="U40" s="7"/>
    </row>
    <row r="41" spans="1:21" ht="14.1" customHeight="1" x14ac:dyDescent="0.2">
      <c r="A41" s="357" t="s">
        <v>167</v>
      </c>
      <c r="B41" s="55"/>
      <c r="C41" s="358">
        <f>[3]Spirit!$EN$19</f>
        <v>680</v>
      </c>
      <c r="D41" s="359">
        <f>C41/$C$57</f>
        <v>2.1160728177999067E-2</v>
      </c>
      <c r="E41" s="360">
        <f>[3]Spirit!$DZ$19</f>
        <v>689</v>
      </c>
      <c r="F41" s="361">
        <f>(C41-E41)/E41</f>
        <v>-1.3062409288824383E-2</v>
      </c>
      <c r="G41" s="360">
        <f>SUM([3]Spirit!$EL$19:$EN$19)</f>
        <v>1972</v>
      </c>
      <c r="H41" s="360">
        <f>SUM([3]Spirit!$DX$19:$DZ$19)</f>
        <v>1976</v>
      </c>
      <c r="I41" s="361">
        <f>(G41-H41)/H41</f>
        <v>-2.0242914979757085E-3</v>
      </c>
      <c r="J41" s="357" t="s">
        <v>167</v>
      </c>
      <c r="K41" s="55"/>
      <c r="L41" s="358">
        <f>[3]Spirit!$EN$41</f>
        <v>108982</v>
      </c>
      <c r="M41" s="359">
        <f>L41/$L$57</f>
        <v>3.3869218362012975E-2</v>
      </c>
      <c r="N41" s="360">
        <f>[3]Spirit!$DZ$41</f>
        <v>101856</v>
      </c>
      <c r="O41" s="361">
        <f>(L41-N41)/N41</f>
        <v>6.9961514294690538E-2</v>
      </c>
      <c r="P41" s="360">
        <f>SUM([3]Spirit!$EL$41:$EN$41)</f>
        <v>299188</v>
      </c>
      <c r="Q41" s="360">
        <f>SUM([3]Spirit!$DX$41:$DZ$41)</f>
        <v>283615</v>
      </c>
      <c r="R41" s="361">
        <f>(P41-Q41)/Q41</f>
        <v>5.4908943462087689E-2</v>
      </c>
      <c r="T41" s="20"/>
      <c r="U41" s="7"/>
    </row>
    <row r="42" spans="1:21" ht="14.1" customHeight="1" x14ac:dyDescent="0.2">
      <c r="A42" s="357"/>
      <c r="B42" s="55"/>
      <c r="C42" s="358"/>
      <c r="D42" s="359"/>
      <c r="E42" s="360"/>
      <c r="F42" s="361"/>
      <c r="G42" s="360"/>
      <c r="H42" s="360"/>
      <c r="I42" s="361"/>
      <c r="J42" s="357"/>
      <c r="K42" s="55"/>
      <c r="L42" s="362"/>
      <c r="M42" s="39"/>
      <c r="N42" s="9"/>
      <c r="O42" s="86"/>
      <c r="P42" s="9"/>
      <c r="Q42" s="9"/>
      <c r="R42" s="86"/>
      <c r="T42" s="20"/>
      <c r="U42" s="7"/>
    </row>
    <row r="43" spans="1:21" s="7" customFormat="1" ht="14.1" customHeight="1" x14ac:dyDescent="0.2">
      <c r="A43" s="357" t="s">
        <v>52</v>
      </c>
      <c r="B43" s="372"/>
      <c r="C43" s="358">
        <f>'[3]Sun Country'!$EN$19</f>
        <v>1927</v>
      </c>
      <c r="D43" s="359">
        <f>C43/$C$57</f>
        <v>5.9965769410300296E-2</v>
      </c>
      <c r="E43" s="360">
        <f>'[3]Sun Country'!$DZ$19</f>
        <v>1922</v>
      </c>
      <c r="F43" s="361">
        <f>(C43-E43)/E43</f>
        <v>2.6014568158168575E-3</v>
      </c>
      <c r="G43" s="360">
        <f>SUM('[3]Sun Country'!$EL$19:$EN$19)</f>
        <v>5319</v>
      </c>
      <c r="H43" s="360">
        <f>SUM('[3]Sun Country'!$DX$19:$DZ$19)</f>
        <v>5128</v>
      </c>
      <c r="I43" s="361">
        <f>(G43-H43)/H43</f>
        <v>3.7246489859594382E-2</v>
      </c>
      <c r="J43" s="357" t="s">
        <v>52</v>
      </c>
      <c r="K43" s="372"/>
      <c r="L43" s="358">
        <f>'[3]Sun Country'!$EN$41</f>
        <v>238873</v>
      </c>
      <c r="M43" s="359">
        <f>L43/$L$57</f>
        <v>7.423649591482194E-2</v>
      </c>
      <c r="N43" s="360">
        <f>'[3]Sun Country'!$DZ$41</f>
        <v>236438</v>
      </c>
      <c r="O43" s="361">
        <f>(L43-N43)/N43</f>
        <v>1.0298682952824842E-2</v>
      </c>
      <c r="P43" s="360">
        <f>SUM('[3]Sun Country'!$EL$41:$EN$41)</f>
        <v>603941</v>
      </c>
      <c r="Q43" s="360">
        <f>SUM('[3]Sun Country'!$DX$41:$DZ$41)</f>
        <v>593664</v>
      </c>
      <c r="R43" s="361">
        <f>(P43-Q43)/Q43</f>
        <v>1.7311138960758948E-2</v>
      </c>
      <c r="T43" s="20"/>
    </row>
    <row r="44" spans="1:21" s="7" customFormat="1" ht="14.1" customHeight="1" x14ac:dyDescent="0.2">
      <c r="A44" s="357"/>
      <c r="B44" s="372"/>
      <c r="C44" s="358"/>
      <c r="D44" s="359"/>
      <c r="E44" s="360"/>
      <c r="F44" s="361"/>
      <c r="G44" s="360"/>
      <c r="H44" s="360"/>
      <c r="I44" s="361"/>
      <c r="J44" s="357"/>
      <c r="K44" s="372"/>
      <c r="L44" s="362"/>
      <c r="M44" s="39"/>
      <c r="N44" s="9"/>
      <c r="O44" s="86"/>
      <c r="P44" s="9"/>
      <c r="Q44" s="9"/>
      <c r="R44" s="86"/>
      <c r="T44" s="20"/>
    </row>
    <row r="45" spans="1:21" s="7" customFormat="1" ht="14.1" customHeight="1" x14ac:dyDescent="0.2">
      <c r="A45" s="357" t="s">
        <v>21</v>
      </c>
      <c r="B45" s="365"/>
      <c r="C45" s="358">
        <f>SUM(C46:C52)</f>
        <v>1588</v>
      </c>
      <c r="D45" s="359">
        <f>C45/$C$57</f>
        <v>4.9416524039209583E-2</v>
      </c>
      <c r="E45" s="360">
        <f>SUM(E46:E52)</f>
        <v>1566</v>
      </c>
      <c r="F45" s="361">
        <f t="shared" ref="F45:F52" si="12">(C45-E45)/E45</f>
        <v>1.40485312899106E-2</v>
      </c>
      <c r="G45" s="360">
        <f>SUM(G46:G52)</f>
        <v>4542</v>
      </c>
      <c r="H45" s="360">
        <f>SUM(H46:H52)</f>
        <v>4306</v>
      </c>
      <c r="I45" s="361">
        <f t="shared" ref="I45:I52" si="13">(G45-H45)/H45</f>
        <v>5.4807245703669301E-2</v>
      </c>
      <c r="J45" s="357" t="s">
        <v>21</v>
      </c>
      <c r="K45" s="365"/>
      <c r="L45" s="358">
        <f>SUM(L46:L52)</f>
        <v>126766</v>
      </c>
      <c r="M45" s="359">
        <f>L45/$L$57</f>
        <v>3.9396096005569141E-2</v>
      </c>
      <c r="N45" s="360">
        <f>SUM(N46:N52)</f>
        <v>121034</v>
      </c>
      <c r="O45" s="361">
        <f t="shared" ref="O45:O52" si="14">(L45-N45)/N45</f>
        <v>4.7358593453079301E-2</v>
      </c>
      <c r="P45" s="360">
        <f>SUM(P46:P52)</f>
        <v>356806</v>
      </c>
      <c r="Q45" s="360">
        <f>SUM(Q46:Q52)</f>
        <v>312432</v>
      </c>
      <c r="R45" s="361">
        <f t="shared" ref="R45:R52" si="15">(P45-Q45)/Q45</f>
        <v>0.14202770522865776</v>
      </c>
      <c r="T45" s="20"/>
      <c r="U45"/>
    </row>
    <row r="46" spans="1:21" s="7" customFormat="1" ht="14.1" customHeight="1" x14ac:dyDescent="0.2">
      <c r="A46" s="373"/>
      <c r="B46" s="442" t="s">
        <v>21</v>
      </c>
      <c r="C46" s="362">
        <f>[3]United!$EN$19</f>
        <v>460</v>
      </c>
      <c r="D46" s="39">
        <f>C46/$C$57</f>
        <v>1.4314610238058191E-2</v>
      </c>
      <c r="E46" s="9">
        <f>[3]United!$DZ$19+[3]Continental!$DZ$19</f>
        <v>534</v>
      </c>
      <c r="F46" s="86">
        <f t="shared" si="12"/>
        <v>-0.13857677902621723</v>
      </c>
      <c r="G46" s="9">
        <f>SUM([3]United!$EL$19:$EN$19)</f>
        <v>1382</v>
      </c>
      <c r="H46" s="9">
        <f>SUM([3]United!$DX$19:$DZ$19)+SUM([3]Continental!$DX$19:$DZ$19)</f>
        <v>1174</v>
      </c>
      <c r="I46" s="86">
        <f t="shared" si="13"/>
        <v>0.17717206132879046</v>
      </c>
      <c r="J46" s="373"/>
      <c r="K46" s="442" t="s">
        <v>21</v>
      </c>
      <c r="L46" s="362">
        <f>[3]United!$EN$41</f>
        <v>55758</v>
      </c>
      <c r="M46" s="39">
        <f>L46/$L$57</f>
        <v>1.7328365027519402E-2</v>
      </c>
      <c r="N46" s="9">
        <f>[3]United!$DZ$41+[3]Continental!$DZ$41</f>
        <v>63380</v>
      </c>
      <c r="O46" s="86">
        <f t="shared" si="14"/>
        <v>-0.12025875670558536</v>
      </c>
      <c r="P46" s="9">
        <f>SUM([3]United!$EL$41:$EN$41)</f>
        <v>165229</v>
      </c>
      <c r="Q46" s="9">
        <f>SUM([3]United!$DX$41:$DZ$41)+SUM([3]Continental!$DX$41:$DZ$41)</f>
        <v>137712</v>
      </c>
      <c r="R46" s="86">
        <f t="shared" si="15"/>
        <v>0.19981555710468224</v>
      </c>
      <c r="T46" s="20"/>
    </row>
    <row r="47" spans="1:21" s="7" customFormat="1" ht="14.1" customHeight="1" x14ac:dyDescent="0.2">
      <c r="A47" s="373"/>
      <c r="B47" s="442" t="s">
        <v>198</v>
      </c>
      <c r="C47" s="362">
        <f>'[3]Continental Express'!$EN$19</f>
        <v>54</v>
      </c>
      <c r="D47" s="39">
        <f>C47/$C$56</f>
        <v>3.8576939562794685E-3</v>
      </c>
      <c r="E47" s="9">
        <f>'[3]Continental Express'!$DZ$19</f>
        <v>292</v>
      </c>
      <c r="F47" s="86">
        <f t="shared" si="12"/>
        <v>-0.81506849315068497</v>
      </c>
      <c r="G47" s="9">
        <f>SUM('[3]Continental Express'!$EL$19:$EN$19)</f>
        <v>1010</v>
      </c>
      <c r="H47" s="9">
        <f>SUM('[3]Continental Express'!$DX$19:$DZ$19)</f>
        <v>830</v>
      </c>
      <c r="I47" s="86">
        <f t="shared" si="13"/>
        <v>0.21686746987951808</v>
      </c>
      <c r="J47" s="53"/>
      <c r="K47" s="442" t="s">
        <v>198</v>
      </c>
      <c r="L47" s="362">
        <f>'[3]Continental Express'!$EN$41</f>
        <v>2268</v>
      </c>
      <c r="M47" s="39">
        <f>L47/$L$56</f>
        <v>3.0902045421101684E-3</v>
      </c>
      <c r="N47" s="9">
        <f>'[3]Continental Express'!$DZ$41</f>
        <v>11651</v>
      </c>
      <c r="O47" s="86">
        <f t="shared" si="14"/>
        <v>-0.80533859754527504</v>
      </c>
      <c r="P47" s="9">
        <f>SUM('[3]Continental Express'!$EL$41:$EN$41)</f>
        <v>68573</v>
      </c>
      <c r="Q47" s="9">
        <f>SUM('[3]Continental Express'!$DX$41:$DZ$41)</f>
        <v>32575</v>
      </c>
      <c r="R47" s="86">
        <f t="shared" si="15"/>
        <v>1.1050805832693784</v>
      </c>
      <c r="T47" s="20"/>
    </row>
    <row r="48" spans="1:21" s="7" customFormat="1" ht="14.1" customHeight="1" x14ac:dyDescent="0.2">
      <c r="A48" s="373"/>
      <c r="B48" s="366" t="s">
        <v>166</v>
      </c>
      <c r="C48" s="362">
        <f>'[3]Go Jet_UA'!$EN$19</f>
        <v>78</v>
      </c>
      <c r="D48" s="39">
        <f>C48/$C$57</f>
        <v>2.4272599968881282E-3</v>
      </c>
      <c r="E48" s="9">
        <f>'[3]Go Jet_UA'!$DZ$19</f>
        <v>36</v>
      </c>
      <c r="F48" s="86">
        <f t="shared" si="12"/>
        <v>1.1666666666666667</v>
      </c>
      <c r="G48" s="9">
        <f>SUM('[3]Go Jet_UA'!$EL$19:$EN$19)</f>
        <v>130</v>
      </c>
      <c r="H48" s="9">
        <f>SUM('[3]Go Jet_UA'!$DX$19:$DZ$19)</f>
        <v>204</v>
      </c>
      <c r="I48" s="86">
        <f t="shared" si="13"/>
        <v>-0.36274509803921567</v>
      </c>
      <c r="J48" s="373"/>
      <c r="K48" s="366" t="s">
        <v>166</v>
      </c>
      <c r="L48" s="362">
        <f>'[3]Go Jet_UA'!$EN$41</f>
        <v>5015</v>
      </c>
      <c r="M48" s="39">
        <f>L48/$L$57</f>
        <v>1.5585521470104701E-3</v>
      </c>
      <c r="N48" s="9">
        <f>'[3]Go Jet_UA'!$DZ$41</f>
        <v>2178</v>
      </c>
      <c r="O48" s="86">
        <f t="shared" si="14"/>
        <v>1.3025711662075299</v>
      </c>
      <c r="P48" s="9">
        <f>SUM('[3]Go Jet_UA'!$EL$41:$EN$41)</f>
        <v>8330</v>
      </c>
      <c r="Q48" s="9">
        <f>SUM('[3]Go Jet_UA'!$DX$41:$DZ$41)</f>
        <v>12709</v>
      </c>
      <c r="R48" s="86">
        <f t="shared" si="15"/>
        <v>-0.34455897395546464</v>
      </c>
      <c r="T48" s="20"/>
    </row>
    <row r="49" spans="1:21" s="7" customFormat="1" ht="14.1" customHeight="1" x14ac:dyDescent="0.2">
      <c r="A49" s="373"/>
      <c r="B49" s="366" t="s">
        <v>55</v>
      </c>
      <c r="C49" s="362">
        <f>[3]MESA_UA!$EN$19</f>
        <v>246</v>
      </c>
      <c r="D49" s="39">
        <f>C49/$C$57</f>
        <v>7.6552046055702507E-3</v>
      </c>
      <c r="E49" s="9">
        <f>[3]MESA_UA!$DZ$19</f>
        <v>212</v>
      </c>
      <c r="F49" s="86">
        <f>(C49-E49)/E49</f>
        <v>0.16037735849056603</v>
      </c>
      <c r="G49" s="9">
        <f>SUM([3]MESA_UA!$EL$19:$EN$19)</f>
        <v>604</v>
      </c>
      <c r="H49" s="9">
        <f>SUM([3]MESA_UA!$DX$19:$DZ$19)</f>
        <v>532</v>
      </c>
      <c r="I49" s="86">
        <f>(G49-H49)/H49</f>
        <v>0.13533834586466165</v>
      </c>
      <c r="J49" s="373"/>
      <c r="K49" s="366" t="s">
        <v>55</v>
      </c>
      <c r="L49" s="362">
        <f>[3]MESA_UA!$EN$41</f>
        <v>14983</v>
      </c>
      <c r="M49" s="39">
        <f>L49/$L$57</f>
        <v>4.6563881991341718E-3</v>
      </c>
      <c r="N49" s="9">
        <f>[3]MESA_UA!$DZ$41</f>
        <v>12707</v>
      </c>
      <c r="O49" s="86">
        <f>(L49-N49)/N49</f>
        <v>0.17911387424254349</v>
      </c>
      <c r="P49" s="9">
        <f>SUM([3]MESA_UA!$EL$41:$EN$41)</f>
        <v>26291</v>
      </c>
      <c r="Q49" s="9">
        <f>SUM([3]MESA_UA!$DX$41:$DZ$41)</f>
        <v>32763</v>
      </c>
      <c r="R49" s="86">
        <f t="shared" si="15"/>
        <v>-0.19753990782284894</v>
      </c>
      <c r="T49" s="20"/>
    </row>
    <row r="50" spans="1:21" ht="14.1" customHeight="1" x14ac:dyDescent="0.2">
      <c r="A50" s="53"/>
      <c r="B50" s="442" t="s">
        <v>56</v>
      </c>
      <c r="C50" s="362">
        <f>[3]Republic_UA!$EN$19</f>
        <v>162</v>
      </c>
      <c r="D50" s="39">
        <f t="shared" ref="D50" si="16">C50/$C$57</f>
        <v>5.0412323012291897E-3</v>
      </c>
      <c r="E50" s="9">
        <f>[3]Republic_UA!$DZ$19</f>
        <v>0</v>
      </c>
      <c r="F50" s="86" t="e">
        <f t="shared" ref="F50" si="17">(C50-E50)/E50</f>
        <v>#DIV/0!</v>
      </c>
      <c r="G50" s="9">
        <f>SUM([3]Republic_UA!$EL$19:$EN$19)</f>
        <v>290</v>
      </c>
      <c r="H50" s="9">
        <f>SUM([3]Republic_UA!$DX$19:$DZ$19)</f>
        <v>0</v>
      </c>
      <c r="I50" s="86" t="e">
        <f t="shared" ref="I50" si="18">(G50-H50)/H50</f>
        <v>#DIV/0!</v>
      </c>
      <c r="J50" s="373"/>
      <c r="K50" s="368" t="s">
        <v>214</v>
      </c>
      <c r="L50" s="362">
        <f>[3]Republic_UA!$EN$41</f>
        <v>10406</v>
      </c>
      <c r="M50" s="39">
        <f t="shared" ref="M50" si="19">L50/$L$57</f>
        <v>3.2339568577848359E-3</v>
      </c>
      <c r="N50" s="9">
        <f>[3]Republic_UA!$DZ$41</f>
        <v>0</v>
      </c>
      <c r="O50" s="86" t="e">
        <f t="shared" ref="O50" si="20">(L50-N50)/N50</f>
        <v>#DIV/0!</v>
      </c>
      <c r="P50" s="9">
        <f>SUM([3]Republic_UA!$EL$41:$EN$41)</f>
        <v>17062</v>
      </c>
      <c r="Q50" s="9">
        <f>SUM([3]Republic_UA!$DX$41:$DZ$41)</f>
        <v>0</v>
      </c>
      <c r="R50" s="86" t="e">
        <f t="shared" si="15"/>
        <v>#DIV/0!</v>
      </c>
      <c r="T50" s="20"/>
    </row>
    <row r="51" spans="1:21" s="7" customFormat="1" ht="14.1" customHeight="1" x14ac:dyDescent="0.2">
      <c r="A51" s="373"/>
      <c r="B51" s="366" t="s">
        <v>104</v>
      </c>
      <c r="C51" s="362">
        <f>'[3]Sky West_UA'!$EN$19</f>
        <v>436</v>
      </c>
      <c r="D51" s="39">
        <f>C51/$C$57</f>
        <v>1.356776100824646E-2</v>
      </c>
      <c r="E51" s="9">
        <f>'[3]Sky West_UA'!$DZ$19+'[3]Sky West_CO'!$DZ$19</f>
        <v>310</v>
      </c>
      <c r="F51" s="86">
        <f t="shared" si="12"/>
        <v>0.40645161290322579</v>
      </c>
      <c r="G51" s="9">
        <f>SUM('[3]Sky West_UA'!$EL$19:$EN$19)</f>
        <v>798</v>
      </c>
      <c r="H51" s="9">
        <f>SUM('[3]Sky West_UA'!$DX$19:$DZ$19)+SUM('[3]Sky West_CO'!$DX$19:$DZ$19)</f>
        <v>912</v>
      </c>
      <c r="I51" s="86">
        <f t="shared" si="13"/>
        <v>-0.125</v>
      </c>
      <c r="J51" s="373"/>
      <c r="K51" s="366" t="s">
        <v>104</v>
      </c>
      <c r="L51" s="362">
        <f>'[3]Sky West_UA'!$EN$41</f>
        <v>28961</v>
      </c>
      <c r="M51" s="39">
        <f>L51/$L$57</f>
        <v>9.0004444126760164E-3</v>
      </c>
      <c r="N51" s="9">
        <f>'[3]Sky West_UA'!$DZ$41+'[3]Sky West_CO'!$DZ$41</f>
        <v>20325</v>
      </c>
      <c r="O51" s="86">
        <f t="shared" si="14"/>
        <v>0.42489544895448955</v>
      </c>
      <c r="P51" s="9">
        <f>SUM('[3]Sky West_UA'!$EL$41:$EN$41)</f>
        <v>52406</v>
      </c>
      <c r="Q51" s="9">
        <f>SUM('[3]Sky West_UA'!$DX$41:$DZ$41)+SUM('[3]Sky West_CO'!$DX$41:$DZ$41)</f>
        <v>58292</v>
      </c>
      <c r="R51" s="86">
        <f t="shared" si="15"/>
        <v>-0.10097440472105949</v>
      </c>
      <c r="T51" s="20"/>
    </row>
    <row r="52" spans="1:21" s="7" customFormat="1" ht="14.1" customHeight="1" x14ac:dyDescent="0.2">
      <c r="A52" s="373"/>
      <c r="B52" s="368" t="s">
        <v>139</v>
      </c>
      <c r="C52" s="362">
        <f>'[3]Shuttle America'!$EN$19</f>
        <v>152</v>
      </c>
      <c r="D52" s="39">
        <f>C52/$C$57</f>
        <v>4.7300451221409679E-3</v>
      </c>
      <c r="E52" s="9">
        <f>'[3]Shuttle America'!$DZ$19</f>
        <v>182</v>
      </c>
      <c r="F52" s="86">
        <f t="shared" si="12"/>
        <v>-0.16483516483516483</v>
      </c>
      <c r="G52" s="9">
        <f>SUM('[3]Shuttle America'!$EL$19:$EN$19)</f>
        <v>328</v>
      </c>
      <c r="H52" s="9">
        <f>SUM('[3]Shuttle America'!$DX$19:$DZ$19)</f>
        <v>654</v>
      </c>
      <c r="I52" s="86">
        <f t="shared" si="13"/>
        <v>-0.49847094801223241</v>
      </c>
      <c r="J52" s="373"/>
      <c r="K52" s="368" t="s">
        <v>139</v>
      </c>
      <c r="L52" s="362">
        <f>'[3]Shuttle America'!$EN$41</f>
        <v>9375</v>
      </c>
      <c r="M52" s="39">
        <f>L52/$L$57</f>
        <v>2.9135446417194732E-3</v>
      </c>
      <c r="N52" s="9">
        <f>'[3]Shuttle America'!$DZ$41</f>
        <v>10793</v>
      </c>
      <c r="O52" s="86">
        <f t="shared" si="14"/>
        <v>-0.13138145094042436</v>
      </c>
      <c r="P52" s="9">
        <f>SUM('[3]Shuttle America'!$EL$41:$EN$41)</f>
        <v>18915</v>
      </c>
      <c r="Q52" s="9">
        <f>SUM('[3]Shuttle America'!$DX$41:$DZ$41)</f>
        <v>38381</v>
      </c>
      <c r="R52" s="86">
        <f t="shared" si="15"/>
        <v>-0.50717803079648782</v>
      </c>
      <c r="T52" s="20"/>
    </row>
    <row r="53" spans="1:21" s="7" customFormat="1" ht="14.1" customHeight="1" thickBot="1" x14ac:dyDescent="0.25">
      <c r="A53" s="373"/>
      <c r="B53" s="368"/>
      <c r="C53" s="374"/>
      <c r="D53" s="375"/>
      <c r="E53" s="376"/>
      <c r="F53" s="377"/>
      <c r="G53" s="378"/>
      <c r="H53" s="378"/>
      <c r="I53" s="377"/>
      <c r="J53" s="449"/>
      <c r="K53" s="450"/>
      <c r="L53" s="374"/>
      <c r="M53" s="375"/>
      <c r="N53" s="378"/>
      <c r="O53" s="377"/>
      <c r="P53" s="378"/>
      <c r="Q53" s="378"/>
      <c r="R53" s="377"/>
      <c r="T53" s="20"/>
    </row>
    <row r="54" spans="1:21" s="229" customFormat="1" ht="14.1" customHeight="1" thickBot="1" x14ac:dyDescent="0.25">
      <c r="B54" s="264"/>
      <c r="C54" s="360"/>
      <c r="D54" s="359"/>
      <c r="E54" s="360"/>
      <c r="F54" s="359"/>
      <c r="G54" s="448"/>
      <c r="H54" s="360"/>
      <c r="I54" s="359"/>
      <c r="J54" s="379"/>
      <c r="K54" s="264"/>
      <c r="L54" s="380"/>
      <c r="M54" s="379"/>
      <c r="N54" s="381"/>
      <c r="O54" s="379"/>
      <c r="P54" s="230"/>
      <c r="Q54" s="230"/>
      <c r="R54" s="230"/>
      <c r="T54" s="228"/>
      <c r="U54"/>
    </row>
    <row r="55" spans="1:21" ht="14.1" customHeight="1" x14ac:dyDescent="0.2">
      <c r="B55" s="382" t="s">
        <v>141</v>
      </c>
      <c r="C55" s="461">
        <f>+C57-C56</f>
        <v>18137</v>
      </c>
      <c r="D55" s="473">
        <f>C55/$C$57</f>
        <v>0.56440018671230741</v>
      </c>
      <c r="E55" s="463">
        <f>+E57-E56</f>
        <v>17212</v>
      </c>
      <c r="F55" s="464">
        <f>(C55-E55)/E55</f>
        <v>5.3741575644898905E-2</v>
      </c>
      <c r="G55" s="461">
        <f>+G57-G56</f>
        <v>49187</v>
      </c>
      <c r="H55" s="463">
        <f>+H57-H56</f>
        <v>46195</v>
      </c>
      <c r="I55" s="470">
        <f>(G55-H55)/H55</f>
        <v>6.4768914384673665E-2</v>
      </c>
      <c r="K55" s="382" t="s">
        <v>141</v>
      </c>
      <c r="L55" s="461">
        <f>+L57-L56</f>
        <v>2483798</v>
      </c>
      <c r="M55" s="462">
        <f>+L55/L57</f>
        <v>0.77191001109477797</v>
      </c>
      <c r="N55" s="463">
        <f>+N57-N56</f>
        <v>2353250</v>
      </c>
      <c r="O55" s="464">
        <f>(L55-N55)/N55</f>
        <v>5.5475618825029216E-2</v>
      </c>
      <c r="P55" s="461">
        <f>+P57-P56</f>
        <v>6410045</v>
      </c>
      <c r="Q55" s="463">
        <f>+Q57-Q56</f>
        <v>6004136</v>
      </c>
      <c r="R55" s="470">
        <f>(P55-Q55)/Q55</f>
        <v>6.7604897690525328E-2</v>
      </c>
    </row>
    <row r="56" spans="1:21" ht="14.1" customHeight="1" x14ac:dyDescent="0.2">
      <c r="B56" s="334" t="s">
        <v>142</v>
      </c>
      <c r="C56" s="465">
        <f>C52+C30+C28+C26+C25+C29+C18+C51+C48+C27+C47+C49+C21+C20+C19+C13+C7+C6+C50</f>
        <v>13998</v>
      </c>
      <c r="D56" s="437">
        <f>C56/$C$57</f>
        <v>0.43559981328769254</v>
      </c>
      <c r="E56" s="383">
        <f>E52+E30+E28+E26+E25+E29+E18+E51+E48+E27+E47+E49+E21+E20+E19+E13+E7+E6+E50</f>
        <v>15068</v>
      </c>
      <c r="F56" s="385">
        <f>(C56-E56)/E56</f>
        <v>-7.1011414919033719E-2</v>
      </c>
      <c r="G56" s="465">
        <f>G52+G30+G28+G26+G25+G29+G18+G51+G48+G27+G47+G49+G21+G20+G19+G13+G7+G6+G50</f>
        <v>39273</v>
      </c>
      <c r="H56" s="383">
        <f>H52+H30+H28+H26+H25+H29+H18+H51+H48+H27+H47+H49+H21+H20+H19+H13+H7+H6+H50</f>
        <v>41633</v>
      </c>
      <c r="I56" s="471">
        <f>(G56-H56)/H56</f>
        <v>-5.6685802128119522E-2</v>
      </c>
      <c r="K56" s="334" t="s">
        <v>142</v>
      </c>
      <c r="L56" s="465">
        <f>L52+L30+L28+L26+L25+L29+L18+L51+L48+L27+L47+L49+L21+L20+L19+L13+L7+L6+L50</f>
        <v>733932</v>
      </c>
      <c r="M56" s="384">
        <f>+L56/L57</f>
        <v>0.228089988905222</v>
      </c>
      <c r="N56" s="383">
        <f>N52+N30+N28+N26+N25+N29+N18+N51+N48+N27+N47+N49+N21+N20+N19+N13+N7+N6+N50</f>
        <v>779001</v>
      </c>
      <c r="O56" s="385">
        <f>(L56-N56)/N56</f>
        <v>-5.785486796550967E-2</v>
      </c>
      <c r="P56" s="465">
        <f>P52+P30+P28+P26+P25+P29+P18+P51+P48+P27+P47+P49+P21+P20+P19+P13+P7+P6+P50</f>
        <v>1971407</v>
      </c>
      <c r="Q56" s="383">
        <f>Q52+Q30+Q28+Q26+Q25+Q29+Q18+Q51+Q48+Q27+Q47+Q49+Q21+Q20+Q19+Q13+Q7+Q6+Q50</f>
        <v>2084848</v>
      </c>
      <c r="R56" s="471">
        <f>(P56-Q56)/Q56</f>
        <v>-5.4412120212120982E-2</v>
      </c>
    </row>
    <row r="57" spans="1:21" ht="14.1" customHeight="1" thickBot="1" x14ac:dyDescent="0.25">
      <c r="B57" s="334" t="s">
        <v>143</v>
      </c>
      <c r="C57" s="466">
        <f>C45+C43+C38+C36+C32+C23+C15+C11+C4+C34+C41</f>
        <v>32135</v>
      </c>
      <c r="D57" s="474">
        <f>+C57/C57</f>
        <v>1</v>
      </c>
      <c r="E57" s="468">
        <f>E45+E43+E38+E36+E32+E23+E15+E11+E4+E34+E41</f>
        <v>32280</v>
      </c>
      <c r="F57" s="469">
        <f>(C57-E57)/E57</f>
        <v>-4.4919454770755889E-3</v>
      </c>
      <c r="G57" s="466">
        <f>G45+G43+G38+G36+G32+G23+G15+G11+G4+G34+G41</f>
        <v>88460</v>
      </c>
      <c r="H57" s="468">
        <f>H45+H43+H38+H36+H32+H23+H15+H11+H4+H34+H41</f>
        <v>87828</v>
      </c>
      <c r="I57" s="472">
        <f>(G57-H57)/H57</f>
        <v>7.1958828619574627E-3</v>
      </c>
      <c r="K57" s="334" t="s">
        <v>143</v>
      </c>
      <c r="L57" s="466">
        <f>L45+L43+L38+L36+L32+L23+L15+L11+L4+L34+L41</f>
        <v>3217730</v>
      </c>
      <c r="M57" s="467">
        <f>+L57/L57</f>
        <v>1</v>
      </c>
      <c r="N57" s="468">
        <f>N45+N43+N38+N36+N32+N23+N15+N11+N4+N34+N41</f>
        <v>3132251</v>
      </c>
      <c r="O57" s="469">
        <f>(L57-N57)/N57</f>
        <v>2.7289958563346296E-2</v>
      </c>
      <c r="P57" s="466">
        <f>P45+P43+P38+P36+P32+P23+P15+P11+P4+P34+P41</f>
        <v>8381452</v>
      </c>
      <c r="Q57" s="468">
        <f>Q45+Q43+Q38+Q36+Q32+Q23+Q15+Q11+Q4+Q34+Q41</f>
        <v>8088984</v>
      </c>
      <c r="R57" s="472">
        <f>(P57-Q57)/Q57</f>
        <v>3.6156333106852477E-2</v>
      </c>
    </row>
    <row r="58" spans="1:21" x14ac:dyDescent="0.2">
      <c r="B58" s="334"/>
      <c r="F58" s="37"/>
      <c r="G58" s="231"/>
      <c r="H58" s="5"/>
      <c r="I58" s="37"/>
      <c r="K58" s="11"/>
      <c r="L58" s="4"/>
      <c r="M58" s="227"/>
      <c r="N58" s="4"/>
      <c r="O58" s="227"/>
      <c r="P58" s="4"/>
      <c r="Q58" s="7"/>
      <c r="R58" s="7"/>
    </row>
    <row r="59" spans="1:21" x14ac:dyDescent="0.2">
      <c r="B59" s="264"/>
      <c r="D59" s="4"/>
      <c r="E59" s="227"/>
      <c r="F59" s="227"/>
      <c r="G59" s="7"/>
      <c r="H59" s="7"/>
      <c r="I59"/>
      <c r="J59"/>
      <c r="K59"/>
      <c r="M59"/>
      <c r="O59"/>
      <c r="P59" s="2"/>
      <c r="Q59" s="2"/>
    </row>
    <row r="60" spans="1:21" x14ac:dyDescent="0.2">
      <c r="B60" s="334"/>
      <c r="D60" s="4"/>
      <c r="E60" s="427"/>
      <c r="F60" s="227"/>
      <c r="G60" s="4"/>
      <c r="H60" s="4"/>
      <c r="I60"/>
      <c r="J60"/>
      <c r="K60"/>
      <c r="M60"/>
      <c r="O60"/>
      <c r="P60" s="2"/>
      <c r="Q60" s="2"/>
    </row>
    <row r="61" spans="1:21" x14ac:dyDescent="0.2">
      <c r="B61" s="264"/>
      <c r="D61" s="4"/>
      <c r="E61" s="427"/>
      <c r="F61" s="227"/>
      <c r="G61" s="4"/>
      <c r="H61" s="4"/>
      <c r="I61"/>
      <c r="J61"/>
      <c r="K61"/>
      <c r="L61"/>
      <c r="M61"/>
      <c r="O61"/>
      <c r="P61" s="422"/>
    </row>
    <row r="62" spans="1:21" x14ac:dyDescent="0.2">
      <c r="D62" s="4"/>
      <c r="E62" s="227"/>
      <c r="F62" s="227"/>
      <c r="G62" s="4"/>
      <c r="H62" s="7"/>
      <c r="I62"/>
      <c r="J62"/>
      <c r="K62"/>
      <c r="L62"/>
      <c r="M62"/>
      <c r="N62"/>
      <c r="O62"/>
      <c r="P62" s="130"/>
    </row>
    <row r="63" spans="1:21" x14ac:dyDescent="0.2">
      <c r="D63" s="4"/>
      <c r="E63" s="227"/>
      <c r="F63" s="227"/>
      <c r="G63" s="4"/>
      <c r="H63" s="7"/>
      <c r="I63"/>
      <c r="J63"/>
      <c r="K63"/>
      <c r="M63"/>
      <c r="N63"/>
      <c r="O63"/>
    </row>
    <row r="64" spans="1:21" x14ac:dyDescent="0.2">
      <c r="D64" s="4"/>
      <c r="E64" s="3"/>
      <c r="G64" s="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F134" s="37"/>
      <c r="G134" s="231"/>
      <c r="H134" s="5"/>
      <c r="I134" s="37"/>
      <c r="K134" s="11"/>
    </row>
    <row r="135" spans="4:15" x14ac:dyDescent="0.2">
      <c r="F135" s="37"/>
      <c r="G135" s="231"/>
      <c r="H135" s="5"/>
      <c r="I135" s="37"/>
      <c r="K135" s="11"/>
    </row>
    <row r="136" spans="4:15" x14ac:dyDescent="0.2">
      <c r="F136" s="37"/>
      <c r="G136" s="231"/>
      <c r="H136" s="5"/>
      <c r="I136" s="37"/>
      <c r="K136" s="11"/>
    </row>
    <row r="137" spans="4:15" x14ac:dyDescent="0.2">
      <c r="F137" s="37"/>
      <c r="G137" s="231"/>
      <c r="H137" s="5"/>
      <c r="I137" s="37"/>
      <c r="K137" s="11"/>
    </row>
    <row r="138" spans="4:15" x14ac:dyDescent="0.2">
      <c r="F138" s="37"/>
      <c r="G138" s="231"/>
      <c r="H138" s="5"/>
      <c r="I138" s="37"/>
      <c r="K138" s="11"/>
    </row>
    <row r="139" spans="4:15" x14ac:dyDescent="0.2">
      <c r="F139" s="37"/>
      <c r="G139" s="231"/>
      <c r="H139" s="5"/>
      <c r="I139" s="37"/>
      <c r="K139" s="11"/>
    </row>
    <row r="140" spans="4:15" x14ac:dyDescent="0.2">
      <c r="F140" s="37"/>
      <c r="G140" s="231"/>
      <c r="H140" s="5"/>
      <c r="I140" s="37"/>
      <c r="K140" s="11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G1187" s="231"/>
      <c r="H1187" s="5"/>
      <c r="I1187" s="37"/>
      <c r="K1187" s="11"/>
    </row>
    <row r="1188" spans="6:11" x14ac:dyDescent="0.2">
      <c r="G1188" s="231"/>
      <c r="H1188" s="5"/>
      <c r="I1188" s="37"/>
      <c r="K1188" s="11"/>
    </row>
    <row r="1189" spans="6:11" x14ac:dyDescent="0.2">
      <c r="G1189" s="231"/>
      <c r="H1189" s="5"/>
      <c r="I1189" s="37"/>
      <c r="K1189" s="11"/>
    </row>
    <row r="1190" spans="6:11" x14ac:dyDescent="0.2">
      <c r="G1190" s="231"/>
      <c r="H1190" s="5"/>
      <c r="I1190" s="37"/>
      <c r="K1190" s="11"/>
    </row>
    <row r="1191" spans="6:11" x14ac:dyDescent="0.2">
      <c r="G1191" s="231"/>
      <c r="H1191" s="5"/>
      <c r="I1191" s="37"/>
      <c r="K1191" s="11"/>
    </row>
    <row r="1192" spans="6:11" x14ac:dyDescent="0.2">
      <c r="G1192" s="231"/>
      <c r="H1192" s="5"/>
      <c r="I1192" s="37"/>
      <c r="K1192" s="11"/>
    </row>
    <row r="1193" spans="6:11" x14ac:dyDescent="0.2"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March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N56" sqref="N5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90">
        <v>42430</v>
      </c>
      <c r="B1" s="458" t="s">
        <v>19</v>
      </c>
      <c r="C1" s="458" t="s">
        <v>20</v>
      </c>
      <c r="D1" s="458" t="s">
        <v>21</v>
      </c>
      <c r="E1" s="458" t="s">
        <v>167</v>
      </c>
      <c r="F1" s="458" t="s">
        <v>182</v>
      </c>
      <c r="G1" s="458" t="s">
        <v>168</v>
      </c>
      <c r="H1" s="458" t="s">
        <v>23</v>
      </c>
      <c r="I1" s="459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[3]American!$EN$22</f>
        <v>92857</v>
      </c>
      <c r="C4" s="21">
        <f>[3]Delta!$EN$22+[3]Delta!$EN$32</f>
        <v>837524</v>
      </c>
      <c r="D4" s="21">
        <f>[3]United!$EN$22</f>
        <v>27800</v>
      </c>
      <c r="E4" s="21">
        <f>[3]Spirit!$EN$22</f>
        <v>53616</v>
      </c>
      <c r="F4" s="21">
        <f>[3]Condor!$EN$22</f>
        <v>0</v>
      </c>
      <c r="G4" s="21">
        <f>'[3]Air France'!$EN$22</f>
        <v>0</v>
      </c>
      <c r="H4" s="21">
        <f>'Other Major Airline Stats'!H5</f>
        <v>225953</v>
      </c>
      <c r="I4" s="286">
        <f>SUM(B4:H4)</f>
        <v>1237750</v>
      </c>
    </row>
    <row r="5" spans="1:18" x14ac:dyDescent="0.2">
      <c r="A5" s="62" t="s">
        <v>34</v>
      </c>
      <c r="B5" s="14">
        <f>[3]American!$EN$23</f>
        <v>92160</v>
      </c>
      <c r="C5" s="14">
        <f>[3]Delta!$EN$23+[3]Delta!$EN$33</f>
        <v>841758</v>
      </c>
      <c r="D5" s="14">
        <f>[3]United!$EN$23</f>
        <v>27958</v>
      </c>
      <c r="E5" s="14">
        <f>[3]Spirit!$EN$23</f>
        <v>55366</v>
      </c>
      <c r="F5" s="14">
        <f>[3]Condor!$EN$23</f>
        <v>0</v>
      </c>
      <c r="G5" s="14">
        <f>'[3]Air France'!$EN$23</f>
        <v>0</v>
      </c>
      <c r="H5" s="14">
        <f>'Other Major Airline Stats'!H6</f>
        <v>228806</v>
      </c>
      <c r="I5" s="287">
        <f>SUM(B5:H5)</f>
        <v>1246048</v>
      </c>
      <c r="K5" s="314"/>
      <c r="L5" s="314"/>
      <c r="M5" s="314"/>
      <c r="N5" s="314"/>
      <c r="O5" s="314"/>
      <c r="P5" s="314"/>
      <c r="Q5" s="314"/>
      <c r="R5" s="314"/>
    </row>
    <row r="6" spans="1:18" ht="15" x14ac:dyDescent="0.25">
      <c r="A6" s="60" t="s">
        <v>7</v>
      </c>
      <c r="B6" s="34">
        <f t="shared" ref="B6:H6" si="0">SUM(B4:B5)</f>
        <v>185017</v>
      </c>
      <c r="C6" s="34">
        <f t="shared" si="0"/>
        <v>1679282</v>
      </c>
      <c r="D6" s="34">
        <f t="shared" si="0"/>
        <v>55758</v>
      </c>
      <c r="E6" s="34">
        <f t="shared" si="0"/>
        <v>108982</v>
      </c>
      <c r="F6" s="34">
        <f t="shared" ref="F6:G6" si="1">SUM(F4:F5)</f>
        <v>0</v>
      </c>
      <c r="G6" s="34">
        <f t="shared" si="1"/>
        <v>0</v>
      </c>
      <c r="H6" s="34">
        <f t="shared" si="0"/>
        <v>454759</v>
      </c>
      <c r="I6" s="288">
        <f>SUM(B6:H6)</f>
        <v>2483798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[3]American!$EN$27</f>
        <v>3044</v>
      </c>
      <c r="C9" s="21">
        <f>[3]Delta!$EN$27+[3]Delta!$EN$37</f>
        <v>30064</v>
      </c>
      <c r="D9" s="21">
        <f>[3]United!$EN$27</f>
        <v>893</v>
      </c>
      <c r="E9" s="21">
        <f>[3]Spirit!$EN$27</f>
        <v>313</v>
      </c>
      <c r="F9" s="21">
        <f>[3]Condor!$EN$27</f>
        <v>0</v>
      </c>
      <c r="G9" s="21">
        <f>'[3]Air France'!$EN$27</f>
        <v>0</v>
      </c>
      <c r="H9" s="21">
        <f>'Other Major Airline Stats'!H10</f>
        <v>2959</v>
      </c>
      <c r="I9" s="286">
        <f>SUM(B9:H9)</f>
        <v>37273</v>
      </c>
    </row>
    <row r="10" spans="1:18" x14ac:dyDescent="0.2">
      <c r="A10" s="62" t="s">
        <v>36</v>
      </c>
      <c r="B10" s="14">
        <f>[3]American!$EN$28</f>
        <v>3017</v>
      </c>
      <c r="C10" s="14">
        <f>[3]Delta!$EN$28+[3]Delta!$EN$38</f>
        <v>29970</v>
      </c>
      <c r="D10" s="14">
        <f>[3]United!$EN$28</f>
        <v>921</v>
      </c>
      <c r="E10" s="14">
        <f>[3]Spirit!$EN$28</f>
        <v>293</v>
      </c>
      <c r="F10" s="14">
        <f>[3]Condor!$EN$28</f>
        <v>0</v>
      </c>
      <c r="G10" s="14">
        <f>'[3]Air France'!$EN$28</f>
        <v>0</v>
      </c>
      <c r="H10" s="14">
        <f>'Other Major Airline Stats'!H11</f>
        <v>3078</v>
      </c>
      <c r="I10" s="287">
        <f>SUM(B10:H10)</f>
        <v>37279</v>
      </c>
    </row>
    <row r="11" spans="1:18" ht="15.75" thickBot="1" x14ac:dyDescent="0.3">
      <c r="A11" s="63" t="s">
        <v>37</v>
      </c>
      <c r="B11" s="289">
        <f t="shared" ref="B11:H11" si="2">SUM(B9:B10)</f>
        <v>6061</v>
      </c>
      <c r="C11" s="289">
        <f t="shared" si="2"/>
        <v>60034</v>
      </c>
      <c r="D11" s="289">
        <f t="shared" si="2"/>
        <v>1814</v>
      </c>
      <c r="E11" s="289">
        <f t="shared" si="2"/>
        <v>606</v>
      </c>
      <c r="F11" s="289">
        <f t="shared" ref="F11:G11" si="3">SUM(F9:F10)</f>
        <v>0</v>
      </c>
      <c r="G11" s="289">
        <f t="shared" si="3"/>
        <v>0</v>
      </c>
      <c r="H11" s="289">
        <f t="shared" si="2"/>
        <v>6037</v>
      </c>
      <c r="I11" s="290">
        <f>SUM(B11:H11)</f>
        <v>74552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[3]American!$EN$4</f>
        <v>715</v>
      </c>
      <c r="C15" s="21">
        <f>[3]Delta!$EN$4+[3]Delta!$EN$15</f>
        <v>5924</v>
      </c>
      <c r="D15" s="21">
        <f>[3]United!$EN$4</f>
        <v>230</v>
      </c>
      <c r="E15" s="21">
        <f>[3]Spirit!$EN$4</f>
        <v>340</v>
      </c>
      <c r="F15" s="21">
        <f>[3]Condor!$EN$4</f>
        <v>0</v>
      </c>
      <c r="G15" s="21">
        <f>'[3]Air France'!$EN$4</f>
        <v>0</v>
      </c>
      <c r="H15" s="21">
        <f>'Other Major Airline Stats'!H16</f>
        <v>1782</v>
      </c>
      <c r="I15" s="27">
        <f>SUM(B15:H15)</f>
        <v>8991</v>
      </c>
    </row>
    <row r="16" spans="1:18" x14ac:dyDescent="0.2">
      <c r="A16" s="62" t="s">
        <v>26</v>
      </c>
      <c r="B16" s="14">
        <f>[3]American!$EN$5</f>
        <v>716</v>
      </c>
      <c r="C16" s="14">
        <f>[3]Delta!$EN$5+[3]Delta!$EN$16</f>
        <v>5921</v>
      </c>
      <c r="D16" s="14">
        <f>[3]United!$EN$5</f>
        <v>230</v>
      </c>
      <c r="E16" s="14">
        <f>[3]Spirit!$EN$5</f>
        <v>340</v>
      </c>
      <c r="F16" s="14">
        <f>[3]Condor!$EN$5</f>
        <v>0</v>
      </c>
      <c r="G16" s="14">
        <f>'[3]Air France'!$EN$5</f>
        <v>0</v>
      </c>
      <c r="H16" s="14">
        <f>'Other Major Airline Stats'!H17</f>
        <v>1782</v>
      </c>
      <c r="I16" s="33">
        <f>SUM(B16:H16)</f>
        <v>8989</v>
      </c>
    </row>
    <row r="17" spans="1:9" x14ac:dyDescent="0.2">
      <c r="A17" s="62" t="s">
        <v>27</v>
      </c>
      <c r="B17" s="293">
        <f t="shared" ref="B17:H17" si="4">SUM(B15:B16)</f>
        <v>1431</v>
      </c>
      <c r="C17" s="291">
        <f t="shared" si="4"/>
        <v>11845</v>
      </c>
      <c r="D17" s="291">
        <f t="shared" si="4"/>
        <v>460</v>
      </c>
      <c r="E17" s="291">
        <f t="shared" si="4"/>
        <v>680</v>
      </c>
      <c r="F17" s="291">
        <f t="shared" ref="F17:G17" si="5">SUM(F15:F16)</f>
        <v>0</v>
      </c>
      <c r="G17" s="291">
        <f t="shared" si="5"/>
        <v>0</v>
      </c>
      <c r="H17" s="291">
        <f t="shared" si="4"/>
        <v>3564</v>
      </c>
      <c r="I17" s="292">
        <f>SUM(B17:H17)</f>
        <v>17980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[3]American!$EN$8</f>
        <v>0</v>
      </c>
      <c r="C19" s="21">
        <f>[3]Delta!$EN$8</f>
        <v>1</v>
      </c>
      <c r="D19" s="21">
        <f>[3]United!$EN$8</f>
        <v>0</v>
      </c>
      <c r="E19" s="21">
        <f>[3]Spirit!$EN$8</f>
        <v>0</v>
      </c>
      <c r="F19" s="21">
        <f>[3]Condor!$EN$8</f>
        <v>0</v>
      </c>
      <c r="G19" s="21">
        <f>'[3]Air France'!$EN$8</f>
        <v>0</v>
      </c>
      <c r="H19" s="21">
        <f>'Other Major Airline Stats'!H20</f>
        <v>74</v>
      </c>
      <c r="I19" s="27">
        <f>SUM(B19:H19)</f>
        <v>75</v>
      </c>
    </row>
    <row r="20" spans="1:9" x14ac:dyDescent="0.2">
      <c r="A20" s="62" t="s">
        <v>29</v>
      </c>
      <c r="B20" s="14">
        <f>[3]American!$EN$9</f>
        <v>0</v>
      </c>
      <c r="C20" s="14">
        <f>[3]Delta!$EN$9</f>
        <v>10</v>
      </c>
      <c r="D20" s="14">
        <f>[3]United!$EN$9</f>
        <v>0</v>
      </c>
      <c r="E20" s="14">
        <f>[3]Spirit!$EN$9</f>
        <v>0</v>
      </c>
      <c r="F20" s="14">
        <f>[3]Condor!$EN$9</f>
        <v>0</v>
      </c>
      <c r="G20" s="14">
        <f>'[3]Air France'!$EN$9</f>
        <v>0</v>
      </c>
      <c r="H20" s="14">
        <f>'Other Major Airline Stats'!H21</f>
        <v>72</v>
      </c>
      <c r="I20" s="33">
        <f>SUM(B20:H20)</f>
        <v>82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11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146</v>
      </c>
      <c r="I21" s="176">
        <f>SUM(B21:H21)</f>
        <v>157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1431</v>
      </c>
      <c r="C23" s="28">
        <f t="shared" si="8"/>
        <v>11856</v>
      </c>
      <c r="D23" s="28">
        <f t="shared" si="8"/>
        <v>460</v>
      </c>
      <c r="E23" s="28">
        <f>E17+E21</f>
        <v>680</v>
      </c>
      <c r="F23" s="28">
        <f t="shared" ref="F23:G23" si="9">F17+F21</f>
        <v>0</v>
      </c>
      <c r="G23" s="28">
        <f t="shared" si="9"/>
        <v>0</v>
      </c>
      <c r="H23" s="28">
        <f t="shared" si="8"/>
        <v>3710</v>
      </c>
      <c r="I23" s="29">
        <f>SUM(B23:H23)</f>
        <v>18137</v>
      </c>
    </row>
    <row r="25" spans="1:9" ht="13.5" thickBot="1" x14ac:dyDescent="0.25">
      <c r="B25" s="426"/>
      <c r="C25" s="426"/>
      <c r="D25" s="426"/>
      <c r="E25" s="426"/>
      <c r="F25" s="426"/>
      <c r="G25" s="426"/>
      <c r="H25" s="426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[3]American!$EN$47</f>
        <v>38885</v>
      </c>
      <c r="C28" s="21">
        <f>[3]Delta!$EN$47</f>
        <v>3546812</v>
      </c>
      <c r="D28" s="21">
        <f>[3]United!$EN$47</f>
        <v>18850</v>
      </c>
      <c r="E28" s="21">
        <f>[3]Spirit!$EN$47</f>
        <v>0</v>
      </c>
      <c r="F28" s="21">
        <f>[3]Condor!$EN$47</f>
        <v>0</v>
      </c>
      <c r="G28" s="21">
        <f>'[3]Air France'!$EN$47</f>
        <v>0</v>
      </c>
      <c r="H28" s="21">
        <f>'Other Major Airline Stats'!H28</f>
        <v>289080</v>
      </c>
      <c r="I28" s="27">
        <f>SUM(B28:H28)</f>
        <v>3893627</v>
      </c>
    </row>
    <row r="29" spans="1:9" x14ac:dyDescent="0.2">
      <c r="A29" s="62" t="s">
        <v>41</v>
      </c>
      <c r="B29" s="14">
        <f>[3]American!$EN$48</f>
        <v>48262</v>
      </c>
      <c r="C29" s="14">
        <f>[3]Delta!$EN$48</f>
        <v>551380</v>
      </c>
      <c r="D29" s="14">
        <f>[3]United!$EN$48</f>
        <v>80109</v>
      </c>
      <c r="E29" s="14">
        <f>[3]Spirit!$EN$48</f>
        <v>0</v>
      </c>
      <c r="F29" s="14">
        <f>[3]Condor!$EN$48</f>
        <v>0</v>
      </c>
      <c r="G29" s="14">
        <f>'[3]Air France'!$EN$48</f>
        <v>0</v>
      </c>
      <c r="H29" s="14">
        <f>'Other Major Airline Stats'!H29</f>
        <v>93.546000000000006</v>
      </c>
      <c r="I29" s="33">
        <f>SUM(B29:H29)</f>
        <v>679844.54599999997</v>
      </c>
    </row>
    <row r="30" spans="1:9" x14ac:dyDescent="0.2">
      <c r="A30" s="66" t="s">
        <v>42</v>
      </c>
      <c r="B30" s="293">
        <f t="shared" ref="B30:H30" si="10">SUM(B28:B29)</f>
        <v>87147</v>
      </c>
      <c r="C30" s="293">
        <f t="shared" si="10"/>
        <v>4098192</v>
      </c>
      <c r="D30" s="293">
        <f t="shared" si="10"/>
        <v>98959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0</v>
      </c>
      <c r="H30" s="293">
        <f t="shared" si="10"/>
        <v>289173.54599999997</v>
      </c>
      <c r="I30" s="27">
        <f>SUM(B30:H30)</f>
        <v>4573471.5460000001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[3]American!$EN$52</f>
        <v>15337</v>
      </c>
      <c r="C33" s="21">
        <f>[3]Delta!$EN$52</f>
        <v>2523352</v>
      </c>
      <c r="D33" s="21">
        <f>[3]United!$EN$52</f>
        <v>2879</v>
      </c>
      <c r="E33" s="21">
        <f>[3]Spirit!$EN$52</f>
        <v>0</v>
      </c>
      <c r="F33" s="21">
        <f>[3]Condor!$EN$52</f>
        <v>0</v>
      </c>
      <c r="G33" s="21">
        <f>'[3]Air France'!$EN$52</f>
        <v>0</v>
      </c>
      <c r="H33" s="21">
        <f>'Other Major Airline Stats'!H33</f>
        <v>195222</v>
      </c>
      <c r="I33" s="27">
        <f t="shared" si="12"/>
        <v>2736790</v>
      </c>
    </row>
    <row r="34" spans="1:9" x14ac:dyDescent="0.2">
      <c r="A34" s="62" t="s">
        <v>41</v>
      </c>
      <c r="B34" s="14">
        <f>[3]American!$EN$53</f>
        <v>92582</v>
      </c>
      <c r="C34" s="14">
        <f>[3]Delta!$EN$53</f>
        <v>735059</v>
      </c>
      <c r="D34" s="14">
        <f>[3]United!$EN$53</f>
        <v>134219</v>
      </c>
      <c r="E34" s="14">
        <f>[3]Spirit!$EN$53</f>
        <v>0</v>
      </c>
      <c r="F34" s="14">
        <f>[3]Condor!$EN$53</f>
        <v>0</v>
      </c>
      <c r="G34" s="14">
        <f>'[3]Air France'!$EN$53</f>
        <v>0</v>
      </c>
      <c r="H34" s="14">
        <f>'Other Major Airline Stats'!H34</f>
        <v>118678</v>
      </c>
      <c r="I34" s="33">
        <f t="shared" si="12"/>
        <v>1080538</v>
      </c>
    </row>
    <row r="35" spans="1:9" x14ac:dyDescent="0.2">
      <c r="A35" s="66" t="s">
        <v>44</v>
      </c>
      <c r="B35" s="293">
        <f t="shared" ref="B35:H35" si="13">SUM(B33:B34)</f>
        <v>107919</v>
      </c>
      <c r="C35" s="293">
        <f t="shared" si="13"/>
        <v>3258411</v>
      </c>
      <c r="D35" s="293">
        <f t="shared" si="13"/>
        <v>137098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0</v>
      </c>
      <c r="H35" s="293">
        <f t="shared" si="13"/>
        <v>313900</v>
      </c>
      <c r="I35" s="27">
        <f t="shared" si="12"/>
        <v>3817328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[3]American!$EN$57</f>
        <v>0</v>
      </c>
      <c r="C38" s="21">
        <f>[3]Delta!$EN$57</f>
        <v>0</v>
      </c>
      <c r="D38" s="21">
        <f>[3]United!$EN$57</f>
        <v>0</v>
      </c>
      <c r="E38" s="21">
        <f>[3]Spirit!$EN$57</f>
        <v>0</v>
      </c>
      <c r="F38" s="21">
        <f>[3]Condor!$EN$57</f>
        <v>0</v>
      </c>
      <c r="G38" s="21">
        <f>'[3]Air France'!$EN$57</f>
        <v>0</v>
      </c>
      <c r="H38" s="21">
        <f>'Other Major Airline Stats'!H38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[3]American!$EN$58</f>
        <v>0</v>
      </c>
      <c r="C39" s="14">
        <f>[3]Delta!$EN$58</f>
        <v>0</v>
      </c>
      <c r="D39" s="14">
        <f>[3]United!$EN$58</f>
        <v>0</v>
      </c>
      <c r="E39" s="14">
        <f>[3]Spirit!$EN$58</f>
        <v>0</v>
      </c>
      <c r="F39" s="14">
        <f>[3]Condor!$EN$58</f>
        <v>0</v>
      </c>
      <c r="G39" s="14">
        <f>'[3]Air France'!$EN$58</f>
        <v>0</v>
      </c>
      <c r="H39" s="14">
        <f>'Other Major Airline Stats'!H39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54222</v>
      </c>
      <c r="C43" s="21">
        <f t="shared" si="17"/>
        <v>6070164</v>
      </c>
      <c r="D43" s="21">
        <f t="shared" si="17"/>
        <v>21729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484302</v>
      </c>
      <c r="I43" s="27">
        <f>SUM(B43:H43)</f>
        <v>6630417</v>
      </c>
    </row>
    <row r="44" spans="1:9" x14ac:dyDescent="0.2">
      <c r="A44" s="62" t="s">
        <v>41</v>
      </c>
      <c r="B44" s="14">
        <f t="shared" si="17"/>
        <v>140844</v>
      </c>
      <c r="C44" s="14">
        <f t="shared" si="17"/>
        <v>1286439</v>
      </c>
      <c r="D44" s="14">
        <f t="shared" si="17"/>
        <v>214328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118771.546</v>
      </c>
      <c r="I44" s="27">
        <f>SUM(B44:H44)</f>
        <v>1760382.5460000001</v>
      </c>
    </row>
    <row r="45" spans="1:9" ht="15.75" thickBot="1" x14ac:dyDescent="0.3">
      <c r="A45" s="63" t="s">
        <v>49</v>
      </c>
      <c r="B45" s="294">
        <f t="shared" ref="B45:H45" si="20">SUM(B43:B44)</f>
        <v>195066</v>
      </c>
      <c r="C45" s="294">
        <f t="shared" si="20"/>
        <v>7356603</v>
      </c>
      <c r="D45" s="294">
        <f t="shared" si="20"/>
        <v>236057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0</v>
      </c>
      <c r="H45" s="294">
        <f t="shared" si="20"/>
        <v>603073.54599999997</v>
      </c>
      <c r="I45" s="295">
        <f>SUM(B45:H45)</f>
        <v>8390799.5460000001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6" t="s">
        <v>128</v>
      </c>
      <c r="C47" s="324">
        <f>[3]Delta!$EN$70+[3]Delta!$EN$73</f>
        <v>446973</v>
      </c>
      <c r="D47" s="311"/>
      <c r="E47" s="311"/>
      <c r="F47" s="311"/>
      <c r="G47" s="311"/>
      <c r="H47" s="311"/>
      <c r="I47" s="312">
        <f>SUM(B47:H47)</f>
        <v>446973</v>
      </c>
    </row>
    <row r="48" spans="1:9" hidden="1" x14ac:dyDescent="0.2">
      <c r="A48" s="387" t="s">
        <v>129</v>
      </c>
      <c r="C48" s="324">
        <f>[3]Delta!$EN$71+[3]Delta!$EN$74</f>
        <v>394785</v>
      </c>
      <c r="D48" s="311"/>
      <c r="E48" s="311"/>
      <c r="F48" s="311"/>
      <c r="G48" s="311"/>
      <c r="H48" s="311"/>
      <c r="I48" s="312">
        <f>SUM(B48:H48)</f>
        <v>394785</v>
      </c>
    </row>
    <row r="49" spans="1:9" hidden="1" x14ac:dyDescent="0.2">
      <c r="A49" s="388" t="s">
        <v>130</v>
      </c>
      <c r="C49" s="325">
        <f>SUM(C47:C48)</f>
        <v>841758</v>
      </c>
      <c r="I49" s="312">
        <f>SUM(B49:H49)</f>
        <v>841758</v>
      </c>
    </row>
    <row r="50" spans="1:9" x14ac:dyDescent="0.2">
      <c r="A50" s="386" t="s">
        <v>128</v>
      </c>
      <c r="B50" s="399"/>
      <c r="C50" s="327">
        <f>[3]Delta!$EN$70+[3]Delta!$EN$73</f>
        <v>446973</v>
      </c>
      <c r="D50" s="399"/>
      <c r="E50" s="399"/>
      <c r="F50" s="399"/>
      <c r="G50" s="399"/>
      <c r="H50" s="326">
        <f>'Other Major Airline Stats'!H48</f>
        <v>203259</v>
      </c>
      <c r="I50" s="315">
        <f>SUM(B50:H50)</f>
        <v>650232</v>
      </c>
    </row>
    <row r="51" spans="1:9" x14ac:dyDescent="0.2">
      <c r="A51" s="401" t="s">
        <v>129</v>
      </c>
      <c r="B51" s="399"/>
      <c r="C51" s="327">
        <f>[3]Delta!$EN$71+[3]Delta!$EN$74</f>
        <v>394785</v>
      </c>
      <c r="D51" s="399"/>
      <c r="E51" s="399"/>
      <c r="F51" s="399"/>
      <c r="G51" s="399"/>
      <c r="H51" s="326">
        <f>+'Other Major Airline Stats'!H49</f>
        <v>2458</v>
      </c>
      <c r="I51" s="315">
        <f>SUM(B51:H51)</f>
        <v>397243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March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U49"/>
  <sheetViews>
    <sheetView zoomScaleNormal="100" workbookViewId="0">
      <selection activeCell="G5" sqref="G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0.28515625" bestFit="1" customWidth="1"/>
    <col min="5" max="5" width="13.28515625" bestFit="1" customWidth="1"/>
    <col min="6" max="6" width="12.7109375" bestFit="1" customWidth="1"/>
    <col min="7" max="7" width="11.85546875" bestFit="1" customWidth="1"/>
    <col min="8" max="8" width="12.5703125" bestFit="1" customWidth="1"/>
  </cols>
  <sheetData>
    <row r="2" spans="1:11" ht="26.25" thickBot="1" x14ac:dyDescent="0.25">
      <c r="A2" s="390">
        <v>42430</v>
      </c>
      <c r="B2" s="457" t="s">
        <v>50</v>
      </c>
      <c r="C2" s="457" t="s">
        <v>165</v>
      </c>
      <c r="D2" s="457" t="s">
        <v>51</v>
      </c>
      <c r="E2" s="456" t="s">
        <v>136</v>
      </c>
      <c r="F2" s="456" t="s">
        <v>52</v>
      </c>
      <c r="G2" s="456" t="s">
        <v>135</v>
      </c>
      <c r="H2" s="277" t="s">
        <v>65</v>
      </c>
    </row>
    <row r="3" spans="1:11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52"/>
    </row>
    <row r="4" spans="1:11" x14ac:dyDescent="0.2">
      <c r="A4" s="62" t="s">
        <v>32</v>
      </c>
      <c r="B4" s="118"/>
      <c r="C4" s="118"/>
      <c r="D4" s="118"/>
      <c r="E4" s="118"/>
      <c r="F4" s="118"/>
      <c r="G4" s="118"/>
      <c r="H4" s="153"/>
    </row>
    <row r="5" spans="1:11" x14ac:dyDescent="0.2">
      <c r="A5" s="62" t="s">
        <v>33</v>
      </c>
      <c r="B5" s="146">
        <f>[3]Frontier!$EN$22</f>
        <v>12844</v>
      </c>
      <c r="C5" s="146">
        <f>'[3]Great Lakes'!$EN$22</f>
        <v>154</v>
      </c>
      <c r="D5" s="146">
        <f>[3]Icelandair!$EN$32</f>
        <v>0</v>
      </c>
      <c r="E5" s="118">
        <f>[3]Southwest!$EN$22</f>
        <v>84959</v>
      </c>
      <c r="F5" s="118">
        <f>'[3]Sun Country'!$EN$22+'[3]Sun Country'!$EN$32</f>
        <v>118292</v>
      </c>
      <c r="G5" s="118">
        <f>[3]Alaska!$EN$22</f>
        <v>9704</v>
      </c>
      <c r="H5" s="147">
        <f>SUM(B5:G5)</f>
        <v>225953</v>
      </c>
      <c r="K5" s="130"/>
    </row>
    <row r="6" spans="1:11" x14ac:dyDescent="0.2">
      <c r="A6" s="62" t="s">
        <v>34</v>
      </c>
      <c r="B6" s="146">
        <f>[3]Frontier!$EN$23</f>
        <v>13284</v>
      </c>
      <c r="C6" s="146">
        <f>'[3]Great Lakes'!$EN$23</f>
        <v>150</v>
      </c>
      <c r="D6" s="146">
        <f>[3]Icelandair!$EN$33</f>
        <v>0</v>
      </c>
      <c r="E6" s="118">
        <f>[3]Southwest!$EN$23</f>
        <v>85136</v>
      </c>
      <c r="F6" s="118">
        <f>'[3]Sun Country'!$EN$23+'[3]Sun Country'!$EN$33</f>
        <v>120581</v>
      </c>
      <c r="G6" s="118">
        <f>[3]Alaska!$EN$23</f>
        <v>9655</v>
      </c>
      <c r="H6" s="147">
        <f>SUM(B6:G6)</f>
        <v>228806</v>
      </c>
    </row>
    <row r="7" spans="1:11" ht="15" x14ac:dyDescent="0.25">
      <c r="A7" s="60" t="s">
        <v>7</v>
      </c>
      <c r="B7" s="155">
        <f t="shared" ref="B7:G7" si="0">SUM(B5:B6)</f>
        <v>26128</v>
      </c>
      <c r="C7" s="155">
        <f t="shared" si="0"/>
        <v>304</v>
      </c>
      <c r="D7" s="155">
        <f t="shared" si="0"/>
        <v>0</v>
      </c>
      <c r="E7" s="155">
        <f t="shared" si="0"/>
        <v>170095</v>
      </c>
      <c r="F7" s="155">
        <f>SUM(F5:F6)</f>
        <v>238873</v>
      </c>
      <c r="G7" s="155">
        <f t="shared" si="0"/>
        <v>19359</v>
      </c>
      <c r="H7" s="156">
        <f>SUM(B7:G7)</f>
        <v>454759</v>
      </c>
    </row>
    <row r="8" spans="1:11" x14ac:dyDescent="0.2">
      <c r="A8" s="62"/>
      <c r="B8" s="154"/>
      <c r="C8" s="154"/>
      <c r="D8" s="154"/>
      <c r="E8" s="154"/>
      <c r="F8" s="154"/>
      <c r="G8" s="154"/>
      <c r="H8" s="147"/>
    </row>
    <row r="9" spans="1:11" x14ac:dyDescent="0.2">
      <c r="A9" s="62" t="s">
        <v>35</v>
      </c>
      <c r="B9" s="154"/>
      <c r="C9" s="154"/>
      <c r="D9" s="154"/>
      <c r="E9" s="154"/>
      <c r="F9" s="154"/>
      <c r="G9" s="154"/>
      <c r="H9" s="147"/>
    </row>
    <row r="10" spans="1:11" x14ac:dyDescent="0.2">
      <c r="A10" s="62" t="s">
        <v>33</v>
      </c>
      <c r="B10" s="154">
        <f>[3]Frontier!$EN$27</f>
        <v>106</v>
      </c>
      <c r="C10" s="154">
        <f>'[3]Great Lakes'!$EN$27</f>
        <v>19</v>
      </c>
      <c r="D10" s="154">
        <f>[3]Icelandair!$EN$37</f>
        <v>0</v>
      </c>
      <c r="E10" s="154">
        <f>[3]Southwest!$EN$27</f>
        <v>1062</v>
      </c>
      <c r="F10" s="154">
        <f>'[3]Sun Country'!$EN$27+'[3]Sun Country'!$EN$37</f>
        <v>1444</v>
      </c>
      <c r="G10" s="154">
        <f>[3]Alaska!$EN$27</f>
        <v>328</v>
      </c>
      <c r="H10" s="147">
        <f>SUM(B10:G10)</f>
        <v>2959</v>
      </c>
    </row>
    <row r="11" spans="1:11" x14ac:dyDescent="0.2">
      <c r="A11" s="62" t="s">
        <v>36</v>
      </c>
      <c r="B11" s="157">
        <f>[3]Frontier!$EN$28</f>
        <v>119</v>
      </c>
      <c r="C11" s="157">
        <f>'[3]Great Lakes'!$EN$28</f>
        <v>22</v>
      </c>
      <c r="D11" s="157">
        <f>[3]Icelandair!$EN$38</f>
        <v>0</v>
      </c>
      <c r="E11" s="157">
        <f>[3]Southwest!$EN$28</f>
        <v>1118</v>
      </c>
      <c r="F11" s="157">
        <f>'[3]Sun Country'!$EN$28+'[3]Sun Country'!$EN$38</f>
        <v>1443</v>
      </c>
      <c r="G11" s="157">
        <f>[3]Alaska!$EN$28</f>
        <v>376</v>
      </c>
      <c r="H11" s="147">
        <f>SUM(B11:G11)</f>
        <v>3078</v>
      </c>
    </row>
    <row r="12" spans="1:11" ht="15.75" thickBot="1" x14ac:dyDescent="0.3">
      <c r="A12" s="63" t="s">
        <v>37</v>
      </c>
      <c r="B12" s="150">
        <f t="shared" ref="B12:G12" si="1">SUM(B10:B11)</f>
        <v>225</v>
      </c>
      <c r="C12" s="150">
        <f t="shared" si="1"/>
        <v>41</v>
      </c>
      <c r="D12" s="150">
        <f t="shared" si="1"/>
        <v>0</v>
      </c>
      <c r="E12" s="150">
        <f t="shared" si="1"/>
        <v>2180</v>
      </c>
      <c r="F12" s="150">
        <f>SUM(F10:F11)</f>
        <v>2887</v>
      </c>
      <c r="G12" s="150">
        <f t="shared" si="1"/>
        <v>704</v>
      </c>
      <c r="H12" s="158">
        <f>SUM(B12:G12)</f>
        <v>6037</v>
      </c>
      <c r="K12" s="130"/>
    </row>
    <row r="13" spans="1:11" ht="15" x14ac:dyDescent="0.25">
      <c r="A13" s="59"/>
      <c r="B13" s="297"/>
      <c r="C13" s="297"/>
      <c r="D13" s="297"/>
      <c r="E13" s="297"/>
      <c r="F13" s="297"/>
      <c r="G13" s="297"/>
      <c r="H13" s="298"/>
    </row>
    <row r="14" spans="1:11" ht="13.5" thickBot="1" x14ac:dyDescent="0.25"/>
    <row r="15" spans="1:11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5"/>
    </row>
    <row r="16" spans="1:11" x14ac:dyDescent="0.2">
      <c r="A16" s="62" t="s">
        <v>25</v>
      </c>
      <c r="B16" s="146">
        <f>[3]Frontier!$EN$4</f>
        <v>93</v>
      </c>
      <c r="C16" s="146">
        <f>'[3]Great Lakes'!$EN$4</f>
        <v>54</v>
      </c>
      <c r="D16" s="146">
        <f>[3]Icelandair!$EN$15</f>
        <v>0</v>
      </c>
      <c r="E16" s="106">
        <f>[3]Southwest!$EN$4</f>
        <v>684</v>
      </c>
      <c r="F16" s="118">
        <f>'[3]Sun Country'!$EN$4+'[3]Sun Country'!$EN$15</f>
        <v>889</v>
      </c>
      <c r="G16" s="118">
        <f>[3]Alaska!$EN$4</f>
        <v>62</v>
      </c>
      <c r="H16" s="147">
        <f>SUM(B16:G16)</f>
        <v>1782</v>
      </c>
    </row>
    <row r="17" spans="1:255" x14ac:dyDescent="0.2">
      <c r="A17" s="62" t="s">
        <v>26</v>
      </c>
      <c r="B17" s="146">
        <f>[3]Frontier!$EN$5</f>
        <v>93</v>
      </c>
      <c r="C17" s="146">
        <f>'[3]Great Lakes'!$EN$5</f>
        <v>54</v>
      </c>
      <c r="D17" s="146">
        <f>[3]Icelandair!$EN$16</f>
        <v>0</v>
      </c>
      <c r="E17" s="106">
        <f>[3]Southwest!$EN$5</f>
        <v>681</v>
      </c>
      <c r="F17" s="118">
        <f>'[3]Sun Country'!$EN$5+'[3]Sun Country'!$EN$16</f>
        <v>892</v>
      </c>
      <c r="G17" s="118">
        <f>[3]Alaska!$EN$5</f>
        <v>62</v>
      </c>
      <c r="H17" s="147">
        <f>SUM(B17:G17)</f>
        <v>1782</v>
      </c>
    </row>
    <row r="18" spans="1:255" x14ac:dyDescent="0.2">
      <c r="A18" s="66" t="s">
        <v>27</v>
      </c>
      <c r="B18" s="148">
        <f t="shared" ref="B18:G18" si="2">SUM(B16:B17)</f>
        <v>186</v>
      </c>
      <c r="C18" s="148">
        <f t="shared" si="2"/>
        <v>108</v>
      </c>
      <c r="D18" s="148">
        <f t="shared" si="2"/>
        <v>0</v>
      </c>
      <c r="E18" s="148">
        <f t="shared" si="2"/>
        <v>1365</v>
      </c>
      <c r="F18" s="148">
        <f t="shared" si="2"/>
        <v>1781</v>
      </c>
      <c r="G18" s="148">
        <f t="shared" si="2"/>
        <v>124</v>
      </c>
      <c r="H18" s="149">
        <f>SUM(B18:G18)</f>
        <v>3564</v>
      </c>
    </row>
    <row r="19" spans="1:255" x14ac:dyDescent="0.2">
      <c r="A19" s="66"/>
      <c r="B19" s="116"/>
      <c r="C19" s="116"/>
      <c r="D19" s="116"/>
      <c r="E19" s="116"/>
      <c r="F19" s="116"/>
      <c r="G19" s="116"/>
      <c r="H19" s="147"/>
    </row>
    <row r="20" spans="1:255" x14ac:dyDescent="0.2">
      <c r="A20" s="62" t="s">
        <v>28</v>
      </c>
      <c r="B20" s="146">
        <f>[3]Frontier!$EN$8</f>
        <v>0</v>
      </c>
      <c r="C20" s="146">
        <f>'[3]Great Lakes'!$EN$8</f>
        <v>0</v>
      </c>
      <c r="D20" s="146">
        <f>[3]Icelandair!$EN$8</f>
        <v>0</v>
      </c>
      <c r="E20" s="118">
        <f>[3]Southwest!$EN$8</f>
        <v>0</v>
      </c>
      <c r="F20" s="118">
        <f>'[3]Sun Country'!$EN$8</f>
        <v>74</v>
      </c>
      <c r="G20" s="118">
        <f>[3]Alaska!$EN$8</f>
        <v>0</v>
      </c>
      <c r="H20" s="147">
        <f>SUM(B20:G20)</f>
        <v>74</v>
      </c>
    </row>
    <row r="21" spans="1:255" x14ac:dyDescent="0.2">
      <c r="A21" s="62" t="s">
        <v>29</v>
      </c>
      <c r="B21" s="146">
        <f>[3]Frontier!$EN$9</f>
        <v>0</v>
      </c>
      <c r="C21" s="146">
        <f>'[3]Great Lakes'!$EN$9</f>
        <v>0</v>
      </c>
      <c r="D21" s="146">
        <f>[3]Icelandair!$EN$9</f>
        <v>0</v>
      </c>
      <c r="E21" s="118">
        <f>[3]Southwest!$EN$9</f>
        <v>0</v>
      </c>
      <c r="F21" s="118">
        <f>'[3]Sun Country'!$EN$9</f>
        <v>72</v>
      </c>
      <c r="G21" s="118">
        <f>[3]Alaska!$EN$9</f>
        <v>0</v>
      </c>
      <c r="H21" s="147">
        <f>SUM(B21:G21)</f>
        <v>72</v>
      </c>
    </row>
    <row r="22" spans="1:255" x14ac:dyDescent="0.2">
      <c r="A22" s="66" t="s">
        <v>30</v>
      </c>
      <c r="B22" s="148">
        <f t="shared" ref="B22:G22" si="3">SUM(B20:B21)</f>
        <v>0</v>
      </c>
      <c r="C22" s="148">
        <f t="shared" si="3"/>
        <v>0</v>
      </c>
      <c r="D22" s="148">
        <f t="shared" si="3"/>
        <v>0</v>
      </c>
      <c r="E22" s="148">
        <f t="shared" si="3"/>
        <v>0</v>
      </c>
      <c r="F22" s="148">
        <f t="shared" si="3"/>
        <v>146</v>
      </c>
      <c r="G22" s="148">
        <f t="shared" si="3"/>
        <v>0</v>
      </c>
      <c r="H22" s="149">
        <f>SUM(B22:G22)</f>
        <v>146</v>
      </c>
    </row>
    <row r="23" spans="1:255" ht="15.75" thickBot="1" x14ac:dyDescent="0.3">
      <c r="A23" s="63" t="s">
        <v>31</v>
      </c>
      <c r="B23" s="150">
        <f t="shared" ref="B23:G23" si="4">B22+B18</f>
        <v>186</v>
      </c>
      <c r="C23" s="150">
        <f t="shared" si="4"/>
        <v>108</v>
      </c>
      <c r="D23" s="150">
        <f t="shared" si="4"/>
        <v>0</v>
      </c>
      <c r="E23" s="150">
        <f t="shared" si="4"/>
        <v>1365</v>
      </c>
      <c r="F23" s="150">
        <f t="shared" si="4"/>
        <v>1927</v>
      </c>
      <c r="G23" s="150">
        <f t="shared" si="4"/>
        <v>124</v>
      </c>
      <c r="H23" s="151">
        <f>SUM(B23:G23)</f>
        <v>3710</v>
      </c>
    </row>
    <row r="24" spans="1:25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3.5" thickBot="1" x14ac:dyDescent="0.25">
      <c r="B25" s="426"/>
      <c r="C25" s="426"/>
      <c r="D25" s="426"/>
      <c r="E25" s="426"/>
      <c r="F25" s="426"/>
      <c r="G25" s="426"/>
      <c r="H25" s="130"/>
    </row>
    <row r="26" spans="1:255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60"/>
    </row>
    <row r="27" spans="1:255" x14ac:dyDescent="0.2">
      <c r="A27" s="62" t="s">
        <v>39</v>
      </c>
      <c r="B27" s="161"/>
      <c r="C27" s="161"/>
      <c r="D27" s="161"/>
      <c r="E27" s="161"/>
      <c r="F27" s="161"/>
      <c r="G27" s="161"/>
      <c r="H27" s="153"/>
    </row>
    <row r="28" spans="1:255" x14ac:dyDescent="0.2">
      <c r="A28" s="62" t="s">
        <v>40</v>
      </c>
      <c r="B28" s="146">
        <f>[3]Frontier!$EN$47</f>
        <v>0</v>
      </c>
      <c r="C28" s="146">
        <f>'[3]Great Lakes'!$EN$47</f>
        <v>0</v>
      </c>
      <c r="D28" s="146">
        <f>[3]Icelandair!$EN$47</f>
        <v>0</v>
      </c>
      <c r="E28" s="118">
        <f>[3]Southwest!$EN$47</f>
        <v>181622</v>
      </c>
      <c r="F28" s="118">
        <f>'[3]Sun Country'!$EN$47</f>
        <v>95809</v>
      </c>
      <c r="G28" s="118">
        <f>[3]Alaska!$EN$47</f>
        <v>11649</v>
      </c>
      <c r="H28" s="147">
        <f>SUM(B28:G28)</f>
        <v>289080</v>
      </c>
    </row>
    <row r="29" spans="1:255" x14ac:dyDescent="0.2">
      <c r="A29" s="62" t="s">
        <v>41</v>
      </c>
      <c r="B29" s="146">
        <f>[3]Frontier!$EN$48</f>
        <v>0</v>
      </c>
      <c r="C29" s="146">
        <f>'[3]Great Lakes'!$EN$48</f>
        <v>0</v>
      </c>
      <c r="D29" s="146">
        <f>[3]Icelandair!$EN$48</f>
        <v>0</v>
      </c>
      <c r="E29" s="118">
        <f>[3]Southwest!$EN$48</f>
        <v>0</v>
      </c>
      <c r="F29" s="118">
        <f>'[3]Sun Country'!$EN$48</f>
        <v>93.546000000000006</v>
      </c>
      <c r="G29" s="118">
        <f>[3]Alaska!$EN$48</f>
        <v>0</v>
      </c>
      <c r="H29" s="147">
        <f>SUM(B29:G29)</f>
        <v>93.546000000000006</v>
      </c>
    </row>
    <row r="30" spans="1:255" x14ac:dyDescent="0.2">
      <c r="A30" s="66" t="s">
        <v>42</v>
      </c>
      <c r="B30" s="162">
        <f t="shared" ref="B30:G30" si="5">SUM(B28:B29)</f>
        <v>0</v>
      </c>
      <c r="C30" s="162">
        <f t="shared" si="5"/>
        <v>0</v>
      </c>
      <c r="D30" s="162">
        <f t="shared" si="5"/>
        <v>0</v>
      </c>
      <c r="E30" s="162">
        <f t="shared" si="5"/>
        <v>181622</v>
      </c>
      <c r="F30" s="162">
        <f t="shared" si="5"/>
        <v>95902.546000000002</v>
      </c>
      <c r="G30" s="162">
        <f t="shared" si="5"/>
        <v>11649</v>
      </c>
      <c r="H30" s="165">
        <f>SUM(B30:G30)</f>
        <v>289173.54599999997</v>
      </c>
    </row>
    <row r="31" spans="1:255" x14ac:dyDescent="0.2">
      <c r="A31" s="62"/>
      <c r="B31" s="154"/>
      <c r="C31" s="154"/>
      <c r="D31" s="154"/>
      <c r="E31" s="154"/>
      <c r="F31" s="154"/>
      <c r="G31" s="154"/>
      <c r="H31" s="147"/>
    </row>
    <row r="32" spans="1:255" x14ac:dyDescent="0.2">
      <c r="A32" s="62" t="s">
        <v>43</v>
      </c>
      <c r="B32" s="146"/>
      <c r="C32" s="146"/>
      <c r="D32" s="146"/>
      <c r="E32" s="118"/>
      <c r="F32" s="118"/>
      <c r="G32" s="118"/>
      <c r="H32" s="147"/>
    </row>
    <row r="33" spans="1:8" x14ac:dyDescent="0.2">
      <c r="A33" s="62" t="s">
        <v>40</v>
      </c>
      <c r="B33" s="146">
        <f>[3]Frontier!$EN$52</f>
        <v>0</v>
      </c>
      <c r="C33" s="146">
        <f>'[3]Great Lakes'!$EN$52</f>
        <v>0</v>
      </c>
      <c r="D33" s="146">
        <f>[3]Icelandair!$EN$52</f>
        <v>0</v>
      </c>
      <c r="E33" s="118">
        <f>[3]Southwest!$EN$52</f>
        <v>110056</v>
      </c>
      <c r="F33" s="118">
        <f>'[3]Sun Country'!$EN$52</f>
        <v>74750</v>
      </c>
      <c r="G33" s="118">
        <f>[3]Alaska!$EN$52</f>
        <v>10416</v>
      </c>
      <c r="H33" s="147">
        <f>SUM(B33:G33)</f>
        <v>195222</v>
      </c>
    </row>
    <row r="34" spans="1:8" x14ac:dyDescent="0.2">
      <c r="A34" s="62" t="s">
        <v>41</v>
      </c>
      <c r="B34" s="146">
        <f>[3]Frontier!$EN$53</f>
        <v>0</v>
      </c>
      <c r="C34" s="146">
        <f>'[3]Great Lakes'!$EN$53</f>
        <v>0</v>
      </c>
      <c r="D34" s="146">
        <f>[3]Icelandair!$EN$53</f>
        <v>0</v>
      </c>
      <c r="E34" s="118">
        <f>[3]Southwest!$EN$53</f>
        <v>0</v>
      </c>
      <c r="F34" s="118">
        <f>'[3]Sun Country'!$EN$53</f>
        <v>118678</v>
      </c>
      <c r="G34" s="118">
        <f>[3]Alaska!$EN$53</f>
        <v>0</v>
      </c>
      <c r="H34" s="163">
        <f>SUM(B34:G34)</f>
        <v>118678</v>
      </c>
    </row>
    <row r="35" spans="1:8" x14ac:dyDescent="0.2">
      <c r="A35" s="66" t="s">
        <v>44</v>
      </c>
      <c r="B35" s="164">
        <f t="shared" ref="B35:G35" si="6">SUM(B33:B34)</f>
        <v>0</v>
      </c>
      <c r="C35" s="164">
        <f t="shared" si="6"/>
        <v>0</v>
      </c>
      <c r="D35" s="164">
        <f t="shared" si="6"/>
        <v>0</v>
      </c>
      <c r="E35" s="164">
        <f t="shared" si="6"/>
        <v>110056</v>
      </c>
      <c r="F35" s="164">
        <f t="shared" si="6"/>
        <v>193428</v>
      </c>
      <c r="G35" s="164">
        <f t="shared" si="6"/>
        <v>10416</v>
      </c>
      <c r="H35" s="165">
        <f>SUM(B35:G35)</f>
        <v>313900</v>
      </c>
    </row>
    <row r="36" spans="1:8" hidden="1" x14ac:dyDescent="0.2">
      <c r="A36" s="62"/>
      <c r="B36" s="154"/>
      <c r="C36" s="154"/>
      <c r="D36" s="154"/>
      <c r="E36" s="154"/>
      <c r="F36" s="154"/>
      <c r="G36" s="154"/>
      <c r="H36" s="147"/>
    </row>
    <row r="37" spans="1:8" hidden="1" x14ac:dyDescent="0.2">
      <c r="A37" s="62" t="s">
        <v>45</v>
      </c>
      <c r="B37" s="154"/>
      <c r="C37" s="154"/>
      <c r="D37" s="154"/>
      <c r="E37" s="154"/>
      <c r="F37" s="154"/>
      <c r="G37" s="154"/>
      <c r="H37" s="147"/>
    </row>
    <row r="38" spans="1:8" hidden="1" x14ac:dyDescent="0.2">
      <c r="A38" s="62" t="s">
        <v>40</v>
      </c>
      <c r="B38" s="154">
        <f>[3]Frontier!$EN$57</f>
        <v>0</v>
      </c>
      <c r="C38" s="154">
        <f>'[3]Great Lakes'!$EN$57</f>
        <v>0</v>
      </c>
      <c r="D38" s="154">
        <f>[3]Icelandair!$EN$57</f>
        <v>0</v>
      </c>
      <c r="E38" s="154">
        <f>[3]Southwest!$EN$57</f>
        <v>0</v>
      </c>
      <c r="F38" s="154">
        <f>'[3]Sun Country'!$EN$57</f>
        <v>0</v>
      </c>
      <c r="G38" s="154">
        <f>[3]Alaska!$EN$57</f>
        <v>0</v>
      </c>
      <c r="H38" s="147">
        <f>SUM(B38:F38)</f>
        <v>0</v>
      </c>
    </row>
    <row r="39" spans="1:8" hidden="1" x14ac:dyDescent="0.2">
      <c r="A39" s="62" t="s">
        <v>41</v>
      </c>
      <c r="B39" s="157">
        <f>[3]Frontier!$EN$58</f>
        <v>0</v>
      </c>
      <c r="C39" s="157">
        <f>'[3]Great Lakes'!$EN$58</f>
        <v>0</v>
      </c>
      <c r="D39" s="157">
        <f>[3]Icelandair!$EN$58</f>
        <v>0</v>
      </c>
      <c r="E39" s="157">
        <f>[3]Southwest!$EN$58</f>
        <v>0</v>
      </c>
      <c r="F39" s="157">
        <f>'[3]Sun Country'!$EN$58</f>
        <v>0</v>
      </c>
      <c r="G39" s="157">
        <f>[3]Alaska!$EN$58</f>
        <v>0</v>
      </c>
      <c r="H39" s="163">
        <f>SUM(B39:F39)</f>
        <v>0</v>
      </c>
    </row>
    <row r="40" spans="1:8" hidden="1" x14ac:dyDescent="0.2">
      <c r="A40" s="66" t="s">
        <v>46</v>
      </c>
      <c r="B40" s="166">
        <f t="shared" ref="B40:G40" si="7">SUM(B38:B39)</f>
        <v>0</v>
      </c>
      <c r="C40" s="166">
        <f t="shared" si="7"/>
        <v>0</v>
      </c>
      <c r="D40" s="166">
        <f t="shared" si="7"/>
        <v>0</v>
      </c>
      <c r="E40" s="166">
        <f t="shared" si="7"/>
        <v>0</v>
      </c>
      <c r="F40" s="166">
        <f t="shared" si="7"/>
        <v>0</v>
      </c>
      <c r="G40" s="166">
        <f t="shared" si="7"/>
        <v>0</v>
      </c>
      <c r="H40" s="147">
        <f>SUM(B40:F40)</f>
        <v>0</v>
      </c>
    </row>
    <row r="41" spans="1:8" x14ac:dyDescent="0.2">
      <c r="A41" s="62"/>
      <c r="B41" s="154"/>
      <c r="C41" s="154"/>
      <c r="D41" s="154"/>
      <c r="E41" s="154"/>
      <c r="F41" s="154"/>
      <c r="G41" s="154"/>
      <c r="H41" s="147"/>
    </row>
    <row r="42" spans="1:8" x14ac:dyDescent="0.2">
      <c r="A42" s="62" t="s">
        <v>47</v>
      </c>
      <c r="B42" s="154"/>
      <c r="C42" s="154"/>
      <c r="D42" s="154"/>
      <c r="E42" s="154"/>
      <c r="F42" s="154"/>
      <c r="G42" s="154"/>
      <c r="H42" s="147"/>
    </row>
    <row r="43" spans="1:8" x14ac:dyDescent="0.2">
      <c r="A43" s="62" t="s">
        <v>48</v>
      </c>
      <c r="B43" s="154">
        <f t="shared" ref="B43:G43" si="8">B28+B33+B38</f>
        <v>0</v>
      </c>
      <c r="C43" s="154">
        <f>C28+C33+C38</f>
        <v>0</v>
      </c>
      <c r="D43" s="154">
        <f t="shared" si="8"/>
        <v>0</v>
      </c>
      <c r="E43" s="154">
        <f t="shared" si="8"/>
        <v>291678</v>
      </c>
      <c r="F43" s="154">
        <f t="shared" si="8"/>
        <v>170559</v>
      </c>
      <c r="G43" s="154">
        <f t="shared" si="8"/>
        <v>22065</v>
      </c>
      <c r="H43" s="147">
        <f>SUM(B43:G43)</f>
        <v>484302</v>
      </c>
    </row>
    <row r="44" spans="1:8" x14ac:dyDescent="0.2">
      <c r="A44" s="62" t="s">
        <v>41</v>
      </c>
      <c r="B44" s="157">
        <f t="shared" ref="B44:G44" si="9">+B39+B34+B29</f>
        <v>0</v>
      </c>
      <c r="C44" s="157">
        <f>+C39+C34+C29</f>
        <v>0</v>
      </c>
      <c r="D44" s="157">
        <f t="shared" si="9"/>
        <v>0</v>
      </c>
      <c r="E44" s="157">
        <f t="shared" si="9"/>
        <v>0</v>
      </c>
      <c r="F44" s="157">
        <f t="shared" si="9"/>
        <v>118771.546</v>
      </c>
      <c r="G44" s="157">
        <f t="shared" si="9"/>
        <v>0</v>
      </c>
      <c r="H44" s="147">
        <f>SUM(B44:G44)</f>
        <v>118771.546</v>
      </c>
    </row>
    <row r="45" spans="1:8" ht="15.75" thickBot="1" x14ac:dyDescent="0.3">
      <c r="A45" s="63" t="s">
        <v>49</v>
      </c>
      <c r="B45" s="167">
        <f t="shared" ref="B45:G45" si="10">B43+B44</f>
        <v>0</v>
      </c>
      <c r="C45" s="167">
        <f t="shared" si="10"/>
        <v>0</v>
      </c>
      <c r="D45" s="167">
        <f t="shared" si="10"/>
        <v>0</v>
      </c>
      <c r="E45" s="167">
        <f t="shared" si="10"/>
        <v>291678</v>
      </c>
      <c r="F45" s="167">
        <f t="shared" si="10"/>
        <v>289330.54599999997</v>
      </c>
      <c r="G45" s="167">
        <f t="shared" si="10"/>
        <v>22065</v>
      </c>
      <c r="H45" s="168">
        <f>SUM(B45:G45)</f>
        <v>603073.54599999997</v>
      </c>
    </row>
    <row r="48" spans="1:8" x14ac:dyDescent="0.2">
      <c r="A48" s="386" t="s">
        <v>128</v>
      </c>
      <c r="B48" s="399"/>
      <c r="C48" s="399"/>
      <c r="E48" s="327">
        <f>[3]Southwest!$EN$70+[3]Southwest!$EN$73</f>
        <v>84651</v>
      </c>
      <c r="F48" s="327">
        <f>'[3]Sun Country'!$EN$70+'[3]Sun Country'!$EN$73</f>
        <v>118608</v>
      </c>
      <c r="G48" s="399"/>
      <c r="H48" s="315">
        <f>SUM(B48:G48)</f>
        <v>203259</v>
      </c>
    </row>
    <row r="49" spans="1:8" x14ac:dyDescent="0.2">
      <c r="A49" s="401" t="s">
        <v>129</v>
      </c>
      <c r="B49" s="399"/>
      <c r="C49" s="399"/>
      <c r="E49" s="327">
        <f>[3]Southwest!$EN$71+[3]Southwest!$EN$74</f>
        <v>485</v>
      </c>
      <c r="F49" s="327">
        <f>'[3]Sun Country'!$EN$71+'[3]Sun Country'!$EN$74</f>
        <v>1973</v>
      </c>
      <c r="G49" s="399"/>
      <c r="H49" s="315">
        <f>SUM(B49:G49)</f>
        <v>2458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March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I2" sqref="I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7"/>
    </row>
    <row r="2" spans="1:12" s="7" customFormat="1" ht="51.75" thickBot="1" x14ac:dyDescent="0.25">
      <c r="A2" s="390">
        <v>42430</v>
      </c>
      <c r="B2" s="455" t="s">
        <v>169</v>
      </c>
      <c r="C2" s="455" t="s">
        <v>172</v>
      </c>
      <c r="D2" s="455" t="s">
        <v>200</v>
      </c>
      <c r="E2" s="455" t="s">
        <v>199</v>
      </c>
      <c r="F2" s="455" t="s">
        <v>201</v>
      </c>
      <c r="G2" s="455" t="s">
        <v>206</v>
      </c>
      <c r="H2" s="455" t="s">
        <v>213</v>
      </c>
      <c r="I2" s="455" t="s">
        <v>215</v>
      </c>
      <c r="J2" s="455" t="s">
        <v>205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[3]Pinnacle!$EN$22+[3]Pinnacle!$EN$32</f>
        <v>117134</v>
      </c>
      <c r="C5" s="132">
        <f>[3]MESA_UA!$EN$22</f>
        <v>7678</v>
      </c>
      <c r="D5" s="130">
        <f>'[3]Sky West'!$EN$22+'[3]Sky West'!$EN$32</f>
        <v>131837</v>
      </c>
      <c r="E5" s="130">
        <f>'[3]Sky West_UA'!$EN$22</f>
        <v>14315</v>
      </c>
      <c r="F5" s="130">
        <f>'[3]Sky West_AS'!$EN$22</f>
        <v>1986</v>
      </c>
      <c r="G5" s="130">
        <f>[3]Republic!$EN$22</f>
        <v>7978</v>
      </c>
      <c r="H5" s="130">
        <f>[3]Republic_UA!$EN$22</f>
        <v>5150</v>
      </c>
      <c r="I5" s="130">
        <f>'[3]Air Georgian'!$EN$32</f>
        <v>3628</v>
      </c>
      <c r="J5" s="130">
        <f>'[3]American Eagle'!$EN$22</f>
        <v>784</v>
      </c>
      <c r="K5" s="130">
        <f>'Other Regional'!L5</f>
        <v>75898</v>
      </c>
      <c r="L5" s="110">
        <f>SUM(B5:K5)</f>
        <v>366388</v>
      </c>
    </row>
    <row r="6" spans="1:12" s="10" customFormat="1" x14ac:dyDescent="0.2">
      <c r="A6" s="62" t="s">
        <v>34</v>
      </c>
      <c r="B6" s="131">
        <f>[3]Pinnacle!$EN$23+[3]Pinnacle!$EN$33</f>
        <v>117045</v>
      </c>
      <c r="C6" s="132">
        <f>[3]MESA_UA!$EN$23</f>
        <v>7305</v>
      </c>
      <c r="D6" s="130">
        <f>'[3]Sky West'!$EN$23+'[3]Sky West'!$EN$33</f>
        <v>133138</v>
      </c>
      <c r="E6" s="130">
        <f>'[3]Sky West_UA'!$EN$23</f>
        <v>14646</v>
      </c>
      <c r="F6" s="130">
        <f>'[3]Sky West_AS'!$EN$23</f>
        <v>2009</v>
      </c>
      <c r="G6" s="130">
        <f>[3]Republic!$EN$23</f>
        <v>7806</v>
      </c>
      <c r="H6" s="130">
        <f>[3]Republic_UA!$EN$23</f>
        <v>5256</v>
      </c>
      <c r="I6" s="130">
        <f>'[3]Air Georgian'!$EN$33</f>
        <v>3713</v>
      </c>
      <c r="J6" s="130">
        <f>'[3]American Eagle'!$EN$23</f>
        <v>803</v>
      </c>
      <c r="K6" s="130">
        <f>'Other Regional'!L6</f>
        <v>75823</v>
      </c>
      <c r="L6" s="115">
        <f>SUM(B6:K6)</f>
        <v>367544</v>
      </c>
    </row>
    <row r="7" spans="1:12" ht="15" thickBot="1" x14ac:dyDescent="0.25">
      <c r="A7" s="73" t="s">
        <v>7</v>
      </c>
      <c r="B7" s="133">
        <f>SUM(B5:B6)</f>
        <v>234179</v>
      </c>
      <c r="C7" s="133">
        <f t="shared" ref="C7:K7" si="0">SUM(C5:C6)</f>
        <v>14983</v>
      </c>
      <c r="D7" s="133">
        <f t="shared" si="0"/>
        <v>264975</v>
      </c>
      <c r="E7" s="133">
        <f t="shared" si="0"/>
        <v>28961</v>
      </c>
      <c r="F7" s="133">
        <f t="shared" ref="F7" si="1">SUM(F5:F6)</f>
        <v>3995</v>
      </c>
      <c r="G7" s="133">
        <f t="shared" si="0"/>
        <v>15784</v>
      </c>
      <c r="H7" s="133">
        <f t="shared" ref="H7:I7" si="2">SUM(H5:H6)</f>
        <v>10406</v>
      </c>
      <c r="I7" s="133">
        <f t="shared" si="2"/>
        <v>7341</v>
      </c>
      <c r="J7" s="133">
        <f t="shared" si="0"/>
        <v>1587</v>
      </c>
      <c r="K7" s="133">
        <f t="shared" si="0"/>
        <v>151721</v>
      </c>
      <c r="L7" s="134">
        <f>SUM(B7:K7)</f>
        <v>733932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[3]Pinnacle!$EN$27+[3]Pinnacle!$EN$37</f>
        <v>3585</v>
      </c>
      <c r="C10" s="132">
        <f>[3]MESA_UA!$EN$27</f>
        <v>206</v>
      </c>
      <c r="D10" s="130">
        <f>'[3]Sky West'!$EN$27+'[3]Sky West'!$EN$37</f>
        <v>5109</v>
      </c>
      <c r="E10" s="130">
        <f>'[3]Sky West_UA'!$EN$27</f>
        <v>399</v>
      </c>
      <c r="F10" s="130">
        <f>'[3]Sky West_AS'!$EN$27</f>
        <v>89</v>
      </c>
      <c r="G10" s="130">
        <f>[3]Republic!$EN$27</f>
        <v>0</v>
      </c>
      <c r="H10" s="130">
        <f>[3]Republic_UA!$EN$27</f>
        <v>0</v>
      </c>
      <c r="I10" s="130">
        <f>'[3]Air Georgian'!$EN$37</f>
        <v>0</v>
      </c>
      <c r="J10" s="130">
        <f>'[3]American Eagle'!$EN$27</f>
        <v>66</v>
      </c>
      <c r="K10" s="130">
        <f>'Other Regional'!L10</f>
        <v>2501</v>
      </c>
      <c r="L10" s="110">
        <f>SUM(B10:K10)</f>
        <v>11955</v>
      </c>
    </row>
    <row r="11" spans="1:12" x14ac:dyDescent="0.2">
      <c r="A11" s="62" t="s">
        <v>36</v>
      </c>
      <c r="B11" s="131">
        <f>[3]Pinnacle!$EN$28+[3]Pinnacle!$EN$38</f>
        <v>3598</v>
      </c>
      <c r="C11" s="132">
        <f>[3]MESA_UA!$EN$28</f>
        <v>195</v>
      </c>
      <c r="D11" s="130">
        <f>'[3]Sky West'!$EN$28+'[3]Sky West'!$EN$38</f>
        <v>5250</v>
      </c>
      <c r="E11" s="130">
        <f>'[3]Sky West_UA'!$EN$28</f>
        <v>353</v>
      </c>
      <c r="F11" s="130">
        <f>'[3]Sky West_AS'!$EN$28</f>
        <v>92</v>
      </c>
      <c r="G11" s="130">
        <f>[3]Republic!$EN$28</f>
        <v>0</v>
      </c>
      <c r="H11" s="130">
        <f>[3]Republic_UA!$EN$28</f>
        <v>0</v>
      </c>
      <c r="I11" s="130">
        <f>'[3]Air Georgian'!$EN$38</f>
        <v>0</v>
      </c>
      <c r="J11" s="130">
        <f>'[3]American Eagle'!$EN$28</f>
        <v>59</v>
      </c>
      <c r="K11" s="130">
        <f>'Other Regional'!L11</f>
        <v>2439</v>
      </c>
      <c r="L11" s="115">
        <f>SUM(B11:K11)</f>
        <v>11986</v>
      </c>
    </row>
    <row r="12" spans="1:12" ht="15" thickBot="1" x14ac:dyDescent="0.25">
      <c r="A12" s="74" t="s">
        <v>37</v>
      </c>
      <c r="B12" s="136">
        <f t="shared" ref="B12:K12" si="3">SUM(B10:B11)</f>
        <v>7183</v>
      </c>
      <c r="C12" s="136">
        <f t="shared" si="3"/>
        <v>401</v>
      </c>
      <c r="D12" s="136">
        <f t="shared" si="3"/>
        <v>10359</v>
      </c>
      <c r="E12" s="136">
        <f t="shared" si="3"/>
        <v>752</v>
      </c>
      <c r="F12" s="136">
        <f t="shared" ref="F12" si="4">SUM(F10:F11)</f>
        <v>181</v>
      </c>
      <c r="G12" s="136">
        <f t="shared" si="3"/>
        <v>0</v>
      </c>
      <c r="H12" s="136">
        <f t="shared" ref="H12:I12" si="5">SUM(H10:H11)</f>
        <v>0</v>
      </c>
      <c r="I12" s="136">
        <f t="shared" si="5"/>
        <v>0</v>
      </c>
      <c r="J12" s="136">
        <f t="shared" si="3"/>
        <v>125</v>
      </c>
      <c r="K12" s="136">
        <f t="shared" si="3"/>
        <v>4940</v>
      </c>
      <c r="L12" s="137">
        <f>SUM(B12:K12)</f>
        <v>23941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[3]Pinnacle!$EN$4+[3]Pinnacle!$EN$15</f>
        <v>2013</v>
      </c>
      <c r="C15" s="108">
        <f>[3]MESA_UA!$EN$4</f>
        <v>123</v>
      </c>
      <c r="D15" s="106">
        <f>'[3]Sky West'!$EN$4+'[3]Sky West'!$EN$15</f>
        <v>2969</v>
      </c>
      <c r="E15" s="106">
        <f>'[3]Sky West_UA'!$EN$4</f>
        <v>218</v>
      </c>
      <c r="F15" s="106">
        <f>'[3]Sky West_AS'!$EN$4</f>
        <v>30</v>
      </c>
      <c r="G15" s="109">
        <f>[3]Republic!$EN$4</f>
        <v>143</v>
      </c>
      <c r="H15" s="109">
        <f>[3]Republic_UA!$EN$4</f>
        <v>81</v>
      </c>
      <c r="I15" s="109">
        <f>'[3]Air Georgian'!$EN$15</f>
        <v>90</v>
      </c>
      <c r="J15" s="109">
        <f>'[3]American Eagle'!$EN$4</f>
        <v>17</v>
      </c>
      <c r="K15" s="107">
        <f>'Other Regional'!L15</f>
        <v>1312</v>
      </c>
      <c r="L15" s="110">
        <f t="shared" si="6"/>
        <v>6996</v>
      </c>
    </row>
    <row r="16" spans="1:12" x14ac:dyDescent="0.2">
      <c r="A16" s="62" t="s">
        <v>58</v>
      </c>
      <c r="B16" s="14">
        <f>[3]Pinnacle!$EN$5+[3]Pinnacle!$EN$16</f>
        <v>2014</v>
      </c>
      <c r="C16" s="113">
        <f>[3]MESA_UA!$EN$5</f>
        <v>123</v>
      </c>
      <c r="D16" s="111">
        <f>'[3]Sky West'!$EN$5+'[3]Sky West'!$EN$16</f>
        <v>2962</v>
      </c>
      <c r="E16" s="111">
        <f>'[3]Sky West_UA'!$EN$5</f>
        <v>218</v>
      </c>
      <c r="F16" s="111">
        <f>'[3]Sky West_AS'!$EN$5</f>
        <v>30</v>
      </c>
      <c r="G16" s="114">
        <f>[3]Republic!$EN$5</f>
        <v>141</v>
      </c>
      <c r="H16" s="114">
        <f>[3]Republic_UA!$EN$5</f>
        <v>81</v>
      </c>
      <c r="I16" s="114">
        <f>'[3]Air Georgian'!$EN$16</f>
        <v>90</v>
      </c>
      <c r="J16" s="114">
        <f>'[3]American Eagle'!$EN$5</f>
        <v>17</v>
      </c>
      <c r="K16" s="112">
        <f>'Other Regional'!L16</f>
        <v>1316</v>
      </c>
      <c r="L16" s="115">
        <f t="shared" si="6"/>
        <v>6992</v>
      </c>
    </row>
    <row r="17" spans="1:12" x14ac:dyDescent="0.2">
      <c r="A17" s="71" t="s">
        <v>59</v>
      </c>
      <c r="B17" s="116">
        <f t="shared" ref="B17:J17" si="7">SUM(B15:B16)</f>
        <v>4027</v>
      </c>
      <c r="C17" s="116">
        <f t="shared" si="7"/>
        <v>246</v>
      </c>
      <c r="D17" s="116">
        <f t="shared" si="7"/>
        <v>5931</v>
      </c>
      <c r="E17" s="116">
        <f t="shared" si="7"/>
        <v>436</v>
      </c>
      <c r="F17" s="116">
        <f t="shared" ref="F17" si="8">SUM(F15:F16)</f>
        <v>60</v>
      </c>
      <c r="G17" s="116">
        <f t="shared" si="7"/>
        <v>284</v>
      </c>
      <c r="H17" s="116">
        <f t="shared" ref="H17:I17" si="9">SUM(H15:H16)</f>
        <v>162</v>
      </c>
      <c r="I17" s="116">
        <f t="shared" si="9"/>
        <v>180</v>
      </c>
      <c r="J17" s="116">
        <f t="shared" si="7"/>
        <v>34</v>
      </c>
      <c r="K17" s="116">
        <f>SUM(K15:K16)</f>
        <v>2628</v>
      </c>
      <c r="L17" s="117">
        <f t="shared" si="6"/>
        <v>13988</v>
      </c>
    </row>
    <row r="18" spans="1:12" x14ac:dyDescent="0.2">
      <c r="A18" s="62" t="s">
        <v>60</v>
      </c>
      <c r="B18" s="118">
        <f>[3]Pinnacle!$EN$8</f>
        <v>0</v>
      </c>
      <c r="C18" s="119">
        <f>[3]MESA_UA!$EN$8</f>
        <v>0</v>
      </c>
      <c r="D18" s="118">
        <f>'[3]Sky West'!$EN$8</f>
        <v>0</v>
      </c>
      <c r="E18" s="118">
        <f>'[3]Sky West_UA'!$EN$8</f>
        <v>0</v>
      </c>
      <c r="F18" s="118">
        <f>'[3]Sky West_AS'!$EN$8</f>
        <v>0</v>
      </c>
      <c r="G18" s="118">
        <f>[3]Republic!$EN$8</f>
        <v>0</v>
      </c>
      <c r="H18" s="118">
        <f>[3]Republic_UA!$EN$8</f>
        <v>0</v>
      </c>
      <c r="I18" s="118">
        <f>'[3]Air Georgian'!$EN$8</f>
        <v>0</v>
      </c>
      <c r="J18" s="118">
        <f>'[3]American Eagle'!$EN$8</f>
        <v>0</v>
      </c>
      <c r="K18" s="118">
        <f>'Other Regional'!L18</f>
        <v>0</v>
      </c>
      <c r="L18" s="110">
        <f t="shared" si="6"/>
        <v>0</v>
      </c>
    </row>
    <row r="19" spans="1:12" x14ac:dyDescent="0.2">
      <c r="A19" s="62" t="s">
        <v>61</v>
      </c>
      <c r="B19" s="120">
        <f>[3]Pinnacle!$EN$9</f>
        <v>1</v>
      </c>
      <c r="C19" s="121">
        <f>[3]MESA_UA!$EN$9</f>
        <v>0</v>
      </c>
      <c r="D19" s="120">
        <f>'[3]Sky West'!$EN$9</f>
        <v>9</v>
      </c>
      <c r="E19" s="120">
        <f>'[3]Sky West_UA'!$EN$9</f>
        <v>0</v>
      </c>
      <c r="F19" s="120">
        <f>'[3]Sky West_AS'!$EN$9</f>
        <v>0</v>
      </c>
      <c r="G19" s="120">
        <f>[3]Republic!$EN$9</f>
        <v>0</v>
      </c>
      <c r="H19" s="120">
        <f>[3]Republic_UA!$EN$9</f>
        <v>0</v>
      </c>
      <c r="I19" s="120">
        <f>'[3]Air Georgian'!$EN$9</f>
        <v>0</v>
      </c>
      <c r="J19" s="120">
        <f>'[3]American Eagle'!$EN$9</f>
        <v>0</v>
      </c>
      <c r="K19" s="120">
        <f>'Other Regional'!L19</f>
        <v>0</v>
      </c>
      <c r="L19" s="115">
        <f t="shared" si="6"/>
        <v>10</v>
      </c>
    </row>
    <row r="20" spans="1:12" x14ac:dyDescent="0.2">
      <c r="A20" s="71" t="s">
        <v>62</v>
      </c>
      <c r="B20" s="116">
        <f t="shared" ref="B20:K20" si="10">SUM(B18:B19)</f>
        <v>1</v>
      </c>
      <c r="C20" s="116">
        <f t="shared" si="10"/>
        <v>0</v>
      </c>
      <c r="D20" s="116">
        <f t="shared" si="10"/>
        <v>9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0</v>
      </c>
      <c r="L20" s="117">
        <f t="shared" si="6"/>
        <v>10</v>
      </c>
    </row>
    <row r="21" spans="1:12" ht="15.75" thickBot="1" x14ac:dyDescent="0.3">
      <c r="A21" s="72" t="s">
        <v>31</v>
      </c>
      <c r="B21" s="122">
        <f t="shared" ref="B21:J21" si="13">SUM(B20,B17)</f>
        <v>4028</v>
      </c>
      <c r="C21" s="122">
        <f t="shared" si="13"/>
        <v>246</v>
      </c>
      <c r="D21" s="122">
        <f t="shared" si="13"/>
        <v>5940</v>
      </c>
      <c r="E21" s="122">
        <f t="shared" si="13"/>
        <v>436</v>
      </c>
      <c r="F21" s="122">
        <f t="shared" ref="F21" si="14">SUM(F20,F17)</f>
        <v>60</v>
      </c>
      <c r="G21" s="122">
        <f t="shared" si="13"/>
        <v>284</v>
      </c>
      <c r="H21" s="122">
        <f t="shared" ref="H21:I21" si="15">SUM(H20,H17)</f>
        <v>162</v>
      </c>
      <c r="I21" s="122">
        <f t="shared" si="15"/>
        <v>180</v>
      </c>
      <c r="J21" s="122">
        <f t="shared" si="13"/>
        <v>34</v>
      </c>
      <c r="K21" s="122">
        <f>SUM(K20,K17)</f>
        <v>2628</v>
      </c>
      <c r="L21" s="123">
        <f t="shared" si="6"/>
        <v>13998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[3]Pinnacle!$EN$47</f>
        <v>0</v>
      </c>
      <c r="C25" s="132">
        <f>[3]MESA_UA!$EN$47</f>
        <v>0</v>
      </c>
      <c r="D25" s="130">
        <f>'[3]Sky West'!$EN$47</f>
        <v>0</v>
      </c>
      <c r="E25" s="130">
        <f>'[3]Sky West_UA'!$EN$47</f>
        <v>0</v>
      </c>
      <c r="F25" s="130">
        <f>'[3]Sky West_AS'!$EN$47</f>
        <v>0</v>
      </c>
      <c r="G25" s="130">
        <f>[3]Republic!$EN$47</f>
        <v>0</v>
      </c>
      <c r="H25" s="130">
        <f>[3]Republic_UA!$EN$47</f>
        <v>0</v>
      </c>
      <c r="I25" s="130">
        <f>'[3]Air Georgian'!$EN$47</f>
        <v>0</v>
      </c>
      <c r="J25" s="130">
        <f>'[3]American Eagle'!$EN$47</f>
        <v>0</v>
      </c>
      <c r="K25" s="130">
        <f>'Other Regional'!L25</f>
        <v>0</v>
      </c>
      <c r="L25" s="110">
        <f>SUM(B25:K25)</f>
        <v>0</v>
      </c>
    </row>
    <row r="26" spans="1:12" x14ac:dyDescent="0.2">
      <c r="A26" s="75" t="s">
        <v>41</v>
      </c>
      <c r="B26" s="130">
        <f>[3]Pinnacle!$EN$48</f>
        <v>0</v>
      </c>
      <c r="C26" s="132">
        <f>[3]MESA_UA!$EN$48</f>
        <v>0</v>
      </c>
      <c r="D26" s="130">
        <f>'[3]Sky West'!$EN$48</f>
        <v>0</v>
      </c>
      <c r="E26" s="130">
        <f>'[3]Sky West_UA'!$EN$48</f>
        <v>0</v>
      </c>
      <c r="F26" s="130">
        <f>'[3]Sky West_AS'!$EN$48</f>
        <v>0</v>
      </c>
      <c r="G26" s="130">
        <f>[3]Republic!$EN$48</f>
        <v>0</v>
      </c>
      <c r="H26" s="130">
        <f>[3]Republic_UA!$EN$48</f>
        <v>0</v>
      </c>
      <c r="I26" s="130">
        <f>'[3]Air Georgian'!$EN$48</f>
        <v>0</v>
      </c>
      <c r="J26" s="130">
        <f>'[3]American Eagle'!$EN$48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0</v>
      </c>
      <c r="G27" s="133">
        <f t="shared" si="16"/>
        <v>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0</v>
      </c>
      <c r="L27" s="134">
        <f>SUM(B27:K27)</f>
        <v>0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[3]Pinnacle!$EN$52</f>
        <v>0</v>
      </c>
      <c r="C30" s="132">
        <f>[3]MESA_UA!$EN$52</f>
        <v>0</v>
      </c>
      <c r="D30" s="130">
        <f>'[3]Sky West'!$EN$52</f>
        <v>0</v>
      </c>
      <c r="E30" s="130">
        <f>'[3]Sky West_UA'!$EN$52</f>
        <v>0</v>
      </c>
      <c r="F30" s="130">
        <f>'[3]Sky West_AS'!$EN$52</f>
        <v>0</v>
      </c>
      <c r="G30" s="130">
        <f>[3]Republic!$EN$52</f>
        <v>0</v>
      </c>
      <c r="H30" s="130">
        <f>[3]Republic_UA!$EN$52</f>
        <v>0</v>
      </c>
      <c r="I30" s="130">
        <f>'[3]Air Georgian'!$EN$52</f>
        <v>0</v>
      </c>
      <c r="J30" s="130">
        <f>'[3]American Eagle'!$EN$52</f>
        <v>0</v>
      </c>
      <c r="K30" s="130">
        <f>'Other Regional'!L30</f>
        <v>0</v>
      </c>
      <c r="L30" s="110">
        <f t="shared" ref="L30:L37" si="19">SUM(B30:K30)</f>
        <v>0</v>
      </c>
    </row>
    <row r="31" spans="1:12" x14ac:dyDescent="0.2">
      <c r="A31" s="75" t="s">
        <v>64</v>
      </c>
      <c r="B31" s="130">
        <f>[3]Pinnacle!$EN$53</f>
        <v>0</v>
      </c>
      <c r="C31" s="132">
        <f>[3]MESA_UA!$EN$53</f>
        <v>0</v>
      </c>
      <c r="D31" s="130">
        <f>'[3]Sky West'!$EN$53</f>
        <v>0</v>
      </c>
      <c r="E31" s="130">
        <f>'[3]Sky West_UA'!$EN$53</f>
        <v>0</v>
      </c>
      <c r="F31" s="130">
        <f>'[3]Sky West_AS'!$EN$53</f>
        <v>0</v>
      </c>
      <c r="G31" s="130">
        <f>[3]Republic!$EN$53</f>
        <v>0</v>
      </c>
      <c r="H31" s="130">
        <f>[3]Republic_UA!$EN$53</f>
        <v>0</v>
      </c>
      <c r="I31" s="130">
        <f>'[3]Air Georgian'!$EN$53</f>
        <v>0</v>
      </c>
      <c r="J31" s="130">
        <f>'[3]American Eagle'!$EN$53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[3]Pinnacle!$EN$57</f>
        <v>0</v>
      </c>
      <c r="C35" s="132">
        <f>[3]MESA_UA!$EN$57</f>
        <v>0</v>
      </c>
      <c r="D35" s="130">
        <f>'[3]Sky West'!$EN$57</f>
        <v>0</v>
      </c>
      <c r="E35" s="130">
        <f>'[3]Sky West_UA'!$EN$57</f>
        <v>0</v>
      </c>
      <c r="F35" s="130">
        <f>'[3]Sky West_AS'!$EN$57</f>
        <v>0</v>
      </c>
      <c r="G35" s="130">
        <f>[3]Republic!$EN$57</f>
        <v>0</v>
      </c>
      <c r="H35" s="130">
        <f>[3]Republic!$EN$57</f>
        <v>0</v>
      </c>
      <c r="I35" s="130">
        <f>[3]Republic!$EN$57</f>
        <v>0</v>
      </c>
      <c r="J35" s="130">
        <f>'[3]American Eagle'!$EN$57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[3]Pinnacle!$EN$58</f>
        <v>0</v>
      </c>
      <c r="C36" s="132">
        <f>[3]MESA_UA!$EN$58</f>
        <v>0</v>
      </c>
      <c r="D36" s="130">
        <f>'[3]Sky West'!$EN$58</f>
        <v>0</v>
      </c>
      <c r="E36" s="130">
        <f>'[3]Sky West_UA'!$EN$58</f>
        <v>0</v>
      </c>
      <c r="F36" s="130">
        <f>'[3]Sky West_AS'!$EN$58</f>
        <v>0</v>
      </c>
      <c r="G36" s="130">
        <f>[3]Republic!$EN$58</f>
        <v>0</v>
      </c>
      <c r="H36" s="130">
        <f>[3]Republic!$EN$58</f>
        <v>0</v>
      </c>
      <c r="I36" s="130">
        <f>[3]Republic!$EN$58</f>
        <v>0</v>
      </c>
      <c r="J36" s="130">
        <f>'[3]American Eagle'!$EN$58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0</v>
      </c>
      <c r="G40" s="130">
        <f t="shared" si="26"/>
        <v>0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0</v>
      </c>
      <c r="L40" s="110">
        <f>SUM(B40:K40)</f>
        <v>0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0</v>
      </c>
      <c r="G42" s="136">
        <f t="shared" si="26"/>
        <v>0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0</v>
      </c>
      <c r="L42" s="137">
        <f>SUM(B42:K42)</f>
        <v>0</v>
      </c>
    </row>
    <row r="44" spans="1:12" x14ac:dyDescent="0.2">
      <c r="A44" s="386" t="s">
        <v>128</v>
      </c>
      <c r="B44" s="326">
        <f>[3]Pinnacle!$EN$70+[3]Pinnacle!$EN$73</f>
        <v>40146</v>
      </c>
      <c r="D44" s="327">
        <f>'[3]Sky West'!$EN$70+'[3]Sky West'!$EN$73</f>
        <v>32353</v>
      </c>
      <c r="E44" s="327">
        <f>'[3]Sky West_UA'!$EN$70+'[3]Sky West_UA'!$EN$73</f>
        <v>0</v>
      </c>
      <c r="F44" s="5"/>
      <c r="K44" s="327">
        <f>+'Other Regional'!L46</f>
        <v>27105</v>
      </c>
      <c r="L44" s="315">
        <f>SUM(B44:K44)</f>
        <v>99604</v>
      </c>
    </row>
    <row r="45" spans="1:12" x14ac:dyDescent="0.2">
      <c r="A45" s="401" t="s">
        <v>129</v>
      </c>
      <c r="B45" s="326">
        <f>[3]Pinnacle!$EN$71+[3]Pinnacle!$EN$74</f>
        <v>76899</v>
      </c>
      <c r="D45" s="327">
        <f>'[3]Sky West'!$EN$71+'[3]Sky West'!$EN$74</f>
        <v>100785</v>
      </c>
      <c r="E45" s="327">
        <f>'[3]Sky West_UA'!$EN$71+'[3]Sky West_UA'!$EN$74</f>
        <v>0</v>
      </c>
      <c r="F45" s="5"/>
      <c r="K45" s="327">
        <f>+'Other Regional'!L47</f>
        <v>40083</v>
      </c>
      <c r="L45" s="315">
        <f>SUM(B45:K45)</f>
        <v>217767</v>
      </c>
    </row>
    <row r="46" spans="1:12" x14ac:dyDescent="0.2">
      <c r="A46" s="317" t="s">
        <v>130</v>
      </c>
      <c r="B46" s="318">
        <f>SUM(B44:B45)</f>
        <v>117045</v>
      </c>
      <c r="K46" s="2"/>
      <c r="L46" s="316"/>
    </row>
    <row r="47" spans="1:12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March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F16" sqref="F1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7"/>
    </row>
    <row r="2" spans="1:12" s="7" customFormat="1" ht="55.5" customHeight="1" thickBot="1" x14ac:dyDescent="0.25">
      <c r="A2" s="390">
        <v>42430</v>
      </c>
      <c r="B2" s="455" t="s">
        <v>203</v>
      </c>
      <c r="C2" s="455" t="s">
        <v>202</v>
      </c>
      <c r="D2" s="455" t="s">
        <v>204</v>
      </c>
      <c r="E2" s="455" t="s">
        <v>138</v>
      </c>
      <c r="F2" s="455" t="s">
        <v>209</v>
      </c>
      <c r="G2" s="455" t="s">
        <v>208</v>
      </c>
      <c r="H2" s="455" t="s">
        <v>171</v>
      </c>
      <c r="I2" s="455" t="s">
        <v>183</v>
      </c>
      <c r="J2" s="455" t="s">
        <v>210</v>
      </c>
      <c r="K2" s="455" t="s">
        <v>207</v>
      </c>
      <c r="L2" s="296" t="s">
        <v>24</v>
      </c>
    </row>
    <row r="3" spans="1:12" ht="15.75" thickTop="1" x14ac:dyDescent="0.25">
      <c r="A3" s="284" t="s">
        <v>3</v>
      </c>
      <c r="B3" s="413"/>
      <c r="C3" s="413"/>
      <c r="D3" s="413"/>
      <c r="E3" s="413"/>
      <c r="F3" s="414"/>
      <c r="G3" s="414"/>
      <c r="H3" s="414"/>
      <c r="I3" s="414"/>
      <c r="J3" s="414"/>
      <c r="K3" s="413"/>
      <c r="L3" s="127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America'!$EN$22</f>
        <v>4536</v>
      </c>
      <c r="C5" s="131">
        <f>'[3]Shuttle America_Delta'!$EN$22</f>
        <v>3088</v>
      </c>
      <c r="D5" s="131">
        <f>'[3]Jazz Air'!$EN$32</f>
        <v>0</v>
      </c>
      <c r="E5" s="21">
        <f>[3]Compass!$EN$22+[3]Compass!$EN$32</f>
        <v>48428</v>
      </c>
      <c r="F5" s="131">
        <f>'[3]Atlantic Southeast'!$EN$22+'[3]Atlantic Southeast'!$EN$32</f>
        <v>15872</v>
      </c>
      <c r="G5" s="131">
        <f>'[3]Continental Express'!$EN$22</f>
        <v>1137</v>
      </c>
      <c r="H5" s="130">
        <f>'[3]Go Jet_UA'!$EN$22</f>
        <v>2591</v>
      </c>
      <c r="I5" s="130">
        <f>'[3]Go Jet'!$EN$22</f>
        <v>0</v>
      </c>
      <c r="J5" s="132">
        <f>'[3]Air Wisconsin'!$EN$22</f>
        <v>246</v>
      </c>
      <c r="K5" s="130">
        <f>[3]MESA!$EN$22</f>
        <v>0</v>
      </c>
      <c r="L5" s="110">
        <f>SUM(B5:K5)</f>
        <v>75898</v>
      </c>
    </row>
    <row r="6" spans="1:12" s="10" customFormat="1" x14ac:dyDescent="0.2">
      <c r="A6" s="62" t="s">
        <v>34</v>
      </c>
      <c r="B6" s="131">
        <f>'[3]Shuttle America'!$EN$23</f>
        <v>4839</v>
      </c>
      <c r="C6" s="131">
        <f>'[3]Shuttle America_Delta'!$EN$23</f>
        <v>2800</v>
      </c>
      <c r="D6" s="131">
        <f>'[3]Jazz Air'!$EN$33</f>
        <v>0</v>
      </c>
      <c r="E6" s="14">
        <f>[3]Compass!$EN$23+[3]Compass!$EN$33</f>
        <v>48562</v>
      </c>
      <c r="F6" s="131">
        <f>'[3]Atlantic Southeast'!$EN$23+'[3]Atlantic Southeast'!$EN$33</f>
        <v>15826</v>
      </c>
      <c r="G6" s="131">
        <f>'[3]Continental Express'!$EN$23</f>
        <v>1131</v>
      </c>
      <c r="H6" s="130">
        <f>'[3]Go Jet_UA'!$EN$23</f>
        <v>2424</v>
      </c>
      <c r="I6" s="130">
        <f>'[3]Go Jet'!$EN$23</f>
        <v>0</v>
      </c>
      <c r="J6" s="132">
        <f>'[3]Air Wisconsin'!$EN$23</f>
        <v>241</v>
      </c>
      <c r="K6" s="130">
        <f>[3]MESA!$EN$23</f>
        <v>0</v>
      </c>
      <c r="L6" s="115">
        <f>SUM(B6:K6)</f>
        <v>75823</v>
      </c>
    </row>
    <row r="7" spans="1:12" ht="15" thickBot="1" x14ac:dyDescent="0.25">
      <c r="A7" s="73" t="s">
        <v>7</v>
      </c>
      <c r="B7" s="133">
        <f t="shared" ref="B7:K7" si="0">SUM(B5:B6)</f>
        <v>9375</v>
      </c>
      <c r="C7" s="133">
        <f t="shared" si="0"/>
        <v>5888</v>
      </c>
      <c r="D7" s="133">
        <f t="shared" si="0"/>
        <v>0</v>
      </c>
      <c r="E7" s="133">
        <f>SUM(E5:E6)</f>
        <v>96990</v>
      </c>
      <c r="F7" s="133">
        <f t="shared" si="0"/>
        <v>31698</v>
      </c>
      <c r="G7" s="133">
        <f t="shared" si="0"/>
        <v>2268</v>
      </c>
      <c r="H7" s="133">
        <f t="shared" si="0"/>
        <v>5015</v>
      </c>
      <c r="I7" s="133">
        <f t="shared" ref="I7" si="1">SUM(I5:I6)</f>
        <v>0</v>
      </c>
      <c r="J7" s="133">
        <f t="shared" si="0"/>
        <v>487</v>
      </c>
      <c r="K7" s="133">
        <f t="shared" si="0"/>
        <v>0</v>
      </c>
      <c r="L7" s="134">
        <f>SUM(L5:L6)</f>
        <v>151721</v>
      </c>
    </row>
    <row r="8" spans="1:12" ht="13.5" thickTop="1" x14ac:dyDescent="0.2">
      <c r="A8" s="62"/>
      <c r="B8" s="131"/>
      <c r="C8" s="131"/>
      <c r="D8" s="131"/>
      <c r="E8" s="347"/>
      <c r="F8" s="131"/>
      <c r="G8" s="131"/>
      <c r="H8" s="130"/>
      <c r="I8" s="130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130"/>
      <c r="J9" s="132"/>
      <c r="K9" s="130"/>
      <c r="L9" s="110"/>
    </row>
    <row r="10" spans="1:12" x14ac:dyDescent="0.2">
      <c r="A10" s="62" t="s">
        <v>33</v>
      </c>
      <c r="B10" s="131">
        <f>'[3]Shuttle America'!$EN$27</f>
        <v>0</v>
      </c>
      <c r="C10" s="131">
        <f>'[3]Shuttle America_Delta'!$EN$27</f>
        <v>158</v>
      </c>
      <c r="D10" s="131">
        <f>'[3]Jazz Air'!$EN$37</f>
        <v>0</v>
      </c>
      <c r="E10" s="21">
        <f>[3]Compass!$EN$27+[3]Compass!$EN$37</f>
        <v>1712</v>
      </c>
      <c r="F10" s="21">
        <f>'[3]Atlantic Southeast'!$EN$27+'[3]Atlantic Southeast'!$EN$37</f>
        <v>492</v>
      </c>
      <c r="G10" s="131">
        <f>'[3]Continental Express'!$EN$27</f>
        <v>43</v>
      </c>
      <c r="H10" s="130">
        <f>'[3]Go Jet_UA'!$EN$27</f>
        <v>64</v>
      </c>
      <c r="I10" s="130">
        <f>'[3]Go Jet'!$EN$27</f>
        <v>0</v>
      </c>
      <c r="J10" s="132">
        <f>'[3]Air Wisconsin'!$EN$27</f>
        <v>32</v>
      </c>
      <c r="K10" s="130">
        <f>[3]MESA!$EN$27</f>
        <v>0</v>
      </c>
      <c r="L10" s="110">
        <f>SUM(B10:K10)</f>
        <v>2501</v>
      </c>
    </row>
    <row r="11" spans="1:12" x14ac:dyDescent="0.2">
      <c r="A11" s="62" t="s">
        <v>36</v>
      </c>
      <c r="B11" s="131">
        <f>'[3]Shuttle America'!$EN$28</f>
        <v>0</v>
      </c>
      <c r="C11" s="131">
        <f>'[3]Shuttle America_Delta'!$EN$28</f>
        <v>83</v>
      </c>
      <c r="D11" s="131">
        <f>'[3]Jazz Air'!$EN$38</f>
        <v>0</v>
      </c>
      <c r="E11" s="14">
        <f>[3]Compass!$EN$28+[3]Compass!$EN$38</f>
        <v>1777</v>
      </c>
      <c r="F11" s="14">
        <f>'[3]Atlantic Southeast'!$EN$28+'[3]Atlantic Southeast'!$EN$38</f>
        <v>451</v>
      </c>
      <c r="G11" s="131">
        <f>'[3]Continental Express'!$EN$28</f>
        <v>30</v>
      </c>
      <c r="H11" s="130">
        <f>'[3]Go Jet_UA'!$EN$28</f>
        <v>50</v>
      </c>
      <c r="I11" s="130">
        <f>'[3]Go Jet'!$EN$28</f>
        <v>0</v>
      </c>
      <c r="J11" s="132">
        <f>'[3]Air Wisconsin'!$EN$28</f>
        <v>48</v>
      </c>
      <c r="K11" s="130">
        <f>[3]MESA!$EN$28</f>
        <v>0</v>
      </c>
      <c r="L11" s="115">
        <f>SUM(B11:K11)</f>
        <v>2439</v>
      </c>
    </row>
    <row r="12" spans="1:12" ht="15" thickBot="1" x14ac:dyDescent="0.25">
      <c r="A12" s="74" t="s">
        <v>37</v>
      </c>
      <c r="B12" s="136">
        <f>SUM(B10:B11)</f>
        <v>0</v>
      </c>
      <c r="C12" s="136">
        <f>SUM(C10:C11)</f>
        <v>241</v>
      </c>
      <c r="D12" s="136">
        <f t="shared" ref="D12:K12" si="2">SUM(D10:D11)</f>
        <v>0</v>
      </c>
      <c r="E12" s="136">
        <f t="shared" si="2"/>
        <v>3489</v>
      </c>
      <c r="F12" s="136">
        <f t="shared" si="2"/>
        <v>943</v>
      </c>
      <c r="G12" s="136">
        <f t="shared" si="2"/>
        <v>73</v>
      </c>
      <c r="H12" s="136">
        <f t="shared" si="2"/>
        <v>114</v>
      </c>
      <c r="I12" s="136">
        <f t="shared" ref="I12" si="3">SUM(I10:I11)</f>
        <v>0</v>
      </c>
      <c r="J12" s="136">
        <f t="shared" si="2"/>
        <v>80</v>
      </c>
      <c r="K12" s="136">
        <f t="shared" si="2"/>
        <v>0</v>
      </c>
      <c r="L12" s="137">
        <f>SUM(B12:K12)</f>
        <v>4940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America'!$EN$4</f>
        <v>76</v>
      </c>
      <c r="C15" s="106">
        <f>'[3]Shuttle America_Delta'!$EN$4</f>
        <v>70</v>
      </c>
      <c r="D15" s="107">
        <f>'[3]Jazz Air'!$EN$15</f>
        <v>0</v>
      </c>
      <c r="E15" s="21">
        <f>[3]Compass!$EN$4+[3]Compass!$EN$15</f>
        <v>799</v>
      </c>
      <c r="F15" s="107">
        <f>'[3]Atlantic Southeast'!$EN$4+'[3]Atlantic Southeast'!$EN$15</f>
        <v>293</v>
      </c>
      <c r="G15" s="107">
        <f>'[3]Continental Express'!$EN$4</f>
        <v>27</v>
      </c>
      <c r="H15" s="106">
        <f>'[3]Go Jet_UA'!$EN$4</f>
        <v>39</v>
      </c>
      <c r="I15" s="106">
        <f>'[3]Go Jet'!$EN$4</f>
        <v>0</v>
      </c>
      <c r="J15" s="108">
        <f>'[3]Air Wisconsin'!$EN$4</f>
        <v>8</v>
      </c>
      <c r="K15" s="106">
        <f>[3]MESA!$EN$4</f>
        <v>0</v>
      </c>
      <c r="L15" s="110">
        <f t="shared" ref="L15:L21" si="4">SUM(B15:K15)</f>
        <v>1312</v>
      </c>
    </row>
    <row r="16" spans="1:12" x14ac:dyDescent="0.2">
      <c r="A16" s="62" t="s">
        <v>58</v>
      </c>
      <c r="B16" s="111">
        <f>'[3]Shuttle America'!$EN$5</f>
        <v>76</v>
      </c>
      <c r="C16" s="111">
        <f>'[3]Shuttle America_Delta'!$EN$5</f>
        <v>70</v>
      </c>
      <c r="D16" s="112">
        <f>'[3]Jazz Air'!$EN$16</f>
        <v>0</v>
      </c>
      <c r="E16" s="14">
        <f>[3]Compass!$EN$5+[3]Compass!$EN$16</f>
        <v>802</v>
      </c>
      <c r="F16" s="112">
        <f>'[3]Atlantic Southeast'!$EN$5+'[3]Atlantic Southeast'!$EN$16</f>
        <v>294</v>
      </c>
      <c r="G16" s="112">
        <f>'[3]Continental Express'!$EN$5</f>
        <v>27</v>
      </c>
      <c r="H16" s="111">
        <f>'[3]Go Jet_UA'!$EN$5</f>
        <v>39</v>
      </c>
      <c r="I16" s="111">
        <f>'[3]Go Jet'!$EN$5</f>
        <v>0</v>
      </c>
      <c r="J16" s="113">
        <f>'[3]Air Wisconsin'!$EN$5</f>
        <v>8</v>
      </c>
      <c r="K16" s="111">
        <f>[3]MESA!$EN$5</f>
        <v>0</v>
      </c>
      <c r="L16" s="115">
        <f t="shared" si="4"/>
        <v>1316</v>
      </c>
    </row>
    <row r="17" spans="1:12" x14ac:dyDescent="0.2">
      <c r="A17" s="71" t="s">
        <v>59</v>
      </c>
      <c r="B17" s="116">
        <f>SUM(B15:B16)</f>
        <v>152</v>
      </c>
      <c r="C17" s="116">
        <f>SUM(C15:C16)</f>
        <v>140</v>
      </c>
      <c r="D17" s="116">
        <f t="shared" ref="D17:K17" si="5">SUM(D15:D16)</f>
        <v>0</v>
      </c>
      <c r="E17" s="291">
        <f>SUM(E15:E16)</f>
        <v>1601</v>
      </c>
      <c r="F17" s="116">
        <f t="shared" si="5"/>
        <v>587</v>
      </c>
      <c r="G17" s="116">
        <f t="shared" si="5"/>
        <v>54</v>
      </c>
      <c r="H17" s="116">
        <f t="shared" si="5"/>
        <v>78</v>
      </c>
      <c r="I17" s="116">
        <f t="shared" ref="I17" si="6">SUM(I15:I16)</f>
        <v>0</v>
      </c>
      <c r="J17" s="116">
        <f t="shared" si="5"/>
        <v>16</v>
      </c>
      <c r="K17" s="116">
        <f t="shared" si="5"/>
        <v>0</v>
      </c>
      <c r="L17" s="117">
        <f t="shared" si="4"/>
        <v>2628</v>
      </c>
    </row>
    <row r="18" spans="1:12" x14ac:dyDescent="0.2">
      <c r="A18" s="62" t="s">
        <v>60</v>
      </c>
      <c r="B18" s="118">
        <f>'[3]Shuttle America'!$EN$8</f>
        <v>0</v>
      </c>
      <c r="C18" s="118">
        <f>'[3]Shuttle America_Delta'!$EN$8</f>
        <v>0</v>
      </c>
      <c r="D18" s="118">
        <f>'[3]Jazz Air'!$EN$8</f>
        <v>0</v>
      </c>
      <c r="E18" s="21">
        <f>[3]Compass!$EN$8</f>
        <v>0</v>
      </c>
      <c r="F18" s="109">
        <f>'[3]Atlantic Southeast'!$EN$8</f>
        <v>0</v>
      </c>
      <c r="G18" s="109">
        <f>'[3]Continental Express'!$EN$8</f>
        <v>0</v>
      </c>
      <c r="H18" s="118">
        <f>'[3]Go Jet_UA'!$EN$8</f>
        <v>0</v>
      </c>
      <c r="I18" s="118">
        <f>'[3]Go Jet'!$EN$8</f>
        <v>0</v>
      </c>
      <c r="J18" s="119">
        <f>'[3]Air Wisconsin'!$EN$8</f>
        <v>0</v>
      </c>
      <c r="K18" s="118">
        <f>[3]MESA!$EN$8</f>
        <v>0</v>
      </c>
      <c r="L18" s="110">
        <f t="shared" si="4"/>
        <v>0</v>
      </c>
    </row>
    <row r="19" spans="1:12" x14ac:dyDescent="0.2">
      <c r="A19" s="62" t="s">
        <v>61</v>
      </c>
      <c r="B19" s="120">
        <f>'[3]Shuttle America'!$EN$9</f>
        <v>0</v>
      </c>
      <c r="C19" s="120">
        <f>'[3]Shuttle America_Delta'!$EN$9</f>
        <v>0</v>
      </c>
      <c r="D19" s="120">
        <f>'[3]Jazz Air'!$EN$9</f>
        <v>0</v>
      </c>
      <c r="E19" s="14">
        <f>[3]Compass!$EN$9</f>
        <v>0</v>
      </c>
      <c r="F19" s="114">
        <f>'[3]Atlantic Southeast'!$EN$9</f>
        <v>0</v>
      </c>
      <c r="G19" s="114">
        <f>'[3]Continental Express'!$EN$9</f>
        <v>0</v>
      </c>
      <c r="H19" s="120">
        <f>'[3]Go Jet_UA'!$EN$9</f>
        <v>0</v>
      </c>
      <c r="I19" s="120">
        <f>'[3]Go Jet'!$EN$9</f>
        <v>0</v>
      </c>
      <c r="J19" s="121">
        <f>'[3]Air Wisconsin'!$EN$9</f>
        <v>0</v>
      </c>
      <c r="K19" s="120">
        <f>[3]MESA!$EN$9</f>
        <v>0</v>
      </c>
      <c r="L19" s="115">
        <f t="shared" si="4"/>
        <v>0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7">SUM(D18:D19)</f>
        <v>0</v>
      </c>
      <c r="E20" s="291">
        <f>SUM(E18:E19)</f>
        <v>0</v>
      </c>
      <c r="F20" s="116">
        <f t="shared" si="7"/>
        <v>0</v>
      </c>
      <c r="G20" s="116">
        <f t="shared" si="7"/>
        <v>0</v>
      </c>
      <c r="H20" s="116">
        <f t="shared" si="7"/>
        <v>0</v>
      </c>
      <c r="I20" s="116">
        <f t="shared" ref="I20" si="8">SUM(I18:I19)</f>
        <v>0</v>
      </c>
      <c r="J20" s="116">
        <f t="shared" si="7"/>
        <v>0</v>
      </c>
      <c r="K20" s="116">
        <f t="shared" si="7"/>
        <v>0</v>
      </c>
      <c r="L20" s="117">
        <f t="shared" si="4"/>
        <v>0</v>
      </c>
    </row>
    <row r="21" spans="1:12" ht="15.75" thickBot="1" x14ac:dyDescent="0.3">
      <c r="A21" s="72" t="s">
        <v>31</v>
      </c>
      <c r="B21" s="122">
        <f>SUM(B20,B17)</f>
        <v>152</v>
      </c>
      <c r="C21" s="122">
        <f>SUM(C20,C17)</f>
        <v>140</v>
      </c>
      <c r="D21" s="122">
        <f t="shared" ref="D21:K21" si="9">SUM(D20,D17)</f>
        <v>0</v>
      </c>
      <c r="E21" s="122">
        <f t="shared" si="9"/>
        <v>1601</v>
      </c>
      <c r="F21" s="122">
        <f t="shared" si="9"/>
        <v>587</v>
      </c>
      <c r="G21" s="122">
        <f t="shared" si="9"/>
        <v>54</v>
      </c>
      <c r="H21" s="122">
        <f t="shared" si="9"/>
        <v>78</v>
      </c>
      <c r="I21" s="122">
        <f t="shared" ref="I21" si="10">SUM(I20,I17)</f>
        <v>0</v>
      </c>
      <c r="J21" s="122">
        <f t="shared" si="9"/>
        <v>16</v>
      </c>
      <c r="K21" s="122">
        <f t="shared" si="9"/>
        <v>0</v>
      </c>
      <c r="L21" s="123">
        <f t="shared" si="4"/>
        <v>2628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America'!$EN$47</f>
        <v>0</v>
      </c>
      <c r="C25" s="130">
        <f>'[3]Shuttle America_Delta'!$EN$47</f>
        <v>0</v>
      </c>
      <c r="D25" s="130">
        <f>'[3]Jazz Air'!$EN$47</f>
        <v>0</v>
      </c>
      <c r="E25" s="130">
        <f>[3]Compass!$EN$47</f>
        <v>0</v>
      </c>
      <c r="F25" s="131">
        <f>'[3]Atlantic Southeast'!$EN$47</f>
        <v>0</v>
      </c>
      <c r="G25" s="131">
        <f>'[3]Continental Express'!$EN$47</f>
        <v>0</v>
      </c>
      <c r="H25" s="130">
        <f>'[3]Go Jet_UA'!$EN$47</f>
        <v>0</v>
      </c>
      <c r="I25" s="130">
        <f>'[3]Go Jet'!$EN$47</f>
        <v>0</v>
      </c>
      <c r="J25" s="132">
        <f>'[3]Air Wisconsin'!$EN$47</f>
        <v>0</v>
      </c>
      <c r="K25" s="130">
        <f>[3]MESA!$EN$47</f>
        <v>0</v>
      </c>
      <c r="L25" s="110">
        <f>SUM(B25:K25)</f>
        <v>0</v>
      </c>
    </row>
    <row r="26" spans="1:12" x14ac:dyDescent="0.2">
      <c r="A26" s="75" t="s">
        <v>41</v>
      </c>
      <c r="B26" s="130">
        <f>'[3]Shuttle America'!$EN$48</f>
        <v>0</v>
      </c>
      <c r="C26" s="130">
        <f>'[3]Shuttle America_Delta'!$EN$48</f>
        <v>0</v>
      </c>
      <c r="D26" s="130">
        <f>'[3]Jazz Air'!$EN$48</f>
        <v>0</v>
      </c>
      <c r="E26" s="130">
        <f>[3]Compass!$EN$48</f>
        <v>0</v>
      </c>
      <c r="F26" s="131">
        <f>'[3]Atlantic Southeast'!$EN$48</f>
        <v>0</v>
      </c>
      <c r="G26" s="131">
        <f>'[3]Continental Express'!$EN$48</f>
        <v>0</v>
      </c>
      <c r="H26" s="130">
        <f>'[3]Go Jet_UA'!$EN$48</f>
        <v>0</v>
      </c>
      <c r="I26" s="130">
        <f>'[3]Go Jet'!$EN$48</f>
        <v>0</v>
      </c>
      <c r="J26" s="132">
        <f>'[3]Air Wisconsin'!$EN$48</f>
        <v>0</v>
      </c>
      <c r="K26" s="130">
        <f>[3]MESA!$EN$48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0</v>
      </c>
      <c r="D27" s="133">
        <f t="shared" ref="D27:K27" si="11">SUM(D25:D26)</f>
        <v>0</v>
      </c>
      <c r="E27" s="133">
        <f>SUM(E25:E26)</f>
        <v>0</v>
      </c>
      <c r="F27" s="133">
        <f t="shared" si="11"/>
        <v>0</v>
      </c>
      <c r="G27" s="133">
        <f t="shared" si="11"/>
        <v>0</v>
      </c>
      <c r="H27" s="133">
        <f t="shared" si="11"/>
        <v>0</v>
      </c>
      <c r="I27" s="133">
        <f t="shared" ref="I27" si="12">SUM(I25:I26)</f>
        <v>0</v>
      </c>
      <c r="J27" s="133">
        <f t="shared" si="11"/>
        <v>0</v>
      </c>
      <c r="K27" s="133">
        <f t="shared" si="11"/>
        <v>0</v>
      </c>
      <c r="L27" s="134">
        <f>SUM(B27:K27)</f>
        <v>0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America'!$EN$52</f>
        <v>0</v>
      </c>
      <c r="C30" s="130">
        <f>'[3]Shuttle America_Delta'!$EN$52</f>
        <v>0</v>
      </c>
      <c r="D30" s="130">
        <f>'[3]Jazz Air'!$EN$52</f>
        <v>0</v>
      </c>
      <c r="E30" s="130">
        <f>[3]Compass!$EN$52</f>
        <v>0</v>
      </c>
      <c r="F30" s="131">
        <f>'[3]Atlantic Southeast'!$EN$52</f>
        <v>0</v>
      </c>
      <c r="G30" s="131">
        <f>'[3]Continental Express'!$EN$52</f>
        <v>0</v>
      </c>
      <c r="H30" s="130">
        <f>'[3]Go Jet_UA'!$EN$52</f>
        <v>0</v>
      </c>
      <c r="I30" s="130">
        <f>'[3]Go Jet'!$EN$52</f>
        <v>0</v>
      </c>
      <c r="J30" s="132">
        <f>'[3]Air Wisconsin'!BH$52</f>
        <v>0</v>
      </c>
      <c r="K30" s="130">
        <f>[3]MESA!$EN$52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America'!$EN$53</f>
        <v>0</v>
      </c>
      <c r="C31" s="130">
        <f>'[3]Shuttle America_Delta'!$EN$53</f>
        <v>0</v>
      </c>
      <c r="D31" s="130">
        <f>'[3]Jazz Air'!$EN$53</f>
        <v>0</v>
      </c>
      <c r="E31" s="130">
        <f>[3]Compass!$EN$53</f>
        <v>0</v>
      </c>
      <c r="F31" s="131">
        <f>'[3]Atlantic Southeast'!$EN$53</f>
        <v>0</v>
      </c>
      <c r="G31" s="131">
        <f>'[3]Continental Express'!$EN$53</f>
        <v>0</v>
      </c>
      <c r="H31" s="130">
        <f>'[3]Go Jet_UA'!$EN$53</f>
        <v>0</v>
      </c>
      <c r="I31" s="130">
        <f>'[3]Go Jet'!$EN$53</f>
        <v>0</v>
      </c>
      <c r="J31" s="132">
        <f>'[3]Air Wisconsin'!$EN$53</f>
        <v>0</v>
      </c>
      <c r="K31" s="130">
        <f>[3]MESA!$EN$53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3">SUM(B30:B31)</f>
        <v>0</v>
      </c>
      <c r="C32" s="133">
        <f t="shared" si="13"/>
        <v>0</v>
      </c>
      <c r="D32" s="133">
        <f t="shared" si="13"/>
        <v>0</v>
      </c>
      <c r="E32" s="133">
        <f t="shared" si="13"/>
        <v>0</v>
      </c>
      <c r="F32" s="133">
        <f t="shared" si="13"/>
        <v>0</v>
      </c>
      <c r="G32" s="133">
        <f t="shared" si="13"/>
        <v>0</v>
      </c>
      <c r="H32" s="133">
        <f t="shared" si="13"/>
        <v>0</v>
      </c>
      <c r="I32" s="133">
        <f t="shared" ref="I32" si="14">SUM(I30:I31)</f>
        <v>0</v>
      </c>
      <c r="J32" s="133">
        <f t="shared" si="13"/>
        <v>0</v>
      </c>
      <c r="K32" s="133">
        <f t="shared" si="13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America'!$EN$57</f>
        <v>0</v>
      </c>
      <c r="C35" s="130">
        <f>'[3]Shuttle America_Delta'!$EN$57</f>
        <v>0</v>
      </c>
      <c r="D35" s="130">
        <f>'[3]Jazz Air'!$EN$57</f>
        <v>0</v>
      </c>
      <c r="E35" s="130">
        <f>[3]Compass!$EN$57</f>
        <v>0</v>
      </c>
      <c r="F35" s="131">
        <f>'[3]Atlantic Southeast'!$EN$57</f>
        <v>0</v>
      </c>
      <c r="G35" s="131">
        <f>'[3]Continental Express'!$EN$57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'[3]Jazz Air'!BG$58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5">SUM(D35:D36)</f>
        <v>0</v>
      </c>
      <c r="E37" s="141">
        <f>SUM(E35:E36)</f>
        <v>0</v>
      </c>
      <c r="F37" s="142">
        <f t="shared" si="15"/>
        <v>0</v>
      </c>
      <c r="G37" s="142">
        <f t="shared" si="15"/>
        <v>0</v>
      </c>
      <c r="H37" s="141">
        <f t="shared" si="15"/>
        <v>0</v>
      </c>
      <c r="I37" s="141">
        <f t="shared" ref="I37" si="16">SUM(I35:I36)</f>
        <v>0</v>
      </c>
      <c r="J37" s="141">
        <f t="shared" si="15"/>
        <v>0</v>
      </c>
      <c r="K37" s="141">
        <f t="shared" si="15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7">SUM(B35,B30,B25)</f>
        <v>0</v>
      </c>
      <c r="C40" s="130">
        <f>SUM(C35,C30,C25)</f>
        <v>0</v>
      </c>
      <c r="D40" s="130">
        <f t="shared" si="17"/>
        <v>0</v>
      </c>
      <c r="E40" s="130">
        <f t="shared" si="17"/>
        <v>0</v>
      </c>
      <c r="F40" s="130">
        <f t="shared" si="17"/>
        <v>0</v>
      </c>
      <c r="G40" s="130">
        <f t="shared" si="17"/>
        <v>0</v>
      </c>
      <c r="H40" s="130">
        <f>SUM(H35,H30,H25)</f>
        <v>0</v>
      </c>
      <c r="I40" s="130">
        <f>SUM(I35,I30,I25)</f>
        <v>0</v>
      </c>
      <c r="J40" s="130">
        <f t="shared" si="17"/>
        <v>0</v>
      </c>
      <c r="K40" s="130">
        <f t="shared" si="17"/>
        <v>0</v>
      </c>
      <c r="L40" s="110">
        <f>SUM(B40:K40)</f>
        <v>0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8">SUM(D36,D31,D26)</f>
        <v>0</v>
      </c>
      <c r="E41" s="130">
        <f t="shared" si="18"/>
        <v>0</v>
      </c>
      <c r="F41" s="130">
        <f t="shared" si="18"/>
        <v>0</v>
      </c>
      <c r="G41" s="130">
        <f t="shared" si="18"/>
        <v>0</v>
      </c>
      <c r="H41" s="130">
        <f>SUM(H36,H31,H26)</f>
        <v>0</v>
      </c>
      <c r="I41" s="130">
        <f>SUM(I36,I31,I26)</f>
        <v>0</v>
      </c>
      <c r="J41" s="130">
        <f t="shared" si="18"/>
        <v>0</v>
      </c>
      <c r="K41" s="130">
        <f t="shared" si="18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0</v>
      </c>
      <c r="D42" s="136">
        <f t="shared" ref="D42:K42" si="19">SUM(D40:D41)</f>
        <v>0</v>
      </c>
      <c r="E42" s="136">
        <f t="shared" si="19"/>
        <v>0</v>
      </c>
      <c r="F42" s="136">
        <f t="shared" si="19"/>
        <v>0</v>
      </c>
      <c r="G42" s="136">
        <f t="shared" si="19"/>
        <v>0</v>
      </c>
      <c r="H42" s="136">
        <f t="shared" si="19"/>
        <v>0</v>
      </c>
      <c r="I42" s="136">
        <f t="shared" ref="I42" si="20">SUM(I40:I41)</f>
        <v>0</v>
      </c>
      <c r="J42" s="136">
        <f t="shared" si="19"/>
        <v>0</v>
      </c>
      <c r="K42" s="136">
        <f t="shared" si="19"/>
        <v>0</v>
      </c>
      <c r="L42" s="137">
        <f>SUM(B42:K42)</f>
        <v>0</v>
      </c>
    </row>
    <row r="43" spans="1:12" ht="4.5" customHeight="1" x14ac:dyDescent="0.2"/>
    <row r="44" spans="1:12" hidden="1" x14ac:dyDescent="0.2">
      <c r="A44" s="328" t="s">
        <v>131</v>
      </c>
      <c r="E44" s="327">
        <f>[3]Compass!BG$70+[3]Compass!BG$73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132</v>
      </c>
      <c r="E45" s="327">
        <f>[3]Compass!BG$71+[3]Compass!BG$74</f>
        <v>47176</v>
      </c>
      <c r="F45" s="331"/>
      <c r="L45" s="315">
        <f>SUM(E45:E45)</f>
        <v>47176</v>
      </c>
    </row>
    <row r="46" spans="1:12" x14ac:dyDescent="0.2">
      <c r="A46" s="386" t="s">
        <v>128</v>
      </c>
      <c r="C46" s="327">
        <f>'[3]Shuttle America_Delta'!$EN$70+'[3]Shuttle America_Delta'!$EN$73</f>
        <v>1036</v>
      </c>
      <c r="E46" s="327">
        <f>[3]Compass!$EN$70+[3]Compass!$EN$73</f>
        <v>20688</v>
      </c>
      <c r="F46" s="327">
        <f>'[3]Atlantic Southeast'!$EN$70+'[3]Atlantic Southeast'!$EN$73</f>
        <v>5381</v>
      </c>
      <c r="H46" s="327">
        <f>'[3]Go Jet'!$EN$70+'[3]Go Jet'!$EN$73</f>
        <v>0</v>
      </c>
      <c r="I46" s="5"/>
      <c r="L46" s="400">
        <f>SUM(B46:K46)</f>
        <v>27105</v>
      </c>
    </row>
    <row r="47" spans="1:12" x14ac:dyDescent="0.2">
      <c r="A47" s="401" t="s">
        <v>129</v>
      </c>
      <c r="C47" s="327">
        <f>'[3]Shuttle America_Delta'!$EN$71+'[3]Shuttle America_Delta'!$EN$74</f>
        <v>1764</v>
      </c>
      <c r="E47" s="327">
        <f>[3]Compass!$EN$71+[3]Compass!$EN$74</f>
        <v>27874</v>
      </c>
      <c r="F47" s="327">
        <f>'[3]Atlantic Southeast'!$EN$71+'[3]Atlantic Southeast'!$EN$74</f>
        <v>10445</v>
      </c>
      <c r="H47" s="327">
        <f>'[3]Go Jet'!$EN$71+'[3]Go Jet'!$EN$74</f>
        <v>0</v>
      </c>
      <c r="I47" s="5"/>
      <c r="L47" s="400">
        <f>SUM(B47:K47)</f>
        <v>40083</v>
      </c>
    </row>
  </sheetData>
  <phoneticPr fontId="6" type="noConversion"/>
  <printOptions horizontalCentered="1"/>
  <pageMargins left="0.75" right="0.75" top="0.92" bottom="1" header="0.5" footer="0.5"/>
  <pageSetup scale="90" orientation="landscape" r:id="rId1"/>
  <headerFooter alignWithMargins="0">
    <oddHeader>&amp;L
Schedule 5
&amp;CMinneapolis-St. Paul International Airport
&amp;"Arial,Bold"Other Regional
March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I11" sqref="I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0">
        <v>42430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31"/>
      <c r="C4" s="184"/>
      <c r="D4" s="184"/>
      <c r="E4" s="184"/>
      <c r="F4" s="184"/>
      <c r="G4" s="254"/>
    </row>
    <row r="5" spans="1:17" x14ac:dyDescent="0.2">
      <c r="A5" s="62" t="s">
        <v>33</v>
      </c>
      <c r="B5" s="431">
        <f>'[3]Charter Misc'!$EN$22</f>
        <v>0</v>
      </c>
      <c r="C5" s="184">
        <f>[3]Ryan!$EN$22</f>
        <v>0</v>
      </c>
      <c r="D5" s="184">
        <f>'[3]Charter Misc'!$EN$32</f>
        <v>0</v>
      </c>
      <c r="E5" s="184">
        <f>[3]Omni!$EN$32</f>
        <v>0</v>
      </c>
      <c r="F5" s="184">
        <f>[3]Xtra!$EN$32+[3]Xtra!$EN$22</f>
        <v>0</v>
      </c>
      <c r="G5" s="346">
        <f>SUM(B5:F5)</f>
        <v>0</v>
      </c>
    </row>
    <row r="6" spans="1:17" x14ac:dyDescent="0.2">
      <c r="A6" s="62" t="s">
        <v>34</v>
      </c>
      <c r="B6" s="432">
        <f>'[3]Charter Misc'!$EN$23</f>
        <v>0</v>
      </c>
      <c r="C6" s="187">
        <f>[3]Ryan!$EN$23</f>
        <v>0</v>
      </c>
      <c r="D6" s="187">
        <f>'[3]Charter Misc'!$EN$33</f>
        <v>0</v>
      </c>
      <c r="E6" s="187">
        <f>[3]Omni!$EN$33</f>
        <v>0</v>
      </c>
      <c r="F6" s="187">
        <f>[3]Xtra!$EN$33+[3]Xtra!$EN$23</f>
        <v>0</v>
      </c>
      <c r="G6" s="345">
        <f>SUM(B6:F6)</f>
        <v>0</v>
      </c>
    </row>
    <row r="7" spans="1:17" ht="15.75" thickBot="1" x14ac:dyDescent="0.3">
      <c r="A7" s="183" t="s">
        <v>7</v>
      </c>
      <c r="B7" s="433">
        <f>SUM(B5:B6)</f>
        <v>0</v>
      </c>
      <c r="C7" s="303">
        <f>SUM(C5:C6)</f>
        <v>0</v>
      </c>
      <c r="D7" s="303">
        <f>SUM(D5:D6)</f>
        <v>0</v>
      </c>
      <c r="E7" s="303">
        <f>SUM(E5:E6)</f>
        <v>0</v>
      </c>
      <c r="F7" s="303">
        <f>SUM(F5:F6)</f>
        <v>0</v>
      </c>
      <c r="G7" s="304">
        <f>SUM(B7:F7)</f>
        <v>0</v>
      </c>
    </row>
    <row r="8" spans="1:17" ht="13.5" thickBot="1" x14ac:dyDescent="0.25"/>
    <row r="9" spans="1:17" x14ac:dyDescent="0.2">
      <c r="A9" s="181" t="s">
        <v>9</v>
      </c>
      <c r="B9" s="434"/>
      <c r="C9" s="45"/>
      <c r="D9" s="45"/>
      <c r="E9" s="45"/>
      <c r="F9" s="45"/>
      <c r="G9" s="57"/>
    </row>
    <row r="10" spans="1:17" x14ac:dyDescent="0.2">
      <c r="A10" s="182" t="s">
        <v>84</v>
      </c>
      <c r="B10" s="431">
        <f>'[3]Charter Misc'!$EN$4</f>
        <v>0</v>
      </c>
      <c r="C10" s="184">
        <f>[3]Ryan!$EN$4</f>
        <v>0</v>
      </c>
      <c r="D10" s="184">
        <f>'[3]Charter Misc'!$EN$15</f>
        <v>0</v>
      </c>
      <c r="E10" s="184">
        <f>[3]Omni!$EN$15</f>
        <v>0</v>
      </c>
      <c r="F10" s="184">
        <f>[3]Xtra!$EN$15+[3]Xtra!$EN$4</f>
        <v>0</v>
      </c>
      <c r="G10" s="345">
        <f>SUM(B10:F10)</f>
        <v>0</v>
      </c>
    </row>
    <row r="11" spans="1:17" x14ac:dyDescent="0.2">
      <c r="A11" s="182" t="s">
        <v>85</v>
      </c>
      <c r="B11" s="431">
        <f>'[3]Charter Misc'!$EN$5</f>
        <v>0</v>
      </c>
      <c r="C11" s="184">
        <f>[3]Ryan!$EN$5</f>
        <v>0</v>
      </c>
      <c r="D11" s="184">
        <f>'[3]Charter Misc'!$EN$16</f>
        <v>0</v>
      </c>
      <c r="E11" s="184">
        <f>[3]Omni!$EN$16</f>
        <v>0</v>
      </c>
      <c r="F11" s="184">
        <f>[3]Xtra!$EN$16+[3]Xtra!$EN$5</f>
        <v>0</v>
      </c>
      <c r="G11" s="345">
        <f>SUM(B11:F11)</f>
        <v>0</v>
      </c>
    </row>
    <row r="12" spans="1:17" ht="15.75" thickBot="1" x14ac:dyDescent="0.3">
      <c r="A12" s="282" t="s">
        <v>31</v>
      </c>
      <c r="B12" s="435">
        <f>SUM(B10:B11)</f>
        <v>0</v>
      </c>
      <c r="C12" s="305">
        <f>SUM(C10:C11)</f>
        <v>0</v>
      </c>
      <c r="D12" s="305">
        <f>SUM(D10:D11)</f>
        <v>0</v>
      </c>
      <c r="E12" s="305">
        <f>SUM(E10:E11)</f>
        <v>0</v>
      </c>
      <c r="F12" s="305">
        <f>SUM(F10:F11)</f>
        <v>0</v>
      </c>
      <c r="G12" s="306">
        <f>SUM(B12:F12)</f>
        <v>0</v>
      </c>
      <c r="Q12" s="130"/>
    </row>
    <row r="17" spans="1:16" x14ac:dyDescent="0.2">
      <c r="B17" s="486" t="s">
        <v>161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2"/>
      <c r="E18" s="226"/>
      <c r="G18" s="226"/>
      <c r="H18" s="226"/>
      <c r="L18" s="233"/>
      <c r="N18" s="234"/>
    </row>
    <row r="19" spans="1:16" ht="13.5" customHeight="1" thickBot="1" x14ac:dyDescent="0.25">
      <c r="A19" s="415"/>
      <c r="B19" s="489" t="s">
        <v>125</v>
      </c>
      <c r="C19" s="490"/>
      <c r="D19" s="490"/>
      <c r="E19" s="491"/>
      <c r="G19" s="489" t="s">
        <v>126</v>
      </c>
      <c r="H19" s="492"/>
      <c r="I19" s="492"/>
      <c r="J19" s="493"/>
      <c r="L19" s="494" t="s">
        <v>127</v>
      </c>
      <c r="M19" s="495"/>
      <c r="N19" s="495"/>
      <c r="O19" s="496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3" t="s">
        <v>189</v>
      </c>
      <c r="J20" s="443" t="s">
        <v>180</v>
      </c>
      <c r="K20" s="243" t="s">
        <v>103</v>
      </c>
      <c r="L20" s="242" t="s">
        <v>107</v>
      </c>
      <c r="M20" s="236" t="s">
        <v>108</v>
      </c>
      <c r="N20" s="443" t="s">
        <v>189</v>
      </c>
      <c r="O20" s="443" t="s">
        <v>180</v>
      </c>
      <c r="P20" s="243" t="s">
        <v>103</v>
      </c>
    </row>
    <row r="21" spans="1:16" ht="14.1" customHeight="1" x14ac:dyDescent="0.2">
      <c r="A21" s="246" t="s">
        <v>109</v>
      </c>
      <c r="B21" s="475">
        <f>+[4]Charter!$B$21</f>
        <v>135014</v>
      </c>
      <c r="C21" s="476">
        <f>+[4]Charter!$C$21</f>
        <v>133261</v>
      </c>
      <c r="D21" s="476">
        <f t="shared" ref="D21:D32" si="0">SUM(B21:C21)</f>
        <v>268275</v>
      </c>
      <c r="E21" s="477">
        <f>[5]Charter!$D$21</f>
        <v>236565</v>
      </c>
      <c r="F21" s="344">
        <f t="shared" ref="F21:F32" si="1">(D21-E21)/E21</f>
        <v>0.13404349755881048</v>
      </c>
      <c r="G21" s="475">
        <f t="shared" ref="G21:H23" si="2">L21-B21</f>
        <v>1203116</v>
      </c>
      <c r="H21" s="476">
        <f t="shared" si="2"/>
        <v>1225993</v>
      </c>
      <c r="I21" s="341">
        <f>SUM(G21:H21)</f>
        <v>2429109</v>
      </c>
      <c r="J21" s="477">
        <f>[5]Charter!$I$21</f>
        <v>2357435</v>
      </c>
      <c r="K21" s="247">
        <f t="shared" ref="K21:K32" si="3">(I21-J21)/J21</f>
        <v>3.0403383338246867E-2</v>
      </c>
      <c r="L21" s="475">
        <f>+[4]Charter!$L$21</f>
        <v>1338130</v>
      </c>
      <c r="M21" s="476">
        <f>+[4]Charter!$M$21</f>
        <v>1359254</v>
      </c>
      <c r="N21" s="476">
        <f t="shared" ref="N21:N32" si="4">SUM(L21:M21)</f>
        <v>2697384</v>
      </c>
      <c r="O21" s="477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7">
        <f>+[2]Charter!$B$22</f>
        <v>140758</v>
      </c>
      <c r="C22" s="339">
        <f>+[2]Charter!$C$22</f>
        <v>141113</v>
      </c>
      <c r="D22" s="338">
        <f t="shared" ref="D22" si="5">SUM(B22:C22)</f>
        <v>281871</v>
      </c>
      <c r="E22" s="343">
        <f>[6]Charter!$D$22</f>
        <v>251730</v>
      </c>
      <c r="F22" s="340">
        <f t="shared" si="1"/>
        <v>0.11973543081873436</v>
      </c>
      <c r="G22" s="337">
        <f t="shared" si="2"/>
        <v>1175038</v>
      </c>
      <c r="H22" s="339">
        <f t="shared" si="2"/>
        <v>1184918</v>
      </c>
      <c r="I22" s="338">
        <f>SUM(G22:H22)</f>
        <v>2359956</v>
      </c>
      <c r="J22" s="343">
        <f>[6]Charter!$I$22</f>
        <v>2278585</v>
      </c>
      <c r="K22" s="250">
        <f t="shared" si="3"/>
        <v>3.5711197958382068E-2</v>
      </c>
      <c r="L22" s="337">
        <f>+[2]Charter!$L$22</f>
        <v>1315796</v>
      </c>
      <c r="M22" s="339">
        <f>+[2]Charter!$M$22</f>
        <v>1326031</v>
      </c>
      <c r="N22" s="338">
        <f t="shared" ref="N22" si="6">SUM(L22:M22)</f>
        <v>2641827</v>
      </c>
      <c r="O22" s="343">
        <f>[6]Charter!$N$22</f>
        <v>2530315</v>
      </c>
      <c r="P22" s="249">
        <f t="shared" ref="P22:P32" si="7">(N22-O22)/O22</f>
        <v>4.407040230168971E-2</v>
      </c>
    </row>
    <row r="23" spans="1:16" ht="14.1" customHeight="1" x14ac:dyDescent="0.2">
      <c r="A23" s="248" t="s">
        <v>111</v>
      </c>
      <c r="B23" s="337">
        <f>'Intl Detail'!$N$4+'Intl Detail'!$N$9</f>
        <v>170911</v>
      </c>
      <c r="C23" s="339">
        <f>'Intl Detail'!$N$5+'Intl Detail'!$N$10</f>
        <v>169553</v>
      </c>
      <c r="D23" s="338">
        <f t="shared" ref="D23" si="8">SUM(B23:C23)</f>
        <v>340464</v>
      </c>
      <c r="E23" s="343">
        <f>[1]Charter!$D$23</f>
        <v>312232</v>
      </c>
      <c r="F23" s="249">
        <f t="shared" si="1"/>
        <v>9.0419944144097972E-2</v>
      </c>
      <c r="G23" s="337">
        <f t="shared" si="2"/>
        <v>1482455</v>
      </c>
      <c r="H23" s="339">
        <f t="shared" si="2"/>
        <v>1493304</v>
      </c>
      <c r="I23" s="338">
        <f>SUM(G23:H23)</f>
        <v>2975759</v>
      </c>
      <c r="J23" s="343">
        <f>[1]Charter!$I$23</f>
        <v>2912274</v>
      </c>
      <c r="K23" s="250">
        <f t="shared" si="3"/>
        <v>2.1799116429292022E-2</v>
      </c>
      <c r="L23" s="337">
        <f>'Monthly Summary'!$B$11</f>
        <v>1653366</v>
      </c>
      <c r="M23" s="339">
        <f>'Monthly Summary'!$C$11</f>
        <v>1662857</v>
      </c>
      <c r="N23" s="338">
        <f t="shared" ref="N23" si="9">SUM(L23:M23)</f>
        <v>3316223</v>
      </c>
      <c r="O23" s="343">
        <f>[1]Charter!$N$23</f>
        <v>3224506</v>
      </c>
      <c r="P23" s="249">
        <f t="shared" si="7"/>
        <v>2.8443736808056799E-2</v>
      </c>
    </row>
    <row r="24" spans="1:16" ht="14.1" customHeight="1" x14ac:dyDescent="0.2">
      <c r="A24" s="248" t="s">
        <v>112</v>
      </c>
      <c r="B24" s="337"/>
      <c r="C24" s="339"/>
      <c r="D24" s="338">
        <f t="shared" si="0"/>
        <v>0</v>
      </c>
      <c r="E24" s="342"/>
      <c r="F24" s="249" t="e">
        <f t="shared" si="1"/>
        <v>#DIV/0!</v>
      </c>
      <c r="G24" s="337"/>
      <c r="H24" s="339"/>
      <c r="I24" s="338">
        <f>SUM(G24:H24)</f>
        <v>0</v>
      </c>
      <c r="J24" s="342"/>
      <c r="K24" s="250" t="e">
        <f t="shared" si="3"/>
        <v>#DIV/0!</v>
      </c>
      <c r="L24" s="337"/>
      <c r="M24" s="339"/>
      <c r="N24" s="338">
        <f t="shared" si="4"/>
        <v>0</v>
      </c>
      <c r="O24" s="342"/>
      <c r="P24" s="249" t="e">
        <f t="shared" si="7"/>
        <v>#DIV/0!</v>
      </c>
    </row>
    <row r="25" spans="1:16" ht="14.1" customHeight="1" x14ac:dyDescent="0.2">
      <c r="A25" s="235" t="s">
        <v>80</v>
      </c>
      <c r="B25" s="337"/>
      <c r="C25" s="339"/>
      <c r="D25" s="338">
        <f t="shared" si="0"/>
        <v>0</v>
      </c>
      <c r="E25" s="342"/>
      <c r="F25" s="238" t="e">
        <f t="shared" si="1"/>
        <v>#DIV/0!</v>
      </c>
      <c r="G25" s="337"/>
      <c r="H25" s="339"/>
      <c r="I25" s="338">
        <f t="shared" ref="I25:I32" si="10">SUM(G25:H25)</f>
        <v>0</v>
      </c>
      <c r="J25" s="342"/>
      <c r="K25" s="244" t="e">
        <f t="shared" si="3"/>
        <v>#DIV/0!</v>
      </c>
      <c r="L25" s="337"/>
      <c r="M25" s="339"/>
      <c r="N25" s="338">
        <f t="shared" si="4"/>
        <v>0</v>
      </c>
      <c r="O25" s="342"/>
      <c r="P25" s="238" t="e">
        <f t="shared" si="7"/>
        <v>#DIV/0!</v>
      </c>
    </row>
    <row r="26" spans="1:16" ht="14.1" customHeight="1" x14ac:dyDescent="0.2">
      <c r="A26" s="248" t="s">
        <v>113</v>
      </c>
      <c r="B26" s="337"/>
      <c r="C26" s="339"/>
      <c r="D26" s="338">
        <f t="shared" si="0"/>
        <v>0</v>
      </c>
      <c r="E26" s="342"/>
      <c r="F26" s="249" t="e">
        <f t="shared" si="1"/>
        <v>#DIV/0!</v>
      </c>
      <c r="G26" s="337"/>
      <c r="H26" s="339"/>
      <c r="I26" s="338">
        <f t="shared" si="10"/>
        <v>0</v>
      </c>
      <c r="J26" s="342"/>
      <c r="K26" s="250" t="e">
        <f t="shared" si="3"/>
        <v>#DIV/0!</v>
      </c>
      <c r="L26" s="337"/>
      <c r="M26" s="339"/>
      <c r="N26" s="338">
        <f t="shared" si="4"/>
        <v>0</v>
      </c>
      <c r="O26" s="342"/>
      <c r="P26" s="249" t="e">
        <f t="shared" si="7"/>
        <v>#DIV/0!</v>
      </c>
    </row>
    <row r="27" spans="1:16" ht="14.1" customHeight="1" x14ac:dyDescent="0.2">
      <c r="A27" s="235" t="s">
        <v>114</v>
      </c>
      <c r="B27" s="337"/>
      <c r="C27" s="339"/>
      <c r="D27" s="338">
        <f t="shared" si="0"/>
        <v>0</v>
      </c>
      <c r="E27" s="342"/>
      <c r="F27" s="238" t="e">
        <f t="shared" si="1"/>
        <v>#DIV/0!</v>
      </c>
      <c r="G27" s="337"/>
      <c r="H27" s="339"/>
      <c r="I27" s="338">
        <f t="shared" si="10"/>
        <v>0</v>
      </c>
      <c r="J27" s="342"/>
      <c r="K27" s="244" t="e">
        <f t="shared" si="3"/>
        <v>#DIV/0!</v>
      </c>
      <c r="L27" s="337"/>
      <c r="M27" s="339"/>
      <c r="N27" s="338">
        <f t="shared" si="4"/>
        <v>0</v>
      </c>
      <c r="O27" s="342"/>
      <c r="P27" s="238" t="e">
        <f t="shared" si="7"/>
        <v>#DIV/0!</v>
      </c>
    </row>
    <row r="28" spans="1:16" ht="14.1" customHeight="1" x14ac:dyDescent="0.2">
      <c r="A28" s="248" t="s">
        <v>115</v>
      </c>
      <c r="B28" s="337"/>
      <c r="C28" s="339"/>
      <c r="D28" s="338">
        <f t="shared" si="0"/>
        <v>0</v>
      </c>
      <c r="E28" s="342"/>
      <c r="F28" s="249" t="e">
        <f t="shared" si="1"/>
        <v>#DIV/0!</v>
      </c>
      <c r="G28" s="337"/>
      <c r="H28" s="339"/>
      <c r="I28" s="338">
        <f t="shared" si="10"/>
        <v>0</v>
      </c>
      <c r="J28" s="342"/>
      <c r="K28" s="250" t="e">
        <f t="shared" si="3"/>
        <v>#DIV/0!</v>
      </c>
      <c r="L28" s="337"/>
      <c r="M28" s="339"/>
      <c r="N28" s="338">
        <f t="shared" si="4"/>
        <v>0</v>
      </c>
      <c r="O28" s="342"/>
      <c r="P28" s="249" t="e">
        <f t="shared" si="7"/>
        <v>#DIV/0!</v>
      </c>
    </row>
    <row r="29" spans="1:16" ht="14.1" customHeight="1" x14ac:dyDescent="0.2">
      <c r="A29" s="235" t="s">
        <v>116</v>
      </c>
      <c r="B29" s="337"/>
      <c r="C29" s="339"/>
      <c r="D29" s="338">
        <f t="shared" si="0"/>
        <v>0</v>
      </c>
      <c r="E29" s="342"/>
      <c r="F29" s="238" t="e">
        <f t="shared" si="1"/>
        <v>#DIV/0!</v>
      </c>
      <c r="G29" s="337"/>
      <c r="H29" s="339"/>
      <c r="I29" s="338">
        <f t="shared" si="10"/>
        <v>0</v>
      </c>
      <c r="J29" s="342"/>
      <c r="K29" s="244" t="e">
        <f t="shared" si="3"/>
        <v>#DIV/0!</v>
      </c>
      <c r="L29" s="337"/>
      <c r="M29" s="339"/>
      <c r="N29" s="338">
        <f t="shared" si="4"/>
        <v>0</v>
      </c>
      <c r="O29" s="342"/>
      <c r="P29" s="238" t="e">
        <f t="shared" si="7"/>
        <v>#DIV/0!</v>
      </c>
    </row>
    <row r="30" spans="1:16" ht="14.1" customHeight="1" x14ac:dyDescent="0.2">
      <c r="A30" s="248" t="s">
        <v>117</v>
      </c>
      <c r="B30" s="337"/>
      <c r="C30" s="339"/>
      <c r="D30" s="338">
        <f>SUM(B30:C30)</f>
        <v>0</v>
      </c>
      <c r="E30" s="342"/>
      <c r="F30" s="249" t="e">
        <f t="shared" si="1"/>
        <v>#DIV/0!</v>
      </c>
      <c r="G30" s="337"/>
      <c r="H30" s="339"/>
      <c r="I30" s="338">
        <f>SUM(G30:H30)</f>
        <v>0</v>
      </c>
      <c r="J30" s="342"/>
      <c r="K30" s="250" t="e">
        <f t="shared" si="3"/>
        <v>#DIV/0!</v>
      </c>
      <c r="L30" s="337"/>
      <c r="M30" s="339"/>
      <c r="N30" s="338">
        <f>SUM(L30:M30)</f>
        <v>0</v>
      </c>
      <c r="O30" s="342"/>
      <c r="P30" s="249" t="e">
        <f t="shared" si="7"/>
        <v>#DIV/0!</v>
      </c>
    </row>
    <row r="31" spans="1:16" ht="14.1" customHeight="1" x14ac:dyDescent="0.2">
      <c r="A31" s="235" t="s">
        <v>118</v>
      </c>
      <c r="B31" s="337"/>
      <c r="C31" s="339"/>
      <c r="D31" s="338">
        <f>SUM(B31:C31)</f>
        <v>0</v>
      </c>
      <c r="E31" s="342"/>
      <c r="F31" s="238" t="e">
        <f t="shared" si="1"/>
        <v>#DIV/0!</v>
      </c>
      <c r="G31" s="337"/>
      <c r="H31" s="339"/>
      <c r="I31" s="338">
        <f t="shared" si="10"/>
        <v>0</v>
      </c>
      <c r="J31" s="342"/>
      <c r="K31" s="244" t="e">
        <f t="shared" si="3"/>
        <v>#DIV/0!</v>
      </c>
      <c r="L31" s="337"/>
      <c r="M31" s="339"/>
      <c r="N31" s="338">
        <f>SUM(L31:M31)</f>
        <v>0</v>
      </c>
      <c r="O31" s="342"/>
      <c r="P31" s="238" t="e">
        <f t="shared" si="7"/>
        <v>#DIV/0!</v>
      </c>
    </row>
    <row r="32" spans="1:16" ht="14.1" customHeight="1" x14ac:dyDescent="0.2">
      <c r="A32" s="251" t="s">
        <v>119</v>
      </c>
      <c r="B32" s="337"/>
      <c r="C32" s="339"/>
      <c r="D32" s="161">
        <f t="shared" si="0"/>
        <v>0</v>
      </c>
      <c r="E32" s="342"/>
      <c r="F32" s="252" t="e">
        <f t="shared" si="1"/>
        <v>#DIV/0!</v>
      </c>
      <c r="G32" s="253"/>
      <c r="H32" s="161"/>
      <c r="I32" s="161">
        <f t="shared" si="10"/>
        <v>0</v>
      </c>
      <c r="J32" s="342"/>
      <c r="K32" s="252" t="e">
        <f t="shared" si="3"/>
        <v>#DIV/0!</v>
      </c>
      <c r="L32" s="337"/>
      <c r="M32" s="339"/>
      <c r="N32" s="161">
        <f t="shared" si="4"/>
        <v>0</v>
      </c>
      <c r="O32" s="342"/>
      <c r="P32" s="252" t="e">
        <f t="shared" si="7"/>
        <v>#DIV/0!</v>
      </c>
    </row>
    <row r="33" spans="1:16" ht="13.5" thickBot="1" x14ac:dyDescent="0.25">
      <c r="A33" s="245" t="s">
        <v>81</v>
      </c>
      <c r="B33" s="255">
        <f>SUM(B21:B32)</f>
        <v>446683</v>
      </c>
      <c r="C33" s="256">
        <f>SUM(C21:C32)</f>
        <v>443927</v>
      </c>
      <c r="D33" s="256">
        <f>SUM(D21:D32)</f>
        <v>890610</v>
      </c>
      <c r="E33" s="257">
        <f>SUM(E21:E32)</f>
        <v>800527</v>
      </c>
      <c r="F33" s="240">
        <f>(D33-E33)/E33</f>
        <v>0.11252962111209242</v>
      </c>
      <c r="G33" s="258">
        <f>SUM(G21:G32)</f>
        <v>3860609</v>
      </c>
      <c r="H33" s="256">
        <f>SUM(H21:H32)</f>
        <v>3904215</v>
      </c>
      <c r="I33" s="256">
        <f>SUM(I21:I32)</f>
        <v>7764824</v>
      </c>
      <c r="J33" s="259">
        <f>SUM(J21:J32)</f>
        <v>7548294</v>
      </c>
      <c r="K33" s="241">
        <f>(I33-J33)/J33</f>
        <v>2.8685952084007326E-2</v>
      </c>
      <c r="L33" s="258">
        <f>SUM(L21:L32)</f>
        <v>4307292</v>
      </c>
      <c r="M33" s="256">
        <f>SUM(M21:M32)</f>
        <v>4348142</v>
      </c>
      <c r="N33" s="256">
        <f>SUM(N21:N32)</f>
        <v>8655434</v>
      </c>
      <c r="O33" s="257">
        <f>SUM(O21:O32)</f>
        <v>8348821</v>
      </c>
      <c r="P33" s="239">
        <f>(N33-O33)/O33</f>
        <v>3.6725305285620569E-2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March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D6" sqref="D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0" t="s">
        <v>218</v>
      </c>
      <c r="C1" s="501"/>
      <c r="D1" s="502"/>
      <c r="E1" s="59"/>
      <c r="F1" s="500" t="s">
        <v>98</v>
      </c>
      <c r="G1" s="501"/>
      <c r="H1" s="501"/>
      <c r="I1" s="501"/>
      <c r="J1" s="501"/>
      <c r="K1" s="501"/>
      <c r="L1" s="502"/>
    </row>
    <row r="2" spans="1:20" s="191" customFormat="1" ht="30.75" customHeight="1" thickBot="1" x14ac:dyDescent="0.25">
      <c r="A2" s="390">
        <v>42430</v>
      </c>
      <c r="B2" s="460" t="s">
        <v>212</v>
      </c>
      <c r="C2" s="8" t="s">
        <v>86</v>
      </c>
      <c r="D2" s="8" t="s">
        <v>87</v>
      </c>
      <c r="E2" s="199"/>
      <c r="F2" s="180" t="s">
        <v>88</v>
      </c>
      <c r="G2" s="479" t="s">
        <v>217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[3]DHL!$EN$4</f>
        <v>23</v>
      </c>
      <c r="C4" s="161">
        <f>[3]FedEx!$EN$4+[3]FedEx!$EN$15</f>
        <v>93</v>
      </c>
      <c r="D4" s="161">
        <f>[3]UPS!$EN$4+[3]UPS!$EN$15</f>
        <v>108</v>
      </c>
      <c r="E4" s="192"/>
      <c r="F4" s="118">
        <f>[3]ATI_BAX!$EN$4</f>
        <v>0</v>
      </c>
      <c r="G4" s="118">
        <f>[3]IFL!$EN$4</f>
        <v>36</v>
      </c>
      <c r="H4" s="118">
        <f>'[3]Suburban Air Freight'!$EN$15</f>
        <v>21</v>
      </c>
      <c r="I4" s="118">
        <f>[3]Bemidji!$EN$4</f>
        <v>243</v>
      </c>
      <c r="J4" s="118">
        <f>'[3]CSA Air'!$EN$4</f>
        <v>24</v>
      </c>
      <c r="K4" s="118">
        <f>'[3]Mountain Cargo'!$EN$4</f>
        <v>23</v>
      </c>
      <c r="L4" s="118">
        <f>'[3]Misc Cargo'!$EN$4</f>
        <v>23</v>
      </c>
      <c r="M4" s="204">
        <f>SUM(B4:L4)</f>
        <v>594</v>
      </c>
    </row>
    <row r="5" spans="1:20" x14ac:dyDescent="0.2">
      <c r="A5" s="53" t="s">
        <v>58</v>
      </c>
      <c r="B5" s="198">
        <f>[3]DHL!$EN$5</f>
        <v>23</v>
      </c>
      <c r="C5" s="198">
        <f>[3]FedEx!$EN$5</f>
        <v>93</v>
      </c>
      <c r="D5" s="198">
        <f>[3]UPS!$EN$5+[3]UPS!$EN$16</f>
        <v>108</v>
      </c>
      <c r="E5" s="192"/>
      <c r="F5" s="120">
        <f>[3]ATI_BAX!$EN$5</f>
        <v>0</v>
      </c>
      <c r="G5" s="120">
        <f>[3]IFL!$EN$5</f>
        <v>36</v>
      </c>
      <c r="H5" s="120">
        <f>'[3]Suburban Air Freight'!$EN$16</f>
        <v>21</v>
      </c>
      <c r="I5" s="120">
        <f>[3]Bemidji!$EN$5</f>
        <v>243</v>
      </c>
      <c r="J5" s="120">
        <f>'[3]CSA Air'!$EN$5</f>
        <v>24</v>
      </c>
      <c r="K5" s="120">
        <f>'[3]Mountain Cargo'!$EN$5</f>
        <v>23</v>
      </c>
      <c r="L5" s="120">
        <f>'[3]Misc Cargo'!$EN$5</f>
        <v>23</v>
      </c>
      <c r="M5" s="208">
        <f>SUM(B5:L5)</f>
        <v>594</v>
      </c>
    </row>
    <row r="6" spans="1:20" s="189" customFormat="1" x14ac:dyDescent="0.2">
      <c r="A6" s="205" t="s">
        <v>59</v>
      </c>
      <c r="B6" s="206">
        <f>SUM(B4:B5)</f>
        <v>46</v>
      </c>
      <c r="C6" s="206">
        <f>SUM(C4:C5)</f>
        <v>186</v>
      </c>
      <c r="D6" s="206">
        <f>SUM(D4:D5)</f>
        <v>216</v>
      </c>
      <c r="E6" s="193"/>
      <c r="F6" s="188">
        <f t="shared" ref="F6:L6" si="0">SUM(F4:F5)</f>
        <v>0</v>
      </c>
      <c r="G6" s="188">
        <f t="shared" ref="G6" si="1">SUM(G4:G5)</f>
        <v>72</v>
      </c>
      <c r="H6" s="188">
        <f t="shared" si="0"/>
        <v>42</v>
      </c>
      <c r="I6" s="188">
        <f t="shared" si="0"/>
        <v>486</v>
      </c>
      <c r="J6" s="188">
        <f t="shared" si="0"/>
        <v>48</v>
      </c>
      <c r="K6" s="188">
        <f t="shared" si="0"/>
        <v>46</v>
      </c>
      <c r="L6" s="188">
        <f t="shared" si="0"/>
        <v>46</v>
      </c>
      <c r="M6" s="207">
        <f>SUM(B6:L6)</f>
        <v>1188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Cargo'!$EN$8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Cargo'!$EN$9</f>
        <v>0</v>
      </c>
      <c r="M9" s="208">
        <f>SUM(B9:L9)</f>
        <v>0</v>
      </c>
      <c r="P9" s="15"/>
      <c r="Q9" s="332"/>
      <c r="R9" s="332"/>
      <c r="S9" s="332"/>
      <c r="T9" s="332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46</v>
      </c>
      <c r="C12" s="210">
        <f>C6+C10</f>
        <v>186</v>
      </c>
      <c r="D12" s="210">
        <f>D6+D10</f>
        <v>216</v>
      </c>
      <c r="E12" s="211"/>
      <c r="F12" s="212">
        <f t="shared" ref="F12:L12" si="4">F6+F10</f>
        <v>0</v>
      </c>
      <c r="G12" s="212">
        <f t="shared" ref="G12" si="5">G6+G10</f>
        <v>72</v>
      </c>
      <c r="H12" s="212">
        <f t="shared" si="4"/>
        <v>42</v>
      </c>
      <c r="I12" s="212">
        <f t="shared" si="4"/>
        <v>486</v>
      </c>
      <c r="J12" s="212">
        <f t="shared" si="4"/>
        <v>48</v>
      </c>
      <c r="K12" s="212">
        <f t="shared" si="4"/>
        <v>46</v>
      </c>
      <c r="L12" s="212">
        <f t="shared" si="4"/>
        <v>46</v>
      </c>
      <c r="M12" s="213">
        <f>SUM(B12:L12)</f>
        <v>1188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[3]DHL!$EN$47</f>
        <v>725560</v>
      </c>
      <c r="C16" s="161">
        <f>[3]FedEx!$EN$47</f>
        <v>7185296</v>
      </c>
      <c r="D16" s="161">
        <f>[3]UPS!$EN$47</f>
        <v>5308840</v>
      </c>
      <c r="E16" s="192"/>
      <c r="F16" s="118">
        <f>[3]ATI_BAX!$EN$47</f>
        <v>0</v>
      </c>
      <c r="G16" s="118">
        <f>[3]IFL!$EN$47</f>
        <v>24096</v>
      </c>
      <c r="H16" s="118">
        <f>'[3]Suburban Air Freight'!$EN$47</f>
        <v>18243</v>
      </c>
      <c r="I16" s="497" t="s">
        <v>92</v>
      </c>
      <c r="J16" s="118">
        <f>'[3]CSA Air'!$EN$47</f>
        <v>30434</v>
      </c>
      <c r="K16" s="118">
        <f>'[3]Mountain Cargo'!$EN$47</f>
        <v>47358</v>
      </c>
      <c r="L16" s="118">
        <f>'[3]Misc Cargo'!$EN$47</f>
        <v>44632</v>
      </c>
      <c r="M16" s="204">
        <f>SUM(B16:H16)+SUM(J16:L16)</f>
        <v>13384459</v>
      </c>
    </row>
    <row r="17" spans="1:14" x14ac:dyDescent="0.2">
      <c r="A17" s="53" t="s">
        <v>41</v>
      </c>
      <c r="B17" s="161">
        <f>[3]DHL!$EN$48</f>
        <v>0</v>
      </c>
      <c r="C17" s="161">
        <f>[3]FedEx!$EN$48</f>
        <v>0</v>
      </c>
      <c r="D17" s="161">
        <f>[3]UPS!$EN$48</f>
        <v>10735</v>
      </c>
      <c r="E17" s="192"/>
      <c r="F17" s="118">
        <f>[3]ATI_BAX!$EN$48</f>
        <v>0</v>
      </c>
      <c r="G17" s="118">
        <f>[3]IFL!$EN$48</f>
        <v>0</v>
      </c>
      <c r="H17" s="118">
        <f>'[3]Suburban Air Freight'!$EN$48</f>
        <v>0</v>
      </c>
      <c r="I17" s="498"/>
      <c r="J17" s="118">
        <f>'[3]CSA Air'!$EN$48</f>
        <v>0</v>
      </c>
      <c r="K17" s="118">
        <f>'[3]Mountain Cargo'!$EN$48</f>
        <v>0</v>
      </c>
      <c r="L17" s="118">
        <f>'[3]Misc Cargo'!$EN$48</f>
        <v>0</v>
      </c>
      <c r="M17" s="204">
        <f>SUM(B17:H17)+SUM(J17:L17)</f>
        <v>10735</v>
      </c>
    </row>
    <row r="18" spans="1:14" ht="18" customHeight="1" x14ac:dyDescent="0.2">
      <c r="A18" s="219" t="s">
        <v>42</v>
      </c>
      <c r="B18" s="307">
        <f>SUM(B16:B17)</f>
        <v>725560</v>
      </c>
      <c r="C18" s="307">
        <f>SUM(C16:C17)</f>
        <v>7185296</v>
      </c>
      <c r="D18" s="307">
        <f>SUM(D16:D17)</f>
        <v>5319575</v>
      </c>
      <c r="E18" s="197"/>
      <c r="F18" s="308">
        <f>SUM(F16:F17)</f>
        <v>0</v>
      </c>
      <c r="G18" s="308">
        <f>SUM(G16:G17)</f>
        <v>24096</v>
      </c>
      <c r="H18" s="308">
        <f>SUM(H16:H17)</f>
        <v>18243</v>
      </c>
      <c r="I18" s="498"/>
      <c r="J18" s="308">
        <f>SUM(J16:J17)</f>
        <v>30434</v>
      </c>
      <c r="K18" s="308">
        <f>SUM(K16:K17)</f>
        <v>47358</v>
      </c>
      <c r="L18" s="308">
        <f>SUM(L16:L17)</f>
        <v>44632</v>
      </c>
      <c r="M18" s="220">
        <f>SUM(B18:H18)+SUM(J18:L18)</f>
        <v>13395194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8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8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[3]DHL!$EN$52</f>
        <v>441255</v>
      </c>
      <c r="C21" s="161">
        <f>[3]FedEx!$EN$52</f>
        <v>9822879</v>
      </c>
      <c r="D21" s="161">
        <f>[3]UPS!$EN$52</f>
        <v>4554932</v>
      </c>
      <c r="E21" s="192"/>
      <c r="F21" s="118">
        <f>[3]ATI_BAX!$EN$52</f>
        <v>0</v>
      </c>
      <c r="G21" s="118">
        <f>[3]IFL!$EN$52</f>
        <v>29396</v>
      </c>
      <c r="H21" s="118">
        <f>'[3]Suburban Air Freight'!$EN$52</f>
        <v>65398</v>
      </c>
      <c r="I21" s="498"/>
      <c r="J21" s="118">
        <f>'[3]CSA Air'!$EN$52</f>
        <v>36687</v>
      </c>
      <c r="K21" s="118">
        <f>'[3]Mountain Cargo'!$EN$52</f>
        <v>120479</v>
      </c>
      <c r="L21" s="118">
        <f>'[3]Misc Cargo'!$EN$52</f>
        <v>33440</v>
      </c>
      <c r="M21" s="204">
        <f>SUM(B21:H21)+SUM(J21:L21)</f>
        <v>15104466</v>
      </c>
    </row>
    <row r="22" spans="1:14" x14ac:dyDescent="0.2">
      <c r="A22" s="53" t="s">
        <v>64</v>
      </c>
      <c r="B22" s="161">
        <f>[3]DHL!$EN$53</f>
        <v>0</v>
      </c>
      <c r="C22" s="161">
        <f>[3]FedEx!$EN$53</f>
        <v>0</v>
      </c>
      <c r="D22" s="161">
        <f>[3]UPS!$EN$53</f>
        <v>365235</v>
      </c>
      <c r="E22" s="192"/>
      <c r="F22" s="118">
        <f>[3]ATI_BAX!$EN$53</f>
        <v>0</v>
      </c>
      <c r="G22" s="118">
        <f>[3]IFL!$EN$53</f>
        <v>0</v>
      </c>
      <c r="H22" s="118">
        <f>'[3]Suburban Air Freight'!$EN$53</f>
        <v>0</v>
      </c>
      <c r="I22" s="498"/>
      <c r="J22" s="118">
        <f>'[3]CSA Air'!$EN$53</f>
        <v>0</v>
      </c>
      <c r="K22" s="118">
        <f>'[3]Mountain Cargo'!$EN$53</f>
        <v>0</v>
      </c>
      <c r="L22" s="118">
        <f>'[3]Misc Cargo'!$EN$53</f>
        <v>0</v>
      </c>
      <c r="M22" s="204">
        <f>SUM(B22:H22)+SUM(J22:L22)</f>
        <v>365235</v>
      </c>
    </row>
    <row r="23" spans="1:14" ht="18" customHeight="1" x14ac:dyDescent="0.2">
      <c r="A23" s="219" t="s">
        <v>44</v>
      </c>
      <c r="B23" s="307">
        <f>SUM(B21:B22)</f>
        <v>441255</v>
      </c>
      <c r="C23" s="307">
        <f>SUM(C21:C22)</f>
        <v>9822879</v>
      </c>
      <c r="D23" s="307">
        <f>SUM(D21:D22)</f>
        <v>4920167</v>
      </c>
      <c r="E23" s="197"/>
      <c r="F23" s="308">
        <f>SUM(F21:F22)</f>
        <v>0</v>
      </c>
      <c r="G23" s="308">
        <f>SUM(G21:G22)</f>
        <v>29396</v>
      </c>
      <c r="H23" s="308">
        <f>SUM(H21:H22)</f>
        <v>65398</v>
      </c>
      <c r="I23" s="498"/>
      <c r="J23" s="308">
        <f>SUM(J21:J22)</f>
        <v>36687</v>
      </c>
      <c r="K23" s="308">
        <f>SUM(K21:K22)</f>
        <v>120479</v>
      </c>
      <c r="L23" s="308">
        <f>SUM(L21:L22)</f>
        <v>33440</v>
      </c>
      <c r="M23" s="220">
        <f>SUM(B23:H23)+SUM(J23:L23)</f>
        <v>15469701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8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8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[3]DHL!$EN$57</f>
        <v>0</v>
      </c>
      <c r="C26" s="161">
        <f>[3]FedEx!$EN$57</f>
        <v>0</v>
      </c>
      <c r="D26" s="161">
        <f>[3]UPS!$EN$57</f>
        <v>0</v>
      </c>
      <c r="E26" s="192"/>
      <c r="F26" s="118">
        <f>[3]ATI_BAX!$EN$57</f>
        <v>0</v>
      </c>
      <c r="G26" s="118">
        <f>[3]IFL!$EN$57</f>
        <v>0</v>
      </c>
      <c r="H26" s="118">
        <f>'[3]Suburban Air Freight'!$EN$57</f>
        <v>0</v>
      </c>
      <c r="I26" s="498"/>
      <c r="J26" s="118">
        <f>'[3]CSA Air'!$EN$57</f>
        <v>0</v>
      </c>
      <c r="K26" s="118">
        <f>'[3]Mountain Cargo'!$EN$57</f>
        <v>0</v>
      </c>
      <c r="L26" s="118">
        <f>'[3]Misc Cargo'!$EN$57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[3]DHL!$EN$58</f>
        <v>0</v>
      </c>
      <c r="C27" s="161">
        <f>[3]FedEx!$EN$58</f>
        <v>0</v>
      </c>
      <c r="D27" s="161">
        <f>[3]UPS!$EN$58</f>
        <v>0</v>
      </c>
      <c r="E27" s="192"/>
      <c r="F27" s="118">
        <f>[3]ATI_BAX!$EN$58</f>
        <v>0</v>
      </c>
      <c r="G27" s="118">
        <f>[3]IFL!$EN$58</f>
        <v>0</v>
      </c>
      <c r="H27" s="118">
        <f>'[3]Suburban Air Freight'!$EN$58</f>
        <v>0</v>
      </c>
      <c r="I27" s="498"/>
      <c r="J27" s="118">
        <f>'[3]CSA Air'!$EN$58</f>
        <v>0</v>
      </c>
      <c r="K27" s="118">
        <f>'[3]Mountain Cargo'!$EN$58</f>
        <v>0</v>
      </c>
      <c r="L27" s="118">
        <f>'[3]Misc Cargo'!$EN$58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7">
        <f>SUM(B26:B27)</f>
        <v>0</v>
      </c>
      <c r="C28" s="307">
        <f>SUM(C26:C27)</f>
        <v>0</v>
      </c>
      <c r="D28" s="307">
        <f>SUM(D26:D27)</f>
        <v>0</v>
      </c>
      <c r="E28" s="197"/>
      <c r="F28" s="308">
        <f>SUM(F26:F27)</f>
        <v>0</v>
      </c>
      <c r="G28" s="308">
        <f>SUM(G26:G27)</f>
        <v>0</v>
      </c>
      <c r="H28" s="308">
        <f>SUM(H26:H27)</f>
        <v>0</v>
      </c>
      <c r="I28" s="498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8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8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1166815</v>
      </c>
      <c r="C31" s="161">
        <f t="shared" si="6"/>
        <v>17008175</v>
      </c>
      <c r="D31" s="161">
        <f t="shared" si="6"/>
        <v>9863772</v>
      </c>
      <c r="E31" s="192"/>
      <c r="F31" s="118">
        <f t="shared" ref="F31:H33" si="7">F26+F21+F16</f>
        <v>0</v>
      </c>
      <c r="G31" s="118">
        <f t="shared" ref="G31" si="8">G26+G21+G16</f>
        <v>53492</v>
      </c>
      <c r="H31" s="118">
        <f t="shared" si="7"/>
        <v>83641</v>
      </c>
      <c r="I31" s="498"/>
      <c r="J31" s="118">
        <f t="shared" ref="J31:L33" si="9">J26+J21+J16</f>
        <v>67121</v>
      </c>
      <c r="K31" s="118">
        <f t="shared" si="9"/>
        <v>167837</v>
      </c>
      <c r="L31" s="118">
        <f>L26+L21+L16</f>
        <v>78072</v>
      </c>
      <c r="M31" s="204">
        <f>SUM(B31:H31)+SUM(J31:L31)</f>
        <v>28488925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375970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9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375970</v>
      </c>
    </row>
    <row r="33" spans="1:13" ht="18" customHeight="1" thickBot="1" x14ac:dyDescent="0.25">
      <c r="A33" s="209" t="s">
        <v>49</v>
      </c>
      <c r="B33" s="210">
        <f t="shared" si="6"/>
        <v>1166815</v>
      </c>
      <c r="C33" s="210">
        <f t="shared" si="6"/>
        <v>17008175</v>
      </c>
      <c r="D33" s="210">
        <f t="shared" si="6"/>
        <v>10239742</v>
      </c>
      <c r="E33" s="223"/>
      <c r="F33" s="212">
        <f t="shared" si="7"/>
        <v>0</v>
      </c>
      <c r="G33" s="212">
        <f t="shared" ref="G33" si="11">G28+G23+G18</f>
        <v>53492</v>
      </c>
      <c r="H33" s="212">
        <f t="shared" si="7"/>
        <v>83641</v>
      </c>
      <c r="I33" s="309">
        <f>I28+I23+I18</f>
        <v>0</v>
      </c>
      <c r="J33" s="212">
        <f t="shared" si="9"/>
        <v>67121</v>
      </c>
      <c r="K33" s="212">
        <f t="shared" si="9"/>
        <v>167837</v>
      </c>
      <c r="L33" s="212">
        <f t="shared" si="9"/>
        <v>78072</v>
      </c>
      <c r="M33" s="213">
        <f>SUM(B33:H33)+SUM(J33:L33)</f>
        <v>28864895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March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F25" sqref="F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90">
        <v>42430</v>
      </c>
      <c r="B2" s="77" t="s">
        <v>67</v>
      </c>
      <c r="C2" s="77" t="s">
        <v>68</v>
      </c>
      <c r="D2" s="77" t="s">
        <v>69</v>
      </c>
      <c r="E2" s="321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3893627</v>
      </c>
      <c r="C5" s="118">
        <f>'Regional Major'!L25</f>
        <v>0</v>
      </c>
      <c r="D5" s="118">
        <f>Cargo!M16</f>
        <v>13384459</v>
      </c>
      <c r="E5" s="118">
        <f>SUM(B5:D5)</f>
        <v>17278086</v>
      </c>
      <c r="F5" s="118">
        <f>E5*0.00045359237</f>
        <v>7837.2079778038196</v>
      </c>
      <c r="G5" s="146">
        <f>'[1]Cargo Summary'!F5</f>
        <v>7401.2240636072202</v>
      </c>
      <c r="H5" s="98">
        <f>(F5-G5)/G5</f>
        <v>5.8907001118962063E-2</v>
      </c>
      <c r="I5" s="146">
        <f>+F5+'[2]Cargo Summary'!I5</f>
        <v>19290.60537550685</v>
      </c>
      <c r="J5" s="146">
        <f>'[1]Cargo Summary'!I5</f>
        <v>21617.88349973175</v>
      </c>
      <c r="K5" s="85">
        <f>(I5-J5)/J5</f>
        <v>-0.10765522555683024</v>
      </c>
      <c r="M5" s="35"/>
    </row>
    <row r="6" spans="1:18" x14ac:dyDescent="0.2">
      <c r="A6" s="62" t="s">
        <v>18</v>
      </c>
      <c r="B6" s="169">
        <f>'Major Airline Stats'!I29</f>
        <v>679844.54599999997</v>
      </c>
      <c r="C6" s="118">
        <f>'Regional Major'!L26</f>
        <v>0</v>
      </c>
      <c r="D6" s="118">
        <f>Cargo!M17</f>
        <v>10735</v>
      </c>
      <c r="E6" s="118">
        <f>SUM(B6:D6)</f>
        <v>690579.54599999997</v>
      </c>
      <c r="F6" s="118">
        <f>E6*0.00045359237</f>
        <v>313.24161294366399</v>
      </c>
      <c r="G6" s="146">
        <f>'[1]Cargo Summary'!F6</f>
        <v>577.78550731362998</v>
      </c>
      <c r="H6" s="37">
        <f>(F6-G6)/G6</f>
        <v>-0.45785830731536137</v>
      </c>
      <c r="I6" s="146">
        <f>+F6+'[2]Cargo Summary'!I6</f>
        <v>1463.8394408262441</v>
      </c>
      <c r="J6" s="146">
        <f>'[1]Cargo Summary'!I6</f>
        <v>1704.58515791179</v>
      </c>
      <c r="K6" s="85">
        <f>(I6-J6)/J6</f>
        <v>-0.14123419763930867</v>
      </c>
      <c r="M6" s="35"/>
    </row>
    <row r="7" spans="1:18" ht="18" customHeight="1" thickBot="1" x14ac:dyDescent="0.25">
      <c r="A7" s="73" t="s">
        <v>76</v>
      </c>
      <c r="B7" s="171">
        <f>SUM(B5:B6)</f>
        <v>4573471.5460000001</v>
      </c>
      <c r="C7" s="133">
        <f t="shared" ref="C7:J7" si="0">SUM(C5:C6)</f>
        <v>0</v>
      </c>
      <c r="D7" s="133">
        <f t="shared" si="0"/>
        <v>13395194</v>
      </c>
      <c r="E7" s="133">
        <f t="shared" si="0"/>
        <v>17968665.546</v>
      </c>
      <c r="F7" s="133">
        <f t="shared" si="0"/>
        <v>8150.4495907474839</v>
      </c>
      <c r="G7" s="133">
        <f t="shared" si="0"/>
        <v>7979.0095709208499</v>
      </c>
      <c r="H7" s="44">
        <f>(F7-G7)/G7</f>
        <v>2.1486378516381226E-2</v>
      </c>
      <c r="I7" s="133">
        <f t="shared" si="0"/>
        <v>20754.444816333093</v>
      </c>
      <c r="J7" s="133">
        <f t="shared" si="0"/>
        <v>23322.468657643542</v>
      </c>
      <c r="K7" s="323">
        <f>(I7-J7)/J7</f>
        <v>-0.11010943476898287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2736790</v>
      </c>
      <c r="C10" s="118">
        <f>'Regional Major'!L30</f>
        <v>0</v>
      </c>
      <c r="D10" s="118">
        <f>Cargo!M21</f>
        <v>15104466</v>
      </c>
      <c r="E10" s="118">
        <f>SUM(B10:D10)</f>
        <v>17841256</v>
      </c>
      <c r="F10" s="118">
        <f>E10*0.00045359237</f>
        <v>8092.6575928167194</v>
      </c>
      <c r="G10" s="146">
        <f>'[1]Cargo Summary'!F10</f>
        <v>7324.0240030103296</v>
      </c>
      <c r="H10" s="37">
        <f>(F10-G10)/G10</f>
        <v>0.10494689660908608</v>
      </c>
      <c r="I10" s="146">
        <f>+F10+'[2]Cargo Summary'!I10</f>
        <v>22523.936526768597</v>
      </c>
      <c r="J10" s="146">
        <f>'[1]Cargo Summary'!I10</f>
        <v>23016.627651877861</v>
      </c>
      <c r="K10" s="85">
        <f>(I10-J10)/J10</f>
        <v>-2.1405878070459509E-2</v>
      </c>
      <c r="M10" s="35"/>
    </row>
    <row r="11" spans="1:18" x14ac:dyDescent="0.2">
      <c r="A11" s="62" t="s">
        <v>18</v>
      </c>
      <c r="B11" s="169">
        <f>'Major Airline Stats'!I34</f>
        <v>1080538</v>
      </c>
      <c r="C11" s="118">
        <f>'Regional Major'!L31</f>
        <v>0</v>
      </c>
      <c r="D11" s="118">
        <f>Cargo!M22</f>
        <v>365235</v>
      </c>
      <c r="E11" s="118">
        <f>SUM(B11:D11)</f>
        <v>1445773</v>
      </c>
      <c r="F11" s="118">
        <f>E11*0.00045359237</f>
        <v>655.79160155200998</v>
      </c>
      <c r="G11" s="146">
        <f>'[1]Cargo Summary'!F11</f>
        <v>1061.8388729209801</v>
      </c>
      <c r="H11" s="35">
        <f>(F11-G11)/G11</f>
        <v>-0.38240008133436204</v>
      </c>
      <c r="I11" s="146">
        <f>+F11+'[2]Cargo Summary'!I11</f>
        <v>1597.3817764088799</v>
      </c>
      <c r="J11" s="146">
        <f>'[1]Cargo Summary'!I11</f>
        <v>1858.4804307977602</v>
      </c>
      <c r="K11" s="85">
        <f>(I11-J11)/J11</f>
        <v>-0.14049039745702496</v>
      </c>
      <c r="M11" s="35"/>
    </row>
    <row r="12" spans="1:18" ht="18" customHeight="1" thickBot="1" x14ac:dyDescent="0.25">
      <c r="A12" s="73" t="s">
        <v>77</v>
      </c>
      <c r="B12" s="171">
        <f>SUM(B10:B11)</f>
        <v>3817328</v>
      </c>
      <c r="C12" s="133">
        <f t="shared" ref="C12:J12" si="1">SUM(C10:C11)</f>
        <v>0</v>
      </c>
      <c r="D12" s="133">
        <f t="shared" si="1"/>
        <v>15469701</v>
      </c>
      <c r="E12" s="133">
        <f t="shared" si="1"/>
        <v>19287029</v>
      </c>
      <c r="F12" s="133">
        <f t="shared" si="1"/>
        <v>8748.4491943687299</v>
      </c>
      <c r="G12" s="133">
        <f t="shared" si="1"/>
        <v>8385.8628759313106</v>
      </c>
      <c r="H12" s="44">
        <f>(F12-G12)/G12</f>
        <v>4.3237806747126364E-2</v>
      </c>
      <c r="I12" s="133">
        <f t="shared" si="1"/>
        <v>24121.318303177475</v>
      </c>
      <c r="J12" s="133">
        <f t="shared" si="1"/>
        <v>24875.108082675622</v>
      </c>
      <c r="K12" s="323">
        <f>(I12-J12)/J12</f>
        <v>-3.0302975046091456E-2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6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3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6630417</v>
      </c>
      <c r="C20" s="118">
        <f t="shared" si="3"/>
        <v>0</v>
      </c>
      <c r="D20" s="118">
        <f t="shared" si="3"/>
        <v>28488925</v>
      </c>
      <c r="E20" s="118">
        <f>SUM(B20:D20)</f>
        <v>35119342</v>
      </c>
      <c r="F20" s="118">
        <f>E20*0.00045359237</f>
        <v>15929.865570620539</v>
      </c>
      <c r="G20" s="146">
        <f>'[1]Cargo Summary'!F20</f>
        <v>14725.248066617549</v>
      </c>
      <c r="H20" s="37">
        <f>(F20-G20)/G20</f>
        <v>8.1806262179982131E-2</v>
      </c>
      <c r="I20" s="146">
        <f>+I5+I10+I15</f>
        <v>41814.54190227545</v>
      </c>
      <c r="J20" s="146">
        <f>+J5+J10+J15</f>
        <v>44634.511151609608</v>
      </c>
      <c r="K20" s="85">
        <f>(I20-J20)/J20</f>
        <v>-6.3179122534928078E-2</v>
      </c>
      <c r="M20" s="35"/>
    </row>
    <row r="21" spans="1:13" x14ac:dyDescent="0.2">
      <c r="A21" s="62" t="s">
        <v>18</v>
      </c>
      <c r="B21" s="169">
        <f t="shared" si="3"/>
        <v>1760382.5460000001</v>
      </c>
      <c r="C21" s="120">
        <f t="shared" si="3"/>
        <v>0</v>
      </c>
      <c r="D21" s="120">
        <f t="shared" si="3"/>
        <v>375970</v>
      </c>
      <c r="E21" s="118">
        <f>SUM(B21:D21)</f>
        <v>2136352.5460000001</v>
      </c>
      <c r="F21" s="118">
        <f>E21*0.00045359237</f>
        <v>969.03321449567409</v>
      </c>
      <c r="G21" s="146">
        <f>'[1]Cargo Summary'!F21</f>
        <v>1639.62438023461</v>
      </c>
      <c r="H21" s="37">
        <f>(F21-G21)/G21</f>
        <v>-0.4089907260606741</v>
      </c>
      <c r="I21" s="146">
        <f>+I6+I11+I16</f>
        <v>3061.2212172351237</v>
      </c>
      <c r="J21" s="146">
        <f>+J6+J11+J16</f>
        <v>3563.06558870955</v>
      </c>
      <c r="K21" s="85">
        <f>(I21-J21)/J21</f>
        <v>-0.14084623450790343</v>
      </c>
      <c r="M21" s="35"/>
    </row>
    <row r="22" spans="1:13" ht="18" customHeight="1" thickBot="1" x14ac:dyDescent="0.25">
      <c r="A22" s="88" t="s">
        <v>66</v>
      </c>
      <c r="B22" s="172">
        <f>SUM(B20:B21)</f>
        <v>8390799.5460000001</v>
      </c>
      <c r="C22" s="173">
        <f t="shared" ref="C22:J22" si="4">SUM(C20:C21)</f>
        <v>0</v>
      </c>
      <c r="D22" s="173">
        <f t="shared" si="4"/>
        <v>28864895</v>
      </c>
      <c r="E22" s="173">
        <f t="shared" si="4"/>
        <v>37255694.546000004</v>
      </c>
      <c r="F22" s="173">
        <f t="shared" si="4"/>
        <v>16898.898785116213</v>
      </c>
      <c r="G22" s="173">
        <f t="shared" si="4"/>
        <v>16364.87244685216</v>
      </c>
      <c r="H22" s="329">
        <f>(F22-G22)/G22</f>
        <v>3.2632477888135031E-2</v>
      </c>
      <c r="I22" s="173">
        <f t="shared" si="4"/>
        <v>44875.763119510571</v>
      </c>
      <c r="J22" s="173">
        <f t="shared" si="4"/>
        <v>48197.576740319157</v>
      </c>
      <c r="K22" s="330">
        <f>(I22-J22)/J22</f>
        <v>-6.8920760035426396E-2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March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I16" sqref="I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0">
        <v>42430</v>
      </c>
      <c r="B1" s="12" t="s">
        <v>20</v>
      </c>
      <c r="C1" s="277" t="s">
        <v>209</v>
      </c>
      <c r="D1" s="441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211</v>
      </c>
      <c r="J1" s="277" t="s">
        <v>215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3" t="s">
        <v>150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5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[3]Delta!$EN$32</f>
        <v>90964</v>
      </c>
      <c r="C4" s="21">
        <f>'[3]Atlantic Southeast'!$EN$32</f>
        <v>2722</v>
      </c>
      <c r="D4" s="21">
        <f>[3]Pinnacle!$EN$32</f>
        <v>17151</v>
      </c>
      <c r="E4" s="21">
        <f>[3]Compass!$EN$32</f>
        <v>4368</v>
      </c>
      <c r="F4" s="21">
        <f>'[3]Sky West'!$EN$32</f>
        <v>7173</v>
      </c>
      <c r="G4" s="21">
        <f>'[3]Sun Country'!$EN$32</f>
        <v>41967</v>
      </c>
      <c r="H4" s="21">
        <f>[3]Icelandair!$EN$32</f>
        <v>0</v>
      </c>
      <c r="I4" s="21">
        <f>'[3]Jazz Air'!$EN$32</f>
        <v>0</v>
      </c>
      <c r="J4" s="21">
        <f>'[3]Air Georgian'!$EN$32</f>
        <v>3628</v>
      </c>
      <c r="K4" s="21">
        <f>[3]Condor!$EN$32</f>
        <v>0</v>
      </c>
      <c r="L4" s="21">
        <f>'[3]Air France'!$EN$32</f>
        <v>0</v>
      </c>
      <c r="M4" s="21">
        <f>'[3]Charter Misc'!$EN$32+[3]Ryan!$EN$32+[3]Omni!$EN$32</f>
        <v>0</v>
      </c>
      <c r="N4" s="286">
        <f>SUM(B4:M4)</f>
        <v>167973</v>
      </c>
    </row>
    <row r="5" spans="1:14" x14ac:dyDescent="0.2">
      <c r="A5" s="62" t="s">
        <v>34</v>
      </c>
      <c r="B5" s="14">
        <f>[3]Delta!$EN$33</f>
        <v>89200</v>
      </c>
      <c r="C5" s="14">
        <f>'[3]Atlantic Southeast'!$EN$33</f>
        <v>3018</v>
      </c>
      <c r="D5" s="14">
        <f>[3]Pinnacle!$EN$33</f>
        <v>17379</v>
      </c>
      <c r="E5" s="14">
        <f>[3]Compass!$EN$33</f>
        <v>4445</v>
      </c>
      <c r="F5" s="14">
        <f>'[3]Sky West'!$EN$33</f>
        <v>7271</v>
      </c>
      <c r="G5" s="14">
        <f>'[3]Sun Country'!$EN$33</f>
        <v>41437</v>
      </c>
      <c r="H5" s="14">
        <f>[3]Icelandair!$EN$33</f>
        <v>0</v>
      </c>
      <c r="I5" s="14">
        <f>'[3]Jazz Air'!$EN$33</f>
        <v>0</v>
      </c>
      <c r="J5" s="14">
        <f>'[3]Air Georgian'!$EN$33</f>
        <v>3713</v>
      </c>
      <c r="K5" s="14">
        <f>[3]Condor!$EN$33</f>
        <v>0</v>
      </c>
      <c r="L5" s="14">
        <f>'[3]Air France'!$EN$33</f>
        <v>0</v>
      </c>
      <c r="M5" s="14">
        <f>'[3]Charter Misc'!$EN$33++[3]Ryan!$EN$33+[3]Omni!$EN$33</f>
        <v>0</v>
      </c>
      <c r="N5" s="287">
        <f>SUM(B5:M5)</f>
        <v>166463</v>
      </c>
    </row>
    <row r="6" spans="1:14" ht="15" x14ac:dyDescent="0.25">
      <c r="A6" s="60" t="s">
        <v>7</v>
      </c>
      <c r="B6" s="34">
        <f t="shared" ref="B6:M6" si="0">SUM(B4:B5)</f>
        <v>180164</v>
      </c>
      <c r="C6" s="34">
        <f t="shared" si="0"/>
        <v>5740</v>
      </c>
      <c r="D6" s="34">
        <f t="shared" si="0"/>
        <v>34530</v>
      </c>
      <c r="E6" s="34">
        <f t="shared" si="0"/>
        <v>8813</v>
      </c>
      <c r="F6" s="34">
        <f t="shared" si="0"/>
        <v>14444</v>
      </c>
      <c r="G6" s="34">
        <f t="shared" si="0"/>
        <v>83404</v>
      </c>
      <c r="H6" s="34">
        <f t="shared" si="0"/>
        <v>0</v>
      </c>
      <c r="I6" s="34">
        <f t="shared" si="0"/>
        <v>0</v>
      </c>
      <c r="J6" s="34">
        <f t="shared" ref="J6" si="1">SUM(J4:J5)</f>
        <v>7341</v>
      </c>
      <c r="K6" s="34">
        <f t="shared" ref="K6" si="2">SUM(K4:K5)</f>
        <v>0</v>
      </c>
      <c r="L6" s="34">
        <f t="shared" si="0"/>
        <v>0</v>
      </c>
      <c r="M6" s="34">
        <f t="shared" si="0"/>
        <v>0</v>
      </c>
      <c r="N6" s="288">
        <f>SUM(B6:M6)</f>
        <v>334436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[3]Delta!$EN$37</f>
        <v>2395</v>
      </c>
      <c r="C9" s="21">
        <f>'[3]Atlantic Southeast'!$EN$37</f>
        <v>22</v>
      </c>
      <c r="D9" s="21">
        <f>[3]Pinnacle!$EN$37</f>
        <v>172</v>
      </c>
      <c r="E9" s="21">
        <f>[3]Compass!$EN$37</f>
        <v>61</v>
      </c>
      <c r="F9" s="21">
        <f>'[3]Sky West'!$EN$37</f>
        <v>66</v>
      </c>
      <c r="G9" s="21">
        <f>'[3]Sun Country'!$EN$37</f>
        <v>222</v>
      </c>
      <c r="H9" s="21">
        <f>[3]Icelandair!$EN$37</f>
        <v>0</v>
      </c>
      <c r="I9" s="21">
        <f>'[3]Jazz Air'!$EN$37</f>
        <v>0</v>
      </c>
      <c r="J9" s="21">
        <f>'[3]Air Georgian'!$EN$37</f>
        <v>0</v>
      </c>
      <c r="K9" s="21">
        <f>[3]Condor!$EN$37</f>
        <v>0</v>
      </c>
      <c r="L9" s="21">
        <f>'[3]Air France'!$EN$37</f>
        <v>0</v>
      </c>
      <c r="M9" s="21">
        <f>'[3]Charter Misc'!$EN$37+[3]Ryan!$EN$37+[3]Omni!$EN$37</f>
        <v>0</v>
      </c>
      <c r="N9" s="286">
        <f>SUM(B9:M9)</f>
        <v>2938</v>
      </c>
    </row>
    <row r="10" spans="1:14" x14ac:dyDescent="0.2">
      <c r="A10" s="62" t="s">
        <v>36</v>
      </c>
      <c r="B10" s="14">
        <f>[3]Delta!$EN$38</f>
        <v>2519</v>
      </c>
      <c r="C10" s="14">
        <f>'[3]Atlantic Southeast'!$EN$38</f>
        <v>46</v>
      </c>
      <c r="D10" s="14">
        <f>[3]Pinnacle!$EN$38</f>
        <v>180</v>
      </c>
      <c r="E10" s="14">
        <f>[3]Compass!$EN$38</f>
        <v>38</v>
      </c>
      <c r="F10" s="14">
        <f>'[3]Sky West'!$EN$38</f>
        <v>58</v>
      </c>
      <c r="G10" s="14">
        <f>'[3]Sun Country'!$EN$38</f>
        <v>249</v>
      </c>
      <c r="H10" s="14">
        <f>[3]Icelandair!$EN$38</f>
        <v>0</v>
      </c>
      <c r="I10" s="14">
        <f>'[3]Jazz Air'!$EN$38</f>
        <v>0</v>
      </c>
      <c r="J10" s="14">
        <f>'[3]Air Georgian'!$EN$38</f>
        <v>0</v>
      </c>
      <c r="K10" s="14">
        <f>[3]Condor!$EN$38</f>
        <v>0</v>
      </c>
      <c r="L10" s="14">
        <f>'[3]Air France'!$EN$38</f>
        <v>0</v>
      </c>
      <c r="M10" s="14">
        <f>'[3]Charter Misc'!$EN$38+[3]Ryan!$EN$38+[3]Omni!$EN$38</f>
        <v>0</v>
      </c>
      <c r="N10" s="287">
        <f>SUM(B10:M10)</f>
        <v>3090</v>
      </c>
    </row>
    <row r="11" spans="1:14" ht="15.75" thickBot="1" x14ac:dyDescent="0.3">
      <c r="A11" s="63" t="s">
        <v>37</v>
      </c>
      <c r="B11" s="289">
        <f t="shared" ref="B11:G11" si="3">SUM(B9:B10)</f>
        <v>4914</v>
      </c>
      <c r="C11" s="289">
        <f t="shared" si="3"/>
        <v>68</v>
      </c>
      <c r="D11" s="289">
        <f t="shared" si="3"/>
        <v>352</v>
      </c>
      <c r="E11" s="289">
        <f t="shared" si="3"/>
        <v>99</v>
      </c>
      <c r="F11" s="289">
        <f t="shared" si="3"/>
        <v>124</v>
      </c>
      <c r="G11" s="289">
        <f t="shared" si="3"/>
        <v>471</v>
      </c>
      <c r="H11" s="289">
        <f t="shared" ref="H11:M11" si="4">SUM(H9:H10)</f>
        <v>0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0</v>
      </c>
      <c r="M11" s="289">
        <f t="shared" si="4"/>
        <v>0</v>
      </c>
      <c r="N11" s="290">
        <f>SUM(B11:M11)</f>
        <v>6028</v>
      </c>
    </row>
    <row r="12" spans="1:14" ht="15" x14ac:dyDescent="0.25">
      <c r="A12" s="395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2"/>
    </row>
    <row r="13" spans="1:14" ht="39" thickBot="1" x14ac:dyDescent="0.25">
      <c r="B13" s="12" t="s">
        <v>20</v>
      </c>
      <c r="C13" s="277" t="s">
        <v>54</v>
      </c>
      <c r="D13" s="441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12" t="s">
        <v>105</v>
      </c>
      <c r="J13" s="277" t="s">
        <v>215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6" t="s">
        <v>152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SUM([3]Delta!$EL$32:$EN$32)</f>
        <v>242485</v>
      </c>
      <c r="C16" s="21">
        <f>SUM('[3]Atlantic Southeast'!$EL$32:$EN$32)</f>
        <v>5297</v>
      </c>
      <c r="D16" s="21">
        <f>SUM([3]Pinnacle!$EL$32:$EN$32)</f>
        <v>39803</v>
      </c>
      <c r="E16" s="21">
        <f>SUM([3]Compass!$EL$32:$EN$32)</f>
        <v>17351</v>
      </c>
      <c r="F16" s="21">
        <f>SUM('[3]Sky West'!$EL$32:$EN$32)</f>
        <v>25052</v>
      </c>
      <c r="G16" s="21">
        <f>SUM('[3]Sun Country'!$EL$32:$EN$32)</f>
        <v>97283</v>
      </c>
      <c r="H16" s="21">
        <f>SUM([3]Icelandair!$EL$32:$EN$32)</f>
        <v>888</v>
      </c>
      <c r="I16" s="21">
        <f>SUM('[3]Jazz Air'!$EL$32:$EN$32)</f>
        <v>3553</v>
      </c>
      <c r="J16" s="21">
        <f>SUM('[3]Air Georgian'!$EL$32:$EN$32)</f>
        <v>6670</v>
      </c>
      <c r="K16" s="21">
        <f>SUM([3]Condor!$EL$32:$EN$32)</f>
        <v>0</v>
      </c>
      <c r="L16" s="21">
        <f>SUM('[3]Air France'!$EL$32:$EN$32)</f>
        <v>0</v>
      </c>
      <c r="M16" s="21">
        <f>SUM('[3]Charter Misc'!$EL$32:$EN$32)+SUM([3]Ryan!$EL$32:$EN$32)+SUM([3]Omni!$EL$32:$EN$32)</f>
        <v>0</v>
      </c>
      <c r="N16" s="286">
        <f>SUM(B16:M16)</f>
        <v>438382</v>
      </c>
    </row>
    <row r="17" spans="1:14" x14ac:dyDescent="0.2">
      <c r="A17" s="62" t="s">
        <v>34</v>
      </c>
      <c r="B17" s="14">
        <f>SUM([3]Delta!$EL$33:$EN$33)</f>
        <v>238925</v>
      </c>
      <c r="C17" s="14">
        <f>SUM('[3]Atlantic Southeast'!$EL$33:$EN$33)</f>
        <v>5974</v>
      </c>
      <c r="D17" s="14">
        <f>SUM([3]Pinnacle!$EL$33:$EN$33)</f>
        <v>40454</v>
      </c>
      <c r="E17" s="14">
        <f>SUM([3]Compass!$EL$33:$EN$33)</f>
        <v>16351</v>
      </c>
      <c r="F17" s="14">
        <f>SUM('[3]Sky West'!$EL$33:$EN$33)</f>
        <v>24484</v>
      </c>
      <c r="G17" s="14">
        <f>SUM('[3]Sun Country'!$EL$33:$EN$33)</f>
        <v>99120</v>
      </c>
      <c r="H17" s="14">
        <f>SUM([3]Icelandair!$EL$33:$EN$33)</f>
        <v>585</v>
      </c>
      <c r="I17" s="14">
        <f>SUM('[3]Jazz Air'!$EL$33:$EN$33)</f>
        <v>3206</v>
      </c>
      <c r="J17" s="14">
        <f>SUM('[3]Air Georgian'!$EL$33:$EN$33)</f>
        <v>6558</v>
      </c>
      <c r="K17" s="14">
        <f>SUM([3]Condor!$EL$33:$EN$33)</f>
        <v>0</v>
      </c>
      <c r="L17" s="14">
        <f>SUM('[3]Air France'!$EL$33:$EN$33)</f>
        <v>0</v>
      </c>
      <c r="M17" s="14">
        <f>SUM('[3]Charter Misc'!$EL$33:$EN$33)++SUM([3]Ryan!$EL$33:$EN$33)+SUM([3]Omni!$EL$33:$EN$33)</f>
        <v>0</v>
      </c>
      <c r="N17" s="287">
        <f>SUM(B17:M17)</f>
        <v>435657</v>
      </c>
    </row>
    <row r="18" spans="1:14" ht="15" x14ac:dyDescent="0.25">
      <c r="A18" s="60" t="s">
        <v>7</v>
      </c>
      <c r="B18" s="34">
        <f t="shared" ref="B18:M18" si="6">SUM(B16:B17)</f>
        <v>481410</v>
      </c>
      <c r="C18" s="34">
        <f t="shared" si="6"/>
        <v>11271</v>
      </c>
      <c r="D18" s="34">
        <f t="shared" si="6"/>
        <v>80257</v>
      </c>
      <c r="E18" s="34">
        <f t="shared" si="6"/>
        <v>33702</v>
      </c>
      <c r="F18" s="34">
        <f t="shared" si="6"/>
        <v>49536</v>
      </c>
      <c r="G18" s="34">
        <f t="shared" si="6"/>
        <v>196403</v>
      </c>
      <c r="H18" s="34">
        <f t="shared" si="6"/>
        <v>1473</v>
      </c>
      <c r="I18" s="34">
        <f t="shared" si="6"/>
        <v>6759</v>
      </c>
      <c r="J18" s="34">
        <f t="shared" ref="J18" si="7">SUM(J16:J17)</f>
        <v>13228</v>
      </c>
      <c r="K18" s="34">
        <f t="shared" ref="K18" si="8">SUM(K16:K17)</f>
        <v>0</v>
      </c>
      <c r="L18" s="34">
        <f t="shared" si="6"/>
        <v>0</v>
      </c>
      <c r="M18" s="34">
        <f t="shared" si="6"/>
        <v>0</v>
      </c>
      <c r="N18" s="288">
        <f>SUM(B18:M18)</f>
        <v>874039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SUM([3]Delta!$EL$37:$EN$37)</f>
        <v>6815</v>
      </c>
      <c r="C21" s="21">
        <f>SUM('[3]Atlantic Southeast'!$EL$37:$EN$37)</f>
        <v>58</v>
      </c>
      <c r="D21" s="21">
        <f>SUM([3]Pinnacle!$EL$37:$EN$37)</f>
        <v>339</v>
      </c>
      <c r="E21" s="21">
        <f>SUM([3]Compass!$EL$37:$EN$37)</f>
        <v>238</v>
      </c>
      <c r="F21" s="21">
        <f>SUM('[3]Sky West'!$EL$37:$EN$37)</f>
        <v>306</v>
      </c>
      <c r="G21" s="21">
        <f>SUM('[3]Sun Country'!$EL$37:$EN$37)</f>
        <v>495</v>
      </c>
      <c r="H21" s="21">
        <f>SUM([3]Icelandair!$EL$37:$EN$37)</f>
        <v>26</v>
      </c>
      <c r="I21" s="21">
        <f>SUM('[3]Jazz Air'!$EL$37:$EN$37)</f>
        <v>24</v>
      </c>
      <c r="J21" s="21">
        <f>SUM('[3]Air Georgian'!$EL$37:$EN$37)</f>
        <v>0</v>
      </c>
      <c r="K21" s="21">
        <f>SUM([3]Condor!$EL$37:$EN$37)</f>
        <v>0</v>
      </c>
      <c r="L21" s="21">
        <f>SUM('[3]Air France'!$EL$37:$EN$37)</f>
        <v>0</v>
      </c>
      <c r="M21" s="21">
        <f>SUM('[3]Charter Misc'!$EL$37:$EN$37)++SUM([3]Ryan!$EL$37:$EN$37)+SUM([3]Omni!$EL$37:$EN$37)</f>
        <v>0</v>
      </c>
      <c r="N21" s="286">
        <f>SUM(B21:M21)</f>
        <v>8301</v>
      </c>
    </row>
    <row r="22" spans="1:14" x14ac:dyDescent="0.2">
      <c r="A22" s="62" t="s">
        <v>36</v>
      </c>
      <c r="B22" s="14">
        <f>SUM([3]Delta!$EL$38:$EN$38)</f>
        <v>6708</v>
      </c>
      <c r="C22" s="14">
        <f>SUM('[3]Atlantic Southeast'!$EL$38:$EN$38)</f>
        <v>68</v>
      </c>
      <c r="D22" s="14">
        <f>SUM([3]Pinnacle!$EL$38:$EN$38)</f>
        <v>333</v>
      </c>
      <c r="E22" s="14">
        <f>SUM([3]Compass!$EL$38:$EN$38)</f>
        <v>216</v>
      </c>
      <c r="F22" s="14">
        <f>SUM('[3]Sky West'!$EL$38:$EN$38)</f>
        <v>299</v>
      </c>
      <c r="G22" s="14">
        <f>SUM('[3]Sun Country'!$EL$38:$EN$38)</f>
        <v>583</v>
      </c>
      <c r="H22" s="14">
        <f>SUM([3]Icelandair!$EL$38:$EN$38)</f>
        <v>24</v>
      </c>
      <c r="I22" s="14">
        <f>SUM('[3]Jazz Air'!$EL$38:$EN$38)</f>
        <v>39</v>
      </c>
      <c r="J22" s="14">
        <f>SUM('[3]Air Georgian'!$EL$38:$EN$38)</f>
        <v>0</v>
      </c>
      <c r="K22" s="14">
        <f>SUM([3]Condor!$EL$38:$EN$38)</f>
        <v>0</v>
      </c>
      <c r="L22" s="14">
        <f>SUM('[3]Air France'!$EL$38:$EN$38)</f>
        <v>0</v>
      </c>
      <c r="M22" s="14">
        <f>SUM('[3]Charter Misc'!$EL$38:$EN$38)++SUM([3]Ryan!$EL$38:$EN$38)+SUM([3]Omni!$EL$38:$EN$38)</f>
        <v>0</v>
      </c>
      <c r="N22" s="287">
        <f>SUM(B22:M22)</f>
        <v>8270</v>
      </c>
    </row>
    <row r="23" spans="1:14" ht="15.75" thickBot="1" x14ac:dyDescent="0.3">
      <c r="A23" s="63" t="s">
        <v>37</v>
      </c>
      <c r="B23" s="289">
        <f t="shared" ref="B23:M23" si="9">SUM(B21:B22)</f>
        <v>13523</v>
      </c>
      <c r="C23" s="289">
        <f t="shared" si="9"/>
        <v>126</v>
      </c>
      <c r="D23" s="289">
        <f t="shared" si="9"/>
        <v>672</v>
      </c>
      <c r="E23" s="289">
        <f t="shared" si="9"/>
        <v>454</v>
      </c>
      <c r="F23" s="289">
        <f t="shared" si="9"/>
        <v>605</v>
      </c>
      <c r="G23" s="289">
        <f t="shared" si="9"/>
        <v>1078</v>
      </c>
      <c r="H23" s="289">
        <f t="shared" si="9"/>
        <v>50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0</v>
      </c>
      <c r="M23" s="289">
        <f t="shared" si="9"/>
        <v>0</v>
      </c>
      <c r="N23" s="290">
        <f>SUM(B23:M23)</f>
        <v>16571</v>
      </c>
    </row>
    <row r="25" spans="1:14" ht="39" thickBot="1" x14ac:dyDescent="0.25">
      <c r="B25" s="12" t="s">
        <v>20</v>
      </c>
      <c r="C25" s="277" t="s">
        <v>54</v>
      </c>
      <c r="D25" s="441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12" t="s">
        <v>105</v>
      </c>
      <c r="J25" s="277" t="s">
        <v>215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09" t="s">
        <v>153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1"/>
    </row>
    <row r="27" spans="1:14" x14ac:dyDescent="0.2">
      <c r="A27" s="62" t="s">
        <v>25</v>
      </c>
      <c r="B27" s="21">
        <f>[3]Delta!$EN$15</f>
        <v>547</v>
      </c>
      <c r="C27" s="21">
        <f>'[3]Atlantic Southeast'!$EN$15</f>
        <v>50</v>
      </c>
      <c r="D27" s="21">
        <f>[3]Pinnacle!$EN$15</f>
        <v>277</v>
      </c>
      <c r="E27" s="21">
        <f>[3]Compass!$EN$15</f>
        <v>63</v>
      </c>
      <c r="F27" s="21">
        <f>'[3]Sky West'!$EN$15</f>
        <v>125</v>
      </c>
      <c r="G27" s="21">
        <f>'[3]Sun Country'!$EN$15</f>
        <v>327</v>
      </c>
      <c r="H27" s="21">
        <f>[3]Icelandair!$EN$15</f>
        <v>0</v>
      </c>
      <c r="I27" s="21">
        <f>'[3]Jazz Air'!$EN$15</f>
        <v>0</v>
      </c>
      <c r="J27" s="21">
        <f>'[3]Air Georgian'!$EN$15</f>
        <v>90</v>
      </c>
      <c r="K27" s="21">
        <f>[3]Condor!$EN$15</f>
        <v>0</v>
      </c>
      <c r="L27" s="21">
        <f>'[3]Air France'!$EN$15</f>
        <v>0</v>
      </c>
      <c r="M27" s="21">
        <f>'[3]Charter Misc'!$EN$15+[3]Ryan!$EN$15+[3]Omni!$EN$15</f>
        <v>0</v>
      </c>
      <c r="N27" s="286">
        <f>SUM(B27:M27)</f>
        <v>1479</v>
      </c>
    </row>
    <row r="28" spans="1:14" x14ac:dyDescent="0.2">
      <c r="A28" s="62" t="s">
        <v>26</v>
      </c>
      <c r="B28" s="21">
        <f>[3]Delta!$EN$16</f>
        <v>550</v>
      </c>
      <c r="C28" s="21">
        <f>'[3]Atlantic Southeast'!$EN$16</f>
        <v>52</v>
      </c>
      <c r="D28" s="21">
        <f>[3]Pinnacle!$EN$16</f>
        <v>275</v>
      </c>
      <c r="E28" s="21">
        <f>[3]Compass!$EN$16</f>
        <v>62</v>
      </c>
      <c r="F28" s="21">
        <f>'[3]Sky West'!$EN$16</f>
        <v>126</v>
      </c>
      <c r="G28" s="21">
        <f>'[3]Sun Country'!$EN$16</f>
        <v>327</v>
      </c>
      <c r="H28" s="21">
        <f>[3]Icelandair!$EN$16</f>
        <v>0</v>
      </c>
      <c r="I28" s="21">
        <f>'[3]Jazz Air'!$EN$16</f>
        <v>0</v>
      </c>
      <c r="J28" s="21">
        <f>'[3]Air Georgian'!$EN$16</f>
        <v>90</v>
      </c>
      <c r="K28" s="21">
        <f>[3]Condor!$EN$16</f>
        <v>0</v>
      </c>
      <c r="L28" s="21">
        <f>'[3]Air France'!$EN$16</f>
        <v>0</v>
      </c>
      <c r="M28" s="21">
        <f>'[3]Charter Misc'!$EN$16+[3]Ryan!$EN$16+[3]Omni!$EN$16</f>
        <v>0</v>
      </c>
      <c r="N28" s="286">
        <f>SUM(B28:M28)</f>
        <v>1482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3">
        <f t="shared" ref="B30:I30" si="12">SUM(B27:B28)</f>
        <v>1097</v>
      </c>
      <c r="C30" s="393">
        <f t="shared" si="12"/>
        <v>102</v>
      </c>
      <c r="D30" s="393">
        <f t="shared" si="12"/>
        <v>552</v>
      </c>
      <c r="E30" s="393">
        <f t="shared" si="12"/>
        <v>125</v>
      </c>
      <c r="F30" s="393">
        <f>SUM(F27:F28)</f>
        <v>251</v>
      </c>
      <c r="G30" s="393">
        <f t="shared" si="12"/>
        <v>654</v>
      </c>
      <c r="H30" s="393">
        <f t="shared" si="12"/>
        <v>0</v>
      </c>
      <c r="I30" s="393">
        <f t="shared" si="12"/>
        <v>0</v>
      </c>
      <c r="J30" s="393">
        <f t="shared" ref="J30" si="13">SUM(J27:J28)</f>
        <v>180</v>
      </c>
      <c r="K30" s="393">
        <f>SUM(K27:K28)</f>
        <v>0</v>
      </c>
      <c r="L30" s="393">
        <f>SUM(L27:L28)</f>
        <v>0</v>
      </c>
      <c r="M30" s="393">
        <f>SUM(M27:M28)</f>
        <v>0</v>
      </c>
      <c r="N30" s="394">
        <f>SUM(B30:M30)</f>
        <v>2961</v>
      </c>
    </row>
    <row r="31" spans="1:14" ht="15" x14ac:dyDescent="0.25">
      <c r="A31" s="395"/>
    </row>
    <row r="32" spans="1:14" ht="39" thickBot="1" x14ac:dyDescent="0.25">
      <c r="B32" s="12" t="s">
        <v>20</v>
      </c>
      <c r="C32" s="277" t="s">
        <v>54</v>
      </c>
      <c r="D32" s="441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12" t="s">
        <v>105</v>
      </c>
      <c r="J32" s="277" t="s">
        <v>215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2" t="s">
        <v>154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4"/>
    </row>
    <row r="34" spans="1:14" x14ac:dyDescent="0.2">
      <c r="A34" s="62" t="s">
        <v>25</v>
      </c>
      <c r="B34" s="21">
        <f>SUM([3]Delta!$EL$15:$EN$15)</f>
        <v>1554</v>
      </c>
      <c r="C34" s="21">
        <f>SUM('[3]Atlantic Southeast'!$EL$15:$EN$15)</f>
        <v>94</v>
      </c>
      <c r="D34" s="21">
        <f>SUM([3]Pinnacle!$EL$15:$EN$15)</f>
        <v>659</v>
      </c>
      <c r="E34" s="21">
        <f>SUM([3]Compass!$EL$15:$EN$15)</f>
        <v>262</v>
      </c>
      <c r="F34" s="21">
        <f>SUM('[3]Sky West'!$EL$15:$EN$15)</f>
        <v>428</v>
      </c>
      <c r="G34" s="21">
        <f>SUM('[3]Sun Country'!$EL$15:$EN$15)</f>
        <v>848</v>
      </c>
      <c r="H34" s="21">
        <f>SUM([3]Icelandair!$EL$15:$EN$15)</f>
        <v>6</v>
      </c>
      <c r="I34" s="21">
        <f>SUM('[3]Jazz Air'!$EL$15:$EN$15)</f>
        <v>92</v>
      </c>
      <c r="J34" s="21">
        <f>SUM('[3]Air Georgian'!$EL$15:$EN$15)</f>
        <v>169</v>
      </c>
      <c r="K34" s="21">
        <f>SUM([3]Condor!$EL$15:$EN$15)</f>
        <v>0</v>
      </c>
      <c r="L34" s="21">
        <f>SUM('[3]Air France'!$EL$15:$EN$15)</f>
        <v>0</v>
      </c>
      <c r="M34" s="21">
        <f>SUM('[3]Charter Misc'!$EL$15:$EN$15)+SUM([3]Ryan!$EL$15:$EN$15)+SUM([3]Omni!$EL$15:$EN$15)</f>
        <v>0</v>
      </c>
      <c r="N34" s="286">
        <f>SUM(B34:M34)</f>
        <v>4112</v>
      </c>
    </row>
    <row r="35" spans="1:14" x14ac:dyDescent="0.2">
      <c r="A35" s="62" t="s">
        <v>26</v>
      </c>
      <c r="B35" s="21">
        <f>SUM([3]Delta!$EL$16:$EN$16)</f>
        <v>1562</v>
      </c>
      <c r="C35" s="21">
        <f>SUM('[3]Atlantic Southeast'!$EL$16:$EN$16)</f>
        <v>102</v>
      </c>
      <c r="D35" s="21">
        <f>SUM([3]Pinnacle!$EL$16:$EN$16)</f>
        <v>650</v>
      </c>
      <c r="E35" s="21">
        <f>SUM([3]Compass!$EL$16:$EN$16)</f>
        <v>259</v>
      </c>
      <c r="F35" s="21">
        <f>SUM('[3]Sky West'!$EL$16:$EN$16)</f>
        <v>429</v>
      </c>
      <c r="G35" s="21">
        <f>SUM('[3]Sun Country'!$EL$16:$EN$16)</f>
        <v>846</v>
      </c>
      <c r="H35" s="21">
        <f>SUM([3]Icelandair!$EL$16:$EN$16)</f>
        <v>6</v>
      </c>
      <c r="I35" s="21">
        <f>SUM('[3]Jazz Air'!$EL$16:$EN$16)</f>
        <v>93</v>
      </c>
      <c r="J35" s="21">
        <f>SUM('[3]Air Georgian'!$EL$16:$EN$16)</f>
        <v>168</v>
      </c>
      <c r="K35" s="21">
        <f>SUM([3]Condor!$EL$16:$EN$16)</f>
        <v>0</v>
      </c>
      <c r="L35" s="21">
        <f>SUM('[3]Air France'!$EL$16:$EN$16)</f>
        <v>0</v>
      </c>
      <c r="M35" s="21">
        <f>SUM('[3]Charter Misc'!$EL$16:$EN$16)+SUM([3]Ryan!$EL$16:$EN$16)+SUM([3]Omni!$EL$16:$EN$16)</f>
        <v>0</v>
      </c>
      <c r="N35" s="286">
        <f>SUM(B35:M35)</f>
        <v>4115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3">
        <f t="shared" ref="B37:I37" si="14">+SUM(B34:B35)</f>
        <v>3116</v>
      </c>
      <c r="C37" s="393">
        <f t="shared" si="14"/>
        <v>196</v>
      </c>
      <c r="D37" s="393">
        <f t="shared" si="14"/>
        <v>1309</v>
      </c>
      <c r="E37" s="393">
        <f t="shared" si="14"/>
        <v>521</v>
      </c>
      <c r="F37" s="393">
        <f>+SUM(F34:F35)</f>
        <v>857</v>
      </c>
      <c r="G37" s="393">
        <f t="shared" si="14"/>
        <v>1694</v>
      </c>
      <c r="H37" s="393">
        <f t="shared" si="14"/>
        <v>12</v>
      </c>
      <c r="I37" s="393">
        <f t="shared" si="14"/>
        <v>185</v>
      </c>
      <c r="J37" s="393">
        <f t="shared" ref="J37" si="15">+SUM(J34:J35)</f>
        <v>337</v>
      </c>
      <c r="K37" s="393">
        <f>+SUM(K34:K35)</f>
        <v>0</v>
      </c>
      <c r="L37" s="393">
        <f>+SUM(L34:L35)</f>
        <v>0</v>
      </c>
      <c r="M37" s="393">
        <f>+SUM(M34:M35)</f>
        <v>0</v>
      </c>
      <c r="N37" s="394">
        <f>SUM(B37:M37)</f>
        <v>8227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&amp;"Arial,Bold"March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2016-03-23T21:17:14Z</cp:lastPrinted>
  <dcterms:created xsi:type="dcterms:W3CDTF">2007-09-24T12:26:24Z</dcterms:created>
  <dcterms:modified xsi:type="dcterms:W3CDTF">2020-01-29T19:47:19Z</dcterms:modified>
</cp:coreProperties>
</file>