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56E6D2AA-D789-4BE0-9275-446B7F627052}" xr6:coauthVersionLast="47" xr6:coauthVersionMax="47" xr10:uidLastSave="{00000000-0000-0000-0000-000000000000}"/>
  <bookViews>
    <workbookView xWindow="5580" yWindow="825" windowWidth="19200" windowHeight="1132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8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6">Cargo!$A$1:$S$37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B20" i="1"/>
  <c r="C21" i="1"/>
  <c r="B21" i="1"/>
  <c r="F16" i="2"/>
  <c r="F15" i="2"/>
  <c r="F10" i="2"/>
  <c r="F9" i="2"/>
  <c r="F4" i="2"/>
  <c r="F5" i="2"/>
  <c r="D21" i="1" l="1"/>
  <c r="D20" i="1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6" i="7"/>
  <c r="J26" i="7"/>
  <c r="E26" i="7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59" i="9"/>
  <c r="V59" i="9"/>
  <c r="P59" i="9"/>
  <c r="M59" i="9"/>
  <c r="G59" i="9"/>
  <c r="D59" i="9"/>
  <c r="Y57" i="9"/>
  <c r="V57" i="9"/>
  <c r="P57" i="9"/>
  <c r="M57" i="9"/>
  <c r="G57" i="9"/>
  <c r="D57" i="9"/>
  <c r="Y55" i="9"/>
  <c r="V55" i="9"/>
  <c r="P55" i="9"/>
  <c r="M55" i="9"/>
  <c r="G55" i="9"/>
  <c r="D55" i="9"/>
  <c r="Y53" i="9"/>
  <c r="V53" i="9"/>
  <c r="P53" i="9"/>
  <c r="M53" i="9"/>
  <c r="G53" i="9"/>
  <c r="D53" i="9"/>
  <c r="Y51" i="9"/>
  <c r="V51" i="9"/>
  <c r="P51" i="9"/>
  <c r="M51" i="9"/>
  <c r="G51" i="9"/>
  <c r="D51" i="9"/>
  <c r="Y49" i="9"/>
  <c r="V49" i="9"/>
  <c r="P49" i="9"/>
  <c r="M49" i="9"/>
  <c r="G49" i="9"/>
  <c r="D49" i="9"/>
  <c r="Y47" i="9"/>
  <c r="V47" i="9"/>
  <c r="P47" i="9"/>
  <c r="M47" i="9"/>
  <c r="G47" i="9"/>
  <c r="D47" i="9"/>
  <c r="Y45" i="9"/>
  <c r="V45" i="9"/>
  <c r="P45" i="9"/>
  <c r="M45" i="9"/>
  <c r="G45" i="9"/>
  <c r="D45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6" i="9"/>
  <c r="V36" i="9"/>
  <c r="P36" i="9"/>
  <c r="M36" i="9"/>
  <c r="G36" i="9"/>
  <c r="D36" i="9"/>
  <c r="Y34" i="9"/>
  <c r="V34" i="9"/>
  <c r="P34" i="9"/>
  <c r="M34" i="9"/>
  <c r="G34" i="9"/>
  <c r="D34" i="9"/>
  <c r="Y32" i="9"/>
  <c r="V32" i="9"/>
  <c r="P32" i="9"/>
  <c r="M32" i="9"/>
  <c r="G32" i="9"/>
  <c r="D32" i="9"/>
  <c r="Y30" i="9"/>
  <c r="V30" i="9"/>
  <c r="P30" i="9"/>
  <c r="M30" i="9"/>
  <c r="G30" i="9"/>
  <c r="D30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59" i="9"/>
  <c r="U59" i="9"/>
  <c r="O59" i="9"/>
  <c r="L59" i="9"/>
  <c r="F59" i="9"/>
  <c r="C59" i="9"/>
  <c r="X57" i="9"/>
  <c r="U57" i="9"/>
  <c r="O57" i="9"/>
  <c r="L57" i="9"/>
  <c r="F57" i="9"/>
  <c r="C57" i="9"/>
  <c r="X55" i="9"/>
  <c r="U55" i="9"/>
  <c r="O55" i="9"/>
  <c r="L55" i="9"/>
  <c r="F55" i="9"/>
  <c r="C55" i="9"/>
  <c r="X53" i="9"/>
  <c r="U53" i="9"/>
  <c r="O53" i="9"/>
  <c r="L53" i="9"/>
  <c r="F53" i="9"/>
  <c r="C53" i="9"/>
  <c r="X51" i="9"/>
  <c r="U51" i="9"/>
  <c r="O51" i="9"/>
  <c r="L51" i="9"/>
  <c r="F51" i="9"/>
  <c r="C51" i="9"/>
  <c r="X49" i="9"/>
  <c r="U49" i="9"/>
  <c r="O49" i="9"/>
  <c r="L49" i="9"/>
  <c r="F49" i="9"/>
  <c r="C49" i="9"/>
  <c r="X47" i="9"/>
  <c r="U47" i="9"/>
  <c r="O47" i="9"/>
  <c r="L47" i="9"/>
  <c r="F47" i="9"/>
  <c r="C47" i="9"/>
  <c r="X45" i="9"/>
  <c r="U45" i="9"/>
  <c r="O45" i="9"/>
  <c r="L45" i="9"/>
  <c r="F45" i="9"/>
  <c r="C45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6" i="9"/>
  <c r="U36" i="9"/>
  <c r="O36" i="9"/>
  <c r="L36" i="9"/>
  <c r="F36" i="9"/>
  <c r="C36" i="9"/>
  <c r="X34" i="9"/>
  <c r="U34" i="9"/>
  <c r="O34" i="9"/>
  <c r="L34" i="9"/>
  <c r="F34" i="9"/>
  <c r="C34" i="9"/>
  <c r="X32" i="9"/>
  <c r="U32" i="9"/>
  <c r="O32" i="9"/>
  <c r="L32" i="9"/>
  <c r="F32" i="9"/>
  <c r="C32" i="9"/>
  <c r="X30" i="9"/>
  <c r="U30" i="9"/>
  <c r="O30" i="9"/>
  <c r="L30" i="9"/>
  <c r="F30" i="9"/>
  <c r="C30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30" i="18"/>
  <c r="M30" i="18"/>
  <c r="G30" i="18"/>
  <c r="D30" i="18"/>
  <c r="G28" i="18"/>
  <c r="D28" i="18"/>
  <c r="P27" i="18"/>
  <c r="P26" i="18" s="1"/>
  <c r="M27" i="18"/>
  <c r="G27" i="18"/>
  <c r="D27" i="18"/>
  <c r="P24" i="18"/>
  <c r="M24" i="18"/>
  <c r="G24" i="18"/>
  <c r="D24" i="18"/>
  <c r="P23" i="18"/>
  <c r="M23" i="18"/>
  <c r="G23" i="18"/>
  <c r="D23" i="18"/>
  <c r="P22" i="18"/>
  <c r="M22" i="18"/>
  <c r="G22" i="18"/>
  <c r="D22" i="18"/>
  <c r="P21" i="18"/>
  <c r="M21" i="18"/>
  <c r="G21" i="18"/>
  <c r="D21" i="18"/>
  <c r="P18" i="18"/>
  <c r="M18" i="18"/>
  <c r="G18" i="18"/>
  <c r="D18" i="18"/>
  <c r="P17" i="18"/>
  <c r="M17" i="18"/>
  <c r="G17" i="18"/>
  <c r="D17" i="18"/>
  <c r="P16" i="18"/>
  <c r="M16" i="18"/>
  <c r="G16" i="18"/>
  <c r="D16" i="18"/>
  <c r="P15" i="18"/>
  <c r="M15" i="18"/>
  <c r="G15" i="18"/>
  <c r="D15" i="18"/>
  <c r="P14" i="18"/>
  <c r="M14" i="18"/>
  <c r="G14" i="18"/>
  <c r="D14" i="18"/>
  <c r="P13" i="18"/>
  <c r="M13" i="18"/>
  <c r="G13" i="18"/>
  <c r="D13" i="18"/>
  <c r="P12" i="18"/>
  <c r="M12" i="18"/>
  <c r="G12" i="18"/>
  <c r="D12" i="18"/>
  <c r="P11" i="18"/>
  <c r="M11" i="18"/>
  <c r="G11" i="18"/>
  <c r="D11" i="18"/>
  <c r="P10" i="18"/>
  <c r="M10" i="18"/>
  <c r="G10" i="18"/>
  <c r="D10" i="18"/>
  <c r="P7" i="18"/>
  <c r="M7" i="18"/>
  <c r="G7" i="18"/>
  <c r="D7" i="18"/>
  <c r="P6" i="18"/>
  <c r="M6" i="18"/>
  <c r="G6" i="18"/>
  <c r="D6" i="18"/>
  <c r="O30" i="18"/>
  <c r="L30" i="18"/>
  <c r="F30" i="18"/>
  <c r="C30" i="18"/>
  <c r="F28" i="18"/>
  <c r="C28" i="18"/>
  <c r="O27" i="18"/>
  <c r="L27" i="18"/>
  <c r="L26" i="18" s="1"/>
  <c r="F27" i="18"/>
  <c r="C27" i="18"/>
  <c r="O24" i="18"/>
  <c r="L24" i="18"/>
  <c r="F24" i="18"/>
  <c r="C24" i="18"/>
  <c r="O23" i="18"/>
  <c r="L23" i="18"/>
  <c r="F23" i="18"/>
  <c r="C23" i="18"/>
  <c r="O22" i="18"/>
  <c r="L22" i="18"/>
  <c r="F22" i="18"/>
  <c r="C22" i="18"/>
  <c r="O21" i="18"/>
  <c r="L21" i="18"/>
  <c r="F21" i="18"/>
  <c r="C21" i="18"/>
  <c r="O18" i="18"/>
  <c r="L18" i="18"/>
  <c r="F18" i="18"/>
  <c r="C18" i="18"/>
  <c r="O17" i="18"/>
  <c r="L17" i="18"/>
  <c r="F17" i="18"/>
  <c r="C17" i="18"/>
  <c r="O16" i="18"/>
  <c r="L16" i="18"/>
  <c r="F16" i="18"/>
  <c r="C16" i="18"/>
  <c r="O15" i="18"/>
  <c r="L15" i="18"/>
  <c r="F15" i="18"/>
  <c r="C15" i="18"/>
  <c r="O14" i="18"/>
  <c r="L14" i="18"/>
  <c r="F14" i="18"/>
  <c r="C14" i="18"/>
  <c r="O13" i="18"/>
  <c r="L13" i="18"/>
  <c r="F13" i="18"/>
  <c r="C13" i="18"/>
  <c r="O12" i="18"/>
  <c r="L12" i="18"/>
  <c r="F12" i="18"/>
  <c r="C12" i="18"/>
  <c r="O11" i="18"/>
  <c r="L11" i="18"/>
  <c r="F11" i="18"/>
  <c r="C11" i="18"/>
  <c r="O10" i="18"/>
  <c r="L10" i="18"/>
  <c r="F10" i="18"/>
  <c r="C10" i="18"/>
  <c r="O7" i="18"/>
  <c r="L7" i="18"/>
  <c r="F7" i="18"/>
  <c r="C7" i="18"/>
  <c r="O6" i="18"/>
  <c r="L6" i="18"/>
  <c r="F6" i="18"/>
  <c r="C6" i="18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H28" i="8" s="1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E16" i="2"/>
  <c r="D16" i="2"/>
  <c r="C16" i="2"/>
  <c r="B16" i="2"/>
  <c r="I15" i="2"/>
  <c r="H15" i="2"/>
  <c r="G15" i="2"/>
  <c r="E15" i="2"/>
  <c r="D15" i="2"/>
  <c r="C15" i="2"/>
  <c r="B15" i="2"/>
  <c r="I10" i="2"/>
  <c r="H10" i="2"/>
  <c r="G10" i="2"/>
  <c r="E10" i="2"/>
  <c r="D10" i="2"/>
  <c r="C10" i="2"/>
  <c r="B10" i="2"/>
  <c r="I9" i="2"/>
  <c r="H9" i="2"/>
  <c r="G9" i="2"/>
  <c r="E9" i="2"/>
  <c r="D9" i="2"/>
  <c r="C9" i="2"/>
  <c r="B9" i="2"/>
  <c r="I5" i="2"/>
  <c r="H5" i="2"/>
  <c r="G5" i="2"/>
  <c r="E5" i="2"/>
  <c r="D5" i="2"/>
  <c r="C5" i="2"/>
  <c r="B5" i="2"/>
  <c r="I4" i="2"/>
  <c r="H4" i="2"/>
  <c r="G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J25" i="7"/>
  <c r="J3" i="18"/>
  <c r="H10" i="8"/>
  <c r="O25" i="7"/>
  <c r="E25" i="7"/>
  <c r="O24" i="7"/>
  <c r="J24" i="7"/>
  <c r="E24" i="7"/>
  <c r="O23" i="7"/>
  <c r="M22" i="7"/>
  <c r="L22" i="7"/>
  <c r="J23" i="7"/>
  <c r="C22" i="7"/>
  <c r="B22" i="7"/>
  <c r="E23" i="7"/>
  <c r="S4" i="8" l="1"/>
  <c r="K16" i="3"/>
  <c r="L16" i="15"/>
  <c r="L15" i="15"/>
  <c r="K17" i="3"/>
  <c r="S5" i="8"/>
  <c r="G26" i="18"/>
  <c r="N16" i="18"/>
  <c r="H6" i="8"/>
  <c r="H12" i="8" s="1"/>
  <c r="M5" i="18"/>
  <c r="M20" i="18"/>
  <c r="M9" i="18"/>
  <c r="P9" i="18"/>
  <c r="Q16" i="18"/>
  <c r="L9" i="18"/>
  <c r="O9" i="18"/>
  <c r="E16" i="18"/>
  <c r="H16" i="18"/>
  <c r="H31" i="8"/>
  <c r="E13" i="18"/>
  <c r="S27" i="8"/>
  <c r="H23" i="8"/>
  <c r="N6" i="18"/>
  <c r="N7" i="18"/>
  <c r="N12" i="18"/>
  <c r="N14" i="18"/>
  <c r="N22" i="18"/>
  <c r="N23" i="18"/>
  <c r="N24" i="18"/>
  <c r="E27" i="18"/>
  <c r="S22" i="8"/>
  <c r="H21" i="18"/>
  <c r="S21" i="8"/>
  <c r="S17" i="8"/>
  <c r="S26" i="8"/>
  <c r="S16" i="8"/>
  <c r="H32" i="8"/>
  <c r="N27" i="18"/>
  <c r="E30" i="18"/>
  <c r="H10" i="18"/>
  <c r="H14" i="18"/>
  <c r="N30" i="18"/>
  <c r="N13" i="18"/>
  <c r="N17" i="18"/>
  <c r="Q30" i="18"/>
  <c r="G9" i="18"/>
  <c r="Q11" i="18"/>
  <c r="Q15" i="18"/>
  <c r="E10" i="18"/>
  <c r="E21" i="18"/>
  <c r="F9" i="18"/>
  <c r="H11" i="18"/>
  <c r="H15" i="18"/>
  <c r="E23" i="18"/>
  <c r="M26" i="18"/>
  <c r="Q6" i="18"/>
  <c r="N15" i="18"/>
  <c r="H24" i="18"/>
  <c r="C26" i="18"/>
  <c r="H30" i="18"/>
  <c r="P5" i="18"/>
  <c r="N18" i="18"/>
  <c r="E18" i="18"/>
  <c r="H6" i="18"/>
  <c r="F5" i="18"/>
  <c r="E11" i="18"/>
  <c r="E14" i="18"/>
  <c r="G5" i="18"/>
  <c r="Q10" i="18"/>
  <c r="E17" i="18"/>
  <c r="Q18" i="18"/>
  <c r="Q21" i="18"/>
  <c r="E28" i="18"/>
  <c r="E22" i="18"/>
  <c r="Q23" i="18"/>
  <c r="E6" i="18"/>
  <c r="E12" i="18"/>
  <c r="Q13" i="18"/>
  <c r="Q14" i="18"/>
  <c r="E24" i="18"/>
  <c r="Q24" i="18"/>
  <c r="G20" i="18"/>
  <c r="D5" i="18"/>
  <c r="N10" i="18"/>
  <c r="E15" i="18"/>
  <c r="N21" i="18"/>
  <c r="D9" i="18"/>
  <c r="F20" i="18"/>
  <c r="P20" i="18"/>
  <c r="L5" i="18"/>
  <c r="N11" i="18"/>
  <c r="H13" i="18"/>
  <c r="H18" i="18"/>
  <c r="L20" i="18"/>
  <c r="H23" i="18"/>
  <c r="D26" i="18"/>
  <c r="H28" i="18"/>
  <c r="E7" i="18"/>
  <c r="C5" i="18"/>
  <c r="Q7" i="18"/>
  <c r="Q12" i="18"/>
  <c r="Q17" i="18"/>
  <c r="C20" i="18"/>
  <c r="Q22" i="18"/>
  <c r="O26" i="18"/>
  <c r="Q27" i="18"/>
  <c r="H7" i="18"/>
  <c r="H12" i="18"/>
  <c r="H17" i="18"/>
  <c r="D20" i="18"/>
  <c r="H22" i="18"/>
  <c r="F26" i="18"/>
  <c r="H27" i="18"/>
  <c r="O5" i="18"/>
  <c r="C9" i="18"/>
  <c r="O20" i="18"/>
  <c r="H18" i="8"/>
  <c r="M72" i="9"/>
  <c r="P72" i="9"/>
  <c r="B21" i="7"/>
  <c r="N5" i="18" l="1"/>
  <c r="M34" i="18"/>
  <c r="N9" i="18"/>
  <c r="N20" i="18"/>
  <c r="H33" i="8"/>
  <c r="P34" i="18"/>
  <c r="E5" i="18"/>
  <c r="N26" i="18"/>
  <c r="E26" i="18"/>
  <c r="L34" i="18"/>
  <c r="N34" i="18" s="1"/>
  <c r="E20" i="18"/>
  <c r="H9" i="18"/>
  <c r="H5" i="18"/>
  <c r="G34" i="18"/>
  <c r="H26" i="18"/>
  <c r="C34" i="18"/>
  <c r="Q26" i="18"/>
  <c r="D34" i="18"/>
  <c r="Q9" i="18"/>
  <c r="Q20" i="18"/>
  <c r="E9" i="18"/>
  <c r="O34" i="18"/>
  <c r="R16" i="18" s="1"/>
  <c r="F34" i="18"/>
  <c r="I16" i="18" s="1"/>
  <c r="Q5" i="18"/>
  <c r="H20" i="18"/>
  <c r="C21" i="7"/>
  <c r="D21" i="7" s="1"/>
  <c r="R5" i="18" l="1"/>
  <c r="H34" i="18"/>
  <c r="I21" i="18"/>
  <c r="I15" i="18"/>
  <c r="I7" i="18"/>
  <c r="I14" i="18"/>
  <c r="I22" i="18"/>
  <c r="I30" i="18"/>
  <c r="I17" i="18"/>
  <c r="I6" i="18"/>
  <c r="I10" i="18"/>
  <c r="I9" i="18"/>
  <c r="I18" i="18"/>
  <c r="I24" i="18"/>
  <c r="I27" i="18"/>
  <c r="I5" i="18"/>
  <c r="I12" i="18"/>
  <c r="I13" i="18"/>
  <c r="I28" i="18"/>
  <c r="I23" i="18"/>
  <c r="I11" i="18"/>
  <c r="E34" i="18"/>
  <c r="Q34" i="18"/>
  <c r="R10" i="18"/>
  <c r="R14" i="18"/>
  <c r="R24" i="18"/>
  <c r="R21" i="18"/>
  <c r="R15" i="18"/>
  <c r="R11" i="18"/>
  <c r="R6" i="18"/>
  <c r="R27" i="18"/>
  <c r="R30" i="18"/>
  <c r="R22" i="18"/>
  <c r="R18" i="18"/>
  <c r="R13" i="18"/>
  <c r="R12" i="18"/>
  <c r="R17" i="18"/>
  <c r="R23" i="18"/>
  <c r="R7" i="18"/>
  <c r="R26" i="18"/>
  <c r="R20" i="18"/>
  <c r="I20" i="18"/>
  <c r="R9" i="18"/>
  <c r="I26" i="18"/>
  <c r="M21" i="7"/>
  <c r="L21" i="7" l="1"/>
  <c r="H21" i="7"/>
  <c r="G21" i="7" l="1"/>
  <c r="E22" i="7" l="1"/>
  <c r="O22" i="7" l="1"/>
  <c r="J22" i="7" l="1"/>
  <c r="H8" i="1" l="1"/>
  <c r="O21" i="7" l="1"/>
  <c r="J21" i="7"/>
  <c r="E21" i="7"/>
  <c r="O30" i="16" l="1"/>
  <c r="O11" i="16"/>
  <c r="O6" i="16"/>
  <c r="I11" i="16"/>
  <c r="I6" i="16"/>
  <c r="O37" i="16"/>
  <c r="O23" i="16"/>
  <c r="O18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E18" i="8"/>
  <c r="E23" i="8" l="1"/>
  <c r="F27" i="15"/>
  <c r="E32" i="8"/>
  <c r="F40" i="15"/>
  <c r="F37" i="15"/>
  <c r="F41" i="15"/>
  <c r="F21" i="15"/>
  <c r="E31" i="8"/>
  <c r="E28" i="8"/>
  <c r="E10" i="8"/>
  <c r="E6" i="8"/>
  <c r="E12" i="8" s="1"/>
  <c r="E33" i="8" l="1"/>
  <c r="F42" i="15"/>
  <c r="D72" i="9" l="1"/>
  <c r="G72" i="9"/>
  <c r="V72" i="9"/>
  <c r="Y72" i="9"/>
  <c r="X72" i="9" l="1"/>
  <c r="U72" i="9"/>
  <c r="C72" i="9"/>
  <c r="F72" i="9"/>
  <c r="L72" i="9"/>
  <c r="O72" i="9"/>
  <c r="D10" i="8" l="1"/>
  <c r="D23" i="8" l="1"/>
  <c r="D6" i="8"/>
  <c r="D12" i="8" s="1"/>
  <c r="D18" i="8"/>
  <c r="D31" i="8"/>
  <c r="D28" i="8"/>
  <c r="D32" i="8"/>
  <c r="D33" i="8" l="1"/>
  <c r="K20" i="3" l="1"/>
  <c r="K21" i="3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6" i="9"/>
  <c r="Z36" i="9"/>
  <c r="E36" i="9"/>
  <c r="N36" i="9"/>
  <c r="H36" i="9"/>
  <c r="Q36" i="9"/>
  <c r="K5" i="3" l="1"/>
  <c r="Z67" i="9"/>
  <c r="W67" i="9"/>
  <c r="W66" i="9"/>
  <c r="W64" i="9"/>
  <c r="Z63" i="9"/>
  <c r="Z62" i="9"/>
  <c r="V61" i="9"/>
  <c r="Z55" i="9"/>
  <c r="W55" i="9"/>
  <c r="Z53" i="9"/>
  <c r="W49" i="9"/>
  <c r="Z47" i="9"/>
  <c r="Z45" i="9"/>
  <c r="W43" i="9"/>
  <c r="Z42" i="9"/>
  <c r="W42" i="9"/>
  <c r="W41" i="9"/>
  <c r="W40" i="9"/>
  <c r="V38" i="9"/>
  <c r="W39" i="9"/>
  <c r="W32" i="9"/>
  <c r="Z30" i="9"/>
  <c r="W30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V23" i="9"/>
  <c r="Z29" i="9"/>
  <c r="W47" i="9"/>
  <c r="W51" i="9"/>
  <c r="Z57" i="9"/>
  <c r="V18" i="9"/>
  <c r="Y23" i="9"/>
  <c r="Z26" i="9"/>
  <c r="Z32" i="9"/>
  <c r="Y38" i="9"/>
  <c r="Z41" i="9"/>
  <c r="W45" i="9"/>
  <c r="W59" i="9"/>
  <c r="W68" i="9"/>
  <c r="X18" i="9"/>
  <c r="Y61" i="9"/>
  <c r="W4" i="9"/>
  <c r="U6" i="9"/>
  <c r="W6" i="9" s="1"/>
  <c r="Y18" i="9"/>
  <c r="W34" i="9"/>
  <c r="Z43" i="9"/>
  <c r="W53" i="9"/>
  <c r="Z59" i="9"/>
  <c r="W63" i="9"/>
  <c r="W65" i="9"/>
  <c r="W14" i="9"/>
  <c r="U38" i="9"/>
  <c r="W38" i="9" s="1"/>
  <c r="W44" i="9"/>
  <c r="W57" i="9"/>
  <c r="W62" i="9"/>
  <c r="X23" i="9"/>
  <c r="Z10" i="9"/>
  <c r="U18" i="9"/>
  <c r="Z24" i="9"/>
  <c r="Z34" i="9"/>
  <c r="Z44" i="9"/>
  <c r="X6" i="9"/>
  <c r="Z68" i="9"/>
  <c r="U61" i="9"/>
  <c r="Z66" i="9"/>
  <c r="Z4" i="9"/>
  <c r="Z19" i="9"/>
  <c r="U23" i="9"/>
  <c r="Z28" i="9"/>
  <c r="X38" i="9"/>
  <c r="Z40" i="9"/>
  <c r="Z51" i="9"/>
  <c r="Z65" i="9"/>
  <c r="W10" i="9"/>
  <c r="Z27" i="9"/>
  <c r="Z39" i="9"/>
  <c r="Z49" i="9"/>
  <c r="Z64" i="9"/>
  <c r="X61" i="9"/>
  <c r="V73" i="9" l="1"/>
  <c r="V71" i="9" s="1"/>
  <c r="X73" i="9"/>
  <c r="AA16" i="9" s="1"/>
  <c r="Y73" i="9"/>
  <c r="U73" i="9"/>
  <c r="W23" i="9"/>
  <c r="Z72" i="9"/>
  <c r="W72" i="9"/>
  <c r="Z18" i="9"/>
  <c r="W18" i="9"/>
  <c r="Z61" i="9"/>
  <c r="W61" i="9"/>
  <c r="Z6" i="9"/>
  <c r="Z23" i="9"/>
  <c r="Z38" i="9"/>
  <c r="W73" i="9" l="1"/>
  <c r="Z73" i="9"/>
  <c r="AA73" i="9" s="1"/>
  <c r="U71" i="9"/>
  <c r="W71" i="9" s="1"/>
  <c r="Y71" i="9"/>
  <c r="X71" i="9"/>
  <c r="AA36" i="9" s="1"/>
  <c r="AA9" i="9"/>
  <c r="AA4" i="9"/>
  <c r="AA6" i="9"/>
  <c r="AA23" i="9"/>
  <c r="AA63" i="9"/>
  <c r="AA47" i="9"/>
  <c r="AA21" i="9"/>
  <c r="AA68" i="9"/>
  <c r="AA57" i="9"/>
  <c r="AA43" i="9"/>
  <c r="AA7" i="9"/>
  <c r="AA8" i="9"/>
  <c r="AA32" i="9"/>
  <c r="AA67" i="9"/>
  <c r="AA58" i="9"/>
  <c r="AA55" i="9"/>
  <c r="AA42" i="9"/>
  <c r="AA30" i="9"/>
  <c r="AA59" i="9"/>
  <c r="AA14" i="9"/>
  <c r="AA62" i="9"/>
  <c r="AA26" i="9"/>
  <c r="AA39" i="9"/>
  <c r="AA20" i="9"/>
  <c r="AA66" i="9"/>
  <c r="AA72" i="9"/>
  <c r="AA49" i="9"/>
  <c r="AA53" i="9"/>
  <c r="AA10" i="9"/>
  <c r="AA27" i="9"/>
  <c r="AA44" i="9"/>
  <c r="AA25" i="9"/>
  <c r="AA12" i="9"/>
  <c r="AA34" i="9"/>
  <c r="AA29" i="9"/>
  <c r="AA18" i="9"/>
  <c r="AA40" i="9"/>
  <c r="AA28" i="9"/>
  <c r="AA65" i="9"/>
  <c r="AA24" i="9"/>
  <c r="AA51" i="9"/>
  <c r="AA45" i="9"/>
  <c r="AA41" i="9"/>
  <c r="AA64" i="9"/>
  <c r="AA19" i="9"/>
  <c r="AA38" i="9"/>
  <c r="AA61" i="9"/>
  <c r="AA71" i="9" l="1"/>
  <c r="Z71" i="9"/>
  <c r="K23" i="8" l="1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J6" i="8" l="1"/>
  <c r="J12" i="8" s="1"/>
  <c r="R6" i="8"/>
  <c r="M23" i="8"/>
  <c r="K28" i="8"/>
  <c r="L6" i="8"/>
  <c r="L12" i="8" s="1"/>
  <c r="O18" i="8"/>
  <c r="M30" i="16"/>
  <c r="B6" i="8"/>
  <c r="B12" i="8" s="1"/>
  <c r="M6" i="8"/>
  <c r="M12" i="8" s="1"/>
  <c r="G18" i="8"/>
  <c r="P31" i="8"/>
  <c r="B23" i="8"/>
  <c r="N23" i="8"/>
  <c r="L28" i="8"/>
  <c r="O32" i="8"/>
  <c r="C6" i="8"/>
  <c r="C12" i="8" s="1"/>
  <c r="N6" i="8"/>
  <c r="N12" i="8" s="1"/>
  <c r="I18" i="8"/>
  <c r="C23" i="8"/>
  <c r="R23" i="8"/>
  <c r="P32" i="8"/>
  <c r="M18" i="8"/>
  <c r="I28" i="8"/>
  <c r="K6" i="8"/>
  <c r="K12" i="8" s="1"/>
  <c r="F6" i="8"/>
  <c r="F12" i="8" s="1"/>
  <c r="J18" i="8"/>
  <c r="R18" i="8"/>
  <c r="G23" i="8"/>
  <c r="P23" i="8"/>
  <c r="N28" i="8"/>
  <c r="Q28" i="8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M6" i="16"/>
  <c r="L23" i="8"/>
  <c r="B32" i="8"/>
  <c r="O6" i="8"/>
  <c r="O12" i="8" s="1"/>
  <c r="K32" i="8"/>
  <c r="B31" i="8"/>
  <c r="P18" i="8"/>
  <c r="I6" i="8"/>
  <c r="I12" i="8" s="1"/>
  <c r="Q6" i="8"/>
  <c r="Q12" i="8" s="1"/>
  <c r="L18" i="8"/>
  <c r="J23" i="8"/>
  <c r="G31" i="8"/>
  <c r="P28" i="8"/>
  <c r="J28" i="8"/>
  <c r="R32" i="8"/>
  <c r="N18" i="8"/>
  <c r="Q18" i="8"/>
  <c r="O23" i="8"/>
  <c r="M32" i="8"/>
  <c r="M11" i="16"/>
  <c r="M37" i="16"/>
  <c r="M31" i="8"/>
  <c r="G32" i="8"/>
  <c r="N32" i="8"/>
  <c r="C32" i="8"/>
  <c r="B28" i="8"/>
  <c r="M28" i="8"/>
  <c r="Q32" i="8"/>
  <c r="I32" i="8"/>
  <c r="C28" i="8"/>
  <c r="R10" i="8"/>
  <c r="S10" i="8" s="1"/>
  <c r="G28" i="8"/>
  <c r="N31" i="8"/>
  <c r="O28" i="8"/>
  <c r="B19" i="1"/>
  <c r="D19" i="1" s="1"/>
  <c r="D16" i="5"/>
  <c r="D15" i="5"/>
  <c r="I31" i="8"/>
  <c r="Q31" i="8"/>
  <c r="J31" i="8"/>
  <c r="R31" i="8"/>
  <c r="K31" i="8"/>
  <c r="B18" i="8"/>
  <c r="L31" i="8"/>
  <c r="M18" i="16"/>
  <c r="M23" i="16"/>
  <c r="S31" i="8" l="1"/>
  <c r="S18" i="8"/>
  <c r="S23" i="8"/>
  <c r="S28" i="8"/>
  <c r="S32" i="8"/>
  <c r="R33" i="8"/>
  <c r="I33" i="8"/>
  <c r="K33" i="8"/>
  <c r="N33" i="8"/>
  <c r="L33" i="8"/>
  <c r="Q33" i="8"/>
  <c r="C33" i="8"/>
  <c r="O33" i="8"/>
  <c r="M33" i="8"/>
  <c r="G33" i="8"/>
  <c r="S6" i="8"/>
  <c r="J33" i="8"/>
  <c r="D10" i="5"/>
  <c r="P33" i="8"/>
  <c r="D11" i="5"/>
  <c r="D21" i="5" s="1"/>
  <c r="D5" i="5"/>
  <c r="R12" i="8"/>
  <c r="S12" i="8" s="1"/>
  <c r="B33" i="8"/>
  <c r="Q55" i="9"/>
  <c r="E55" i="9"/>
  <c r="N55" i="9"/>
  <c r="H55" i="9"/>
  <c r="S33" i="8" l="1"/>
  <c r="D20" i="5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1" i="9" l="1"/>
  <c r="E68" i="9" l="1"/>
  <c r="Q68" i="9"/>
  <c r="N68" i="9"/>
  <c r="E51" i="9"/>
  <c r="N51" i="9"/>
  <c r="Q51" i="9"/>
  <c r="H51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23" i="9"/>
  <c r="C38" i="9"/>
  <c r="C6" i="9"/>
  <c r="C61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1" i="9"/>
  <c r="N67" i="9"/>
  <c r="H67" i="9"/>
  <c r="E67" i="9"/>
  <c r="Q66" i="9"/>
  <c r="N65" i="9"/>
  <c r="H65" i="9"/>
  <c r="E65" i="9"/>
  <c r="Q64" i="9"/>
  <c r="N63" i="9"/>
  <c r="H63" i="9"/>
  <c r="E63" i="9"/>
  <c r="P61" i="9"/>
  <c r="Q62" i="9"/>
  <c r="M61" i="9"/>
  <c r="D61" i="9"/>
  <c r="Q59" i="9"/>
  <c r="N59" i="9"/>
  <c r="E59" i="9"/>
  <c r="N57" i="9"/>
  <c r="E57" i="9"/>
  <c r="Q53" i="9"/>
  <c r="N53" i="9"/>
  <c r="H53" i="9"/>
  <c r="N49" i="9"/>
  <c r="E49" i="9"/>
  <c r="N47" i="9"/>
  <c r="E47" i="9"/>
  <c r="N45" i="9"/>
  <c r="H45" i="9"/>
  <c r="Q43" i="9"/>
  <c r="N43" i="9"/>
  <c r="H43" i="9"/>
  <c r="N42" i="9"/>
  <c r="E42" i="9"/>
  <c r="N41" i="9"/>
  <c r="H41" i="9"/>
  <c r="M38" i="9"/>
  <c r="E40" i="9"/>
  <c r="Q39" i="9"/>
  <c r="N39" i="9"/>
  <c r="H39" i="9"/>
  <c r="G38" i="9"/>
  <c r="Q34" i="9"/>
  <c r="N34" i="9"/>
  <c r="H34" i="9"/>
  <c r="N32" i="9"/>
  <c r="E32" i="9"/>
  <c r="Q30" i="9"/>
  <c r="N30" i="9"/>
  <c r="H30" i="9"/>
  <c r="E30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M23" i="9"/>
  <c r="G23" i="9"/>
  <c r="H24" i="9"/>
  <c r="P23" i="9"/>
  <c r="O23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8" i="9"/>
  <c r="D38" i="9"/>
  <c r="E38" i="9" s="1"/>
  <c r="G6" i="9"/>
  <c r="P6" i="9"/>
  <c r="Q6" i="9" s="1"/>
  <c r="N12" i="9"/>
  <c r="E14" i="9"/>
  <c r="L18" i="9"/>
  <c r="N18" i="9" s="1"/>
  <c r="Q19" i="9"/>
  <c r="E43" i="9"/>
  <c r="P38" i="9"/>
  <c r="E8" i="9"/>
  <c r="N8" i="9"/>
  <c r="F23" i="9"/>
  <c r="H23" i="9" s="1"/>
  <c r="O38" i="9"/>
  <c r="O73" i="9" s="1"/>
  <c r="N40" i="9"/>
  <c r="Q41" i="9"/>
  <c r="E44" i="9"/>
  <c r="N44" i="9"/>
  <c r="Q45" i="9"/>
  <c r="E64" i="9"/>
  <c r="N64" i="9"/>
  <c r="E66" i="9"/>
  <c r="N66" i="9"/>
  <c r="H42" i="9"/>
  <c r="H57" i="9"/>
  <c r="F6" i="9"/>
  <c r="L6" i="9"/>
  <c r="N6" i="9" s="1"/>
  <c r="H8" i="9"/>
  <c r="D18" i="9"/>
  <c r="E21" i="9"/>
  <c r="E24" i="9"/>
  <c r="H27" i="9"/>
  <c r="E34" i="9"/>
  <c r="F38" i="9"/>
  <c r="H40" i="9"/>
  <c r="E45" i="9"/>
  <c r="E53" i="9"/>
  <c r="H18" i="9"/>
  <c r="H25" i="9"/>
  <c r="E6" i="9"/>
  <c r="E10" i="9"/>
  <c r="L23" i="9"/>
  <c r="N23" i="9" s="1"/>
  <c r="D23" i="9"/>
  <c r="E26" i="9"/>
  <c r="H29" i="9"/>
  <c r="H47" i="9"/>
  <c r="Q61" i="9"/>
  <c r="G61" i="9"/>
  <c r="Q63" i="9"/>
  <c r="H20" i="9"/>
  <c r="E28" i="9"/>
  <c r="H32" i="9"/>
  <c r="E39" i="9"/>
  <c r="E41" i="9"/>
  <c r="H44" i="9"/>
  <c r="H49" i="9"/>
  <c r="E62" i="9"/>
  <c r="N62" i="9"/>
  <c r="Q65" i="9"/>
  <c r="Q67" i="9"/>
  <c r="Q12" i="9"/>
  <c r="Q18" i="9"/>
  <c r="Q20" i="9"/>
  <c r="Q23" i="9"/>
  <c r="Q25" i="9"/>
  <c r="Q27" i="9"/>
  <c r="Q29" i="9"/>
  <c r="Q32" i="9"/>
  <c r="Q40" i="9"/>
  <c r="Q42" i="9"/>
  <c r="Q44" i="9"/>
  <c r="Q47" i="9"/>
  <c r="Q49" i="9"/>
  <c r="Q57" i="9"/>
  <c r="H59" i="9"/>
  <c r="F61" i="9"/>
  <c r="H62" i="9"/>
  <c r="H64" i="9"/>
  <c r="H66" i="9"/>
  <c r="P73" i="9" l="1"/>
  <c r="Q73" i="9" s="1"/>
  <c r="R73" i="9" s="1"/>
  <c r="R16" i="9"/>
  <c r="L73" i="9"/>
  <c r="L71" i="9" s="1"/>
  <c r="G73" i="9"/>
  <c r="G71" i="9" s="1"/>
  <c r="F73" i="9"/>
  <c r="I16" i="9" s="1"/>
  <c r="D73" i="9"/>
  <c r="D71" i="9" s="1"/>
  <c r="N38" i="9"/>
  <c r="Q38" i="9"/>
  <c r="E23" i="9"/>
  <c r="E72" i="9"/>
  <c r="N72" i="9"/>
  <c r="H61" i="9"/>
  <c r="H38" i="9"/>
  <c r="H6" i="9"/>
  <c r="Q72" i="9"/>
  <c r="N61" i="9"/>
  <c r="E18" i="9"/>
  <c r="H72" i="9"/>
  <c r="E61" i="9"/>
  <c r="P71" i="9" l="1"/>
  <c r="N73" i="9"/>
  <c r="O71" i="9"/>
  <c r="R9" i="9"/>
  <c r="F71" i="9"/>
  <c r="I9" i="9"/>
  <c r="R36" i="9"/>
  <c r="I55" i="9"/>
  <c r="I36" i="9"/>
  <c r="R4" i="9"/>
  <c r="R55" i="9"/>
  <c r="I4" i="9"/>
  <c r="R51" i="9"/>
  <c r="R19" i="9"/>
  <c r="I51" i="9"/>
  <c r="I6" i="9"/>
  <c r="I68" i="9"/>
  <c r="R64" i="9"/>
  <c r="R68" i="9"/>
  <c r="R62" i="9"/>
  <c r="R42" i="9"/>
  <c r="R27" i="9"/>
  <c r="R53" i="9"/>
  <c r="R38" i="9"/>
  <c r="R72" i="9"/>
  <c r="R28" i="9"/>
  <c r="R40" i="9"/>
  <c r="R29" i="9"/>
  <c r="R24" i="9"/>
  <c r="R49" i="9"/>
  <c r="R61" i="9"/>
  <c r="R25" i="9"/>
  <c r="R67" i="9"/>
  <c r="R18" i="9"/>
  <c r="R63" i="9"/>
  <c r="R12" i="9"/>
  <c r="R57" i="9"/>
  <c r="R32" i="9"/>
  <c r="R66" i="9"/>
  <c r="R10" i="9"/>
  <c r="R8" i="9"/>
  <c r="R39" i="9"/>
  <c r="R59" i="9"/>
  <c r="R47" i="9"/>
  <c r="R65" i="9"/>
  <c r="R7" i="9"/>
  <c r="R41" i="9"/>
  <c r="R21" i="9"/>
  <c r="R30" i="9"/>
  <c r="R23" i="9"/>
  <c r="R34" i="9"/>
  <c r="R58" i="9"/>
  <c r="R20" i="9"/>
  <c r="R6" i="9"/>
  <c r="R44" i="9"/>
  <c r="R43" i="9"/>
  <c r="R26" i="9"/>
  <c r="R14" i="9"/>
  <c r="R45" i="9"/>
  <c r="I72" i="9"/>
  <c r="I38" i="9"/>
  <c r="I61" i="9"/>
  <c r="H73" i="9"/>
  <c r="I73" i="9" s="1"/>
  <c r="I67" i="9"/>
  <c r="I65" i="9"/>
  <c r="I12" i="9"/>
  <c r="I63" i="9"/>
  <c r="I7" i="9"/>
  <c r="I43" i="9"/>
  <c r="I59" i="9"/>
  <c r="I18" i="9"/>
  <c r="I19" i="9"/>
  <c r="I29" i="9"/>
  <c r="I47" i="9"/>
  <c r="I24" i="9"/>
  <c r="I44" i="9"/>
  <c r="I49" i="9"/>
  <c r="I66" i="9"/>
  <c r="I8" i="9"/>
  <c r="I57" i="9"/>
  <c r="I28" i="9"/>
  <c r="I39" i="9"/>
  <c r="I41" i="9"/>
  <c r="I26" i="9"/>
  <c r="I34" i="9"/>
  <c r="I42" i="9"/>
  <c r="I27" i="9"/>
  <c r="I40" i="9"/>
  <c r="I25" i="9"/>
  <c r="I14" i="9"/>
  <c r="I64" i="9"/>
  <c r="I21" i="9"/>
  <c r="I32" i="9"/>
  <c r="I23" i="9"/>
  <c r="I62" i="9"/>
  <c r="I10" i="9"/>
  <c r="I30" i="9"/>
  <c r="I20" i="9"/>
  <c r="I45" i="9"/>
  <c r="I53" i="9"/>
  <c r="E73" i="9"/>
  <c r="R71" i="9" l="1"/>
  <c r="Q71" i="9"/>
  <c r="N71" i="9"/>
  <c r="E71" i="9"/>
  <c r="H71" i="9"/>
  <c r="I71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11" i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C11" i="16"/>
  <c r="Q9" i="16"/>
  <c r="B26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D18" i="1" l="1"/>
  <c r="C26" i="7"/>
  <c r="B33" i="1"/>
  <c r="F31" i="7"/>
  <c r="K18" i="3"/>
  <c r="K22" i="3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J17" i="2"/>
  <c r="K17" i="2" s="1"/>
  <c r="K44" i="3"/>
  <c r="E45" i="2"/>
  <c r="E21" i="4"/>
  <c r="D17" i="5"/>
  <c r="G45" i="3"/>
  <c r="H42" i="15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L20" i="4"/>
  <c r="M20" i="4" s="1"/>
  <c r="G7" i="7"/>
  <c r="Q30" i="16"/>
  <c r="K38" i="2"/>
  <c r="B15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C20" i="5" s="1"/>
  <c r="L12" i="4"/>
  <c r="M12" i="4" s="1"/>
  <c r="E16" i="5"/>
  <c r="F16" i="5" s="1"/>
  <c r="C16" i="1"/>
  <c r="C42" i="4"/>
  <c r="K43" i="3"/>
  <c r="D26" i="7" l="1"/>
  <c r="F26" i="7" s="1"/>
  <c r="D16" i="1"/>
  <c r="B17" i="5"/>
  <c r="D22" i="7"/>
  <c r="F22" i="7" s="1"/>
  <c r="F32" i="7"/>
  <c r="F30" i="7"/>
  <c r="F29" i="7"/>
  <c r="F28" i="7"/>
  <c r="K23" i="3"/>
  <c r="F27" i="7"/>
  <c r="F18" i="1"/>
  <c r="B6" i="5"/>
  <c r="B7" i="5" s="1"/>
  <c r="B28" i="1"/>
  <c r="B10" i="5"/>
  <c r="B12" i="5" s="1"/>
  <c r="C27" i="1"/>
  <c r="B27" i="1"/>
  <c r="K6" i="2"/>
  <c r="D5" i="1" s="1"/>
  <c r="B8" i="1"/>
  <c r="L21" i="15"/>
  <c r="D6" i="1"/>
  <c r="C8" i="1"/>
  <c r="B32" i="1" s="1"/>
  <c r="B10" i="1"/>
  <c r="F21" i="7"/>
  <c r="F19" i="1"/>
  <c r="J45" i="2"/>
  <c r="K45" i="2" s="1"/>
  <c r="K45" i="3"/>
  <c r="F7" i="1"/>
  <c r="J23" i="2"/>
  <c r="K23" i="2" s="1"/>
  <c r="L42" i="4"/>
  <c r="M42" i="4" s="1"/>
  <c r="L42" i="15"/>
  <c r="B17" i="1"/>
  <c r="K43" i="2"/>
  <c r="C11" i="5"/>
  <c r="C21" i="5" s="1"/>
  <c r="M37" i="4"/>
  <c r="H16" i="5"/>
  <c r="L21" i="4"/>
  <c r="M21" i="4" s="1"/>
  <c r="C17" i="5"/>
  <c r="E15" i="5"/>
  <c r="D12" i="5"/>
  <c r="D7" i="5"/>
  <c r="C22" i="1"/>
  <c r="C7" i="5"/>
  <c r="E5" i="5"/>
  <c r="F5" i="5" s="1"/>
  <c r="D17" i="1" l="1"/>
  <c r="D22" i="1" s="1"/>
  <c r="F22" i="1" s="1"/>
  <c r="B20" i="5"/>
  <c r="E20" i="5" s="1"/>
  <c r="B21" i="5"/>
  <c r="E21" i="5" s="1"/>
  <c r="C33" i="1"/>
  <c r="D10" i="1"/>
  <c r="E6" i="5"/>
  <c r="F6" i="5" s="1"/>
  <c r="E10" i="5"/>
  <c r="F10" i="5" s="1"/>
  <c r="F5" i="1"/>
  <c r="D8" i="1"/>
  <c r="F8" i="1" s="1"/>
  <c r="F6" i="1"/>
  <c r="C11" i="1"/>
  <c r="M26" i="7" s="1"/>
  <c r="B11" i="1"/>
  <c r="D28" i="1"/>
  <c r="B22" i="1"/>
  <c r="B29" i="1"/>
  <c r="C12" i="5"/>
  <c r="E11" i="5"/>
  <c r="F11" i="5" s="1"/>
  <c r="C29" i="1"/>
  <c r="F16" i="1"/>
  <c r="D22" i="5"/>
  <c r="F15" i="5"/>
  <c r="E17" i="5"/>
  <c r="D27" i="1" s="1"/>
  <c r="F17" i="1" l="1"/>
  <c r="H26" i="7"/>
  <c r="L26" i="7"/>
  <c r="B22" i="5"/>
  <c r="H22" i="7"/>
  <c r="N21" i="7"/>
  <c r="E22" i="5"/>
  <c r="P31" i="7"/>
  <c r="P29" i="7"/>
  <c r="P27" i="7"/>
  <c r="C32" i="1"/>
  <c r="H6" i="5"/>
  <c r="F28" i="1"/>
  <c r="F10" i="1"/>
  <c r="E7" i="5"/>
  <c r="F21" i="5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G26" i="7" l="1"/>
  <c r="I26" i="7" s="1"/>
  <c r="K26" i="7" s="1"/>
  <c r="N26" i="7"/>
  <c r="P26" i="7" s="1"/>
  <c r="N22" i="7"/>
  <c r="P22" i="7" s="1"/>
  <c r="G22" i="7"/>
  <c r="K31" i="7"/>
  <c r="P32" i="7"/>
  <c r="K30" i="7"/>
  <c r="P30" i="7"/>
  <c r="K29" i="7"/>
  <c r="K28" i="7"/>
  <c r="P28" i="7"/>
  <c r="K27" i="7"/>
  <c r="H21" i="5"/>
  <c r="F22" i="5"/>
  <c r="H22" i="5" s="1"/>
  <c r="H20" i="5"/>
  <c r="I22" i="7" l="1"/>
  <c r="K22" i="7" s="1"/>
  <c r="K32" i="7"/>
  <c r="I21" i="7" l="1"/>
  <c r="P21" i="7"/>
  <c r="K21" i="7" l="1"/>
  <c r="B25" i="7" l="1"/>
  <c r="C25" i="7" l="1"/>
  <c r="D25" i="7" s="1"/>
  <c r="F25" i="7" s="1"/>
  <c r="L25" i="7" l="1"/>
  <c r="M25" i="7" l="1"/>
  <c r="H25" i="7" s="1"/>
  <c r="N25" i="7"/>
  <c r="P25" i="7" s="1"/>
  <c r="G25" i="7"/>
  <c r="I25" i="7" s="1"/>
  <c r="K25" i="7" s="1"/>
  <c r="B24" i="7" l="1"/>
  <c r="C24" i="7" l="1"/>
  <c r="D24" i="7"/>
  <c r="F24" i="7" s="1"/>
  <c r="M24" i="7" l="1"/>
  <c r="H24" i="7" s="1"/>
  <c r="L24" i="7"/>
  <c r="N24" i="7" l="1"/>
  <c r="P24" i="7" s="1"/>
  <c r="G24" i="7"/>
  <c r="I24" i="7" s="1"/>
  <c r="K24" i="7" s="1"/>
  <c r="B23" i="7" l="1"/>
  <c r="B33" i="7" s="1"/>
  <c r="D33" i="1"/>
  <c r="I16" i="5"/>
  <c r="C23" i="7" l="1"/>
  <c r="C33" i="7" s="1"/>
  <c r="G21" i="1"/>
  <c r="G20" i="1"/>
  <c r="D23" i="7"/>
  <c r="G16" i="1"/>
  <c r="I5" i="5"/>
  <c r="I21" i="1" l="1"/>
  <c r="I20" i="1"/>
  <c r="F23" i="7"/>
  <c r="D33" i="7"/>
  <c r="F33" i="7" s="1"/>
  <c r="I16" i="1"/>
  <c r="G19" i="1"/>
  <c r="G18" i="1"/>
  <c r="K5" i="5"/>
  <c r="G5" i="1"/>
  <c r="D32" i="1"/>
  <c r="I10" i="5"/>
  <c r="I15" i="5"/>
  <c r="G27" i="1"/>
  <c r="D34" i="1" l="1"/>
  <c r="E32" i="1" s="1"/>
  <c r="I19" i="1"/>
  <c r="I18" i="1"/>
  <c r="L23" i="7"/>
  <c r="G23" i="7" s="1"/>
  <c r="I27" i="1"/>
  <c r="G7" i="1"/>
  <c r="I17" i="5"/>
  <c r="K17" i="5" s="1"/>
  <c r="K15" i="5"/>
  <c r="G17" i="1"/>
  <c r="K10" i="5"/>
  <c r="I5" i="1"/>
  <c r="I6" i="5"/>
  <c r="I20" i="5"/>
  <c r="L33" i="7" l="1"/>
  <c r="E33" i="1"/>
  <c r="I7" i="1"/>
  <c r="G33" i="7"/>
  <c r="G6" i="1"/>
  <c r="M23" i="7"/>
  <c r="G28" i="1"/>
  <c r="I11" i="5"/>
  <c r="G10" i="1"/>
  <c r="K6" i="5"/>
  <c r="I7" i="5"/>
  <c r="K7" i="5" s="1"/>
  <c r="K20" i="5"/>
  <c r="I17" i="1"/>
  <c r="G22" i="1"/>
  <c r="I22" i="1" s="1"/>
  <c r="I10" i="1" l="1"/>
  <c r="H23" i="7"/>
  <c r="M33" i="7"/>
  <c r="N23" i="7"/>
  <c r="I6" i="1"/>
  <c r="G8" i="1"/>
  <c r="I28" i="1"/>
  <c r="G29" i="1"/>
  <c r="I29" i="1" s="1"/>
  <c r="I21" i="5"/>
  <c r="K11" i="5"/>
  <c r="I12" i="5"/>
  <c r="K12" i="5" s="1"/>
  <c r="P23" i="7" l="1"/>
  <c r="N33" i="7"/>
  <c r="P33" i="7" s="1"/>
  <c r="G11" i="1"/>
  <c r="I11" i="1" s="1"/>
  <c r="I8" i="1"/>
  <c r="K21" i="5"/>
  <c r="I22" i="5"/>
  <c r="K22" i="5" s="1"/>
  <c r="H33" i="7"/>
  <c r="I23" i="7"/>
  <c r="K23" i="7" l="1"/>
  <c r="I33" i="7"/>
  <c r="K33" i="7" s="1"/>
</calcChain>
</file>

<file path=xl/sharedStrings.xml><?xml version="1.0" encoding="utf-8"?>
<sst xmlns="http://schemas.openxmlformats.org/spreadsheetml/2006/main" count="700" uniqueCount="250">
  <si>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</si>
  <si>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</si>
  <si>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</si>
  <si>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</si>
  <si>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</si>
  <si>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</si>
  <si>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</si>
  <si>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</si>
  <si>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</si>
  <si>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</si>
  <si>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</si>
  <si>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</si>
  <si>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</si>
  <si>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</si>
  <si>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</si>
  <si>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</si>
  <si>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</si>
  <si>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</si>
  <si>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</si>
  <si>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</si>
  <si>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</si>
  <si>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</si>
  <si>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</si>
  <si>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</si>
  <si>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</si>
  <si>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</si>
  <si>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</si>
  <si>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</si>
  <si>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</si>
  <si>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</si>
  <si>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</si>
  <si>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</si>
  <si>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</si>
  <si>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</si>
  <si>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</si>
  <si>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</si>
  <si>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</si>
  <si>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</si>
  <si>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</si>
  <si>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</si>
  <si>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</si>
  <si>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</si>
  <si>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</si>
  <si>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</si>
  <si>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</si>
  <si>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</si>
  <si>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</si>
  <si>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</si>
  <si>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</si>
  <si>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</si>
  <si>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</si>
  <si>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</si>
  <si>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</si>
  <si>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</si>
  <si>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</si>
  <si>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</si>
  <si>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</si>
  <si>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</si>
  <si>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</si>
  <si>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</si>
  <si>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</si>
  <si>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</si>
  <si>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</si>
  <si>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</si>
  <si>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</si>
  <si>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</si>
  <si>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</si>
  <si>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</si>
  <si>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</si>
  <si>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</si>
  <si>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</si>
  <si>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</si>
  <si>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</si>
  <si>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</si>
  <si>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</si>
  <si>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</si>
  <si>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</si>
  <si>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</si>
  <si>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</si>
  <si>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</si>
  <si>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</si>
  <si>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</si>
  <si>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</si>
  <si>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</si>
  <si>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</si>
  <si>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</si>
  <si>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</si>
  <si>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</si>
  <si>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</si>
  <si>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</si>
  <si>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</si>
  <si>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</si>
  <si>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</si>
  <si>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</si>
  <si>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</si>
  <si>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</si>
  <si>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</si>
  <si>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</si>
  <si>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</si>
  <si>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</si>
  <si>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</si>
  <si>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</si>
  <si>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</si>
  <si>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</si>
  <si>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</si>
  <si>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</si>
  <si>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</si>
  <si>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</si>
  <si>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</si>
  <si>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</si>
  <si>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</si>
  <si>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</si>
  <si>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</si>
  <si>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</si>
  <si>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</si>
  <si>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</si>
  <si>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</si>
  <si>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</si>
  <si>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</si>
  <si>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</si>
  <si>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</si>
  <si>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</si>
  <si>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</si>
  <si>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</si>
  <si>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</si>
  <si>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</si>
  <si>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</si>
  <si>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</si>
  <si>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</si>
  <si>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</si>
  <si>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</si>
  <si>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</si>
  <si>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</si>
  <si>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</si>
  <si>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</si>
  <si>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</si>
  <si>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</si>
  <si>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</si>
  <si>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</si>
  <si>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</si>
  <si>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</si>
  <si>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</si>
  <si>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</si>
  <si>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</si>
  <si>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</si>
  <si>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</si>
  <si>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</si>
  <si>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</si>
  <si>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</si>
  <si>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</si>
  <si>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</si>
  <si>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</si>
  <si>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</si>
  <si>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</si>
  <si>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</si>
  <si>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</si>
  <si>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</si>
  <si>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</si>
  <si>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</si>
  <si>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</si>
  <si>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</si>
  <si>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</si>
  <si>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</si>
  <si>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</si>
  <si>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</si>
  <si>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</si>
  <si>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</si>
  <si>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</si>
  <si>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</si>
  <si>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</si>
  <si>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</si>
  <si>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</si>
  <si>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</si>
  <si>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</si>
  <si>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</si>
  <si>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</si>
  <si>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</si>
  <si>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</si>
  <si>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</si>
  <si>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</si>
  <si>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</si>
  <si>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</si>
  <si>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</si>
  <si>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</si>
  <si>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</si>
  <si>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</si>
  <si>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</si>
  <si>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</si>
  <si>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</si>
  <si>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</si>
  <si>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</si>
  <si>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</si>
  <si>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</si>
  <si>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</si>
  <si>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</si>
  <si>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</si>
  <si>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</si>
  <si>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</si>
  <si>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</si>
  <si>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</si>
  <si>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</si>
  <si>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</si>
  <si>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</si>
  <si>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</si>
  <si>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</si>
  <si>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</si>
  <si>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</si>
  <si>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</si>
  <si>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</si>
  <si>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</si>
  <si>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</si>
  <si>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</si>
  <si>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</si>
  <si>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</si>
  <si>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</si>
  <si>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</si>
  <si>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</si>
  <si>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</si>
  <si>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</si>
  <si>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Y-T-D 2021</t>
  </si>
  <si>
    <t>Monthly Total 2021</t>
  </si>
  <si>
    <t>Total 2021</t>
  </si>
  <si>
    <t>Metric Tons 2021</t>
  </si>
  <si>
    <t>Monthly Ops 2021</t>
  </si>
  <si>
    <t>Ops YTD 2021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</si>
  <si>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</si>
  <si>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</si>
  <si>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</si>
  <si>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</si>
  <si>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</si>
  <si>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</si>
  <si>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</si>
  <si>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</si>
  <si>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</si>
  <si>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</si>
  <si>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</si>
  <si>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</si>
  <si>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</si>
  <si>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</si>
  <si>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</si>
  <si>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 xml:space="preserve">2021 YTD </t>
  </si>
  <si>
    <t>Total 2022</t>
  </si>
  <si>
    <t>Metric Tons 2022</t>
  </si>
  <si>
    <t>Monthly Ops 2022</t>
  </si>
  <si>
    <t>Ops YTD 2022</t>
  </si>
  <si>
    <t>2022 Market Share</t>
  </si>
  <si>
    <t>Current Month 2022</t>
  </si>
  <si>
    <t>YTD 2022</t>
  </si>
  <si>
    <t>Mesa -DHL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</si>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</sst>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1" xfId="0" applyNumberFormat="1" applyBorder="1"/>
    <xf numFmtId="41" fontId="0" fillId="0" borderId="78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29" fillId="11" borderId="53" xfId="0" applyNumberFormat="1" applyFont="1" applyFill="1" applyBorder="1" applyAlignment="1">
      <alignment horizontal="center" wrapText="1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ne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pril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pril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y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y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anuary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anuary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February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February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rch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1820740</v>
          </cell>
          <cell r="G5">
            <v>7515067</v>
          </cell>
        </row>
        <row r="6">
          <cell r="D6">
            <v>544561</v>
          </cell>
          <cell r="G6">
            <v>2294970</v>
          </cell>
        </row>
        <row r="7">
          <cell r="D7">
            <v>0</v>
          </cell>
          <cell r="G7">
            <v>1320</v>
          </cell>
        </row>
        <row r="10">
          <cell r="D10">
            <v>73097</v>
          </cell>
          <cell r="G10">
            <v>354743</v>
          </cell>
        </row>
        <row r="16">
          <cell r="D16">
            <v>13093</v>
          </cell>
          <cell r="G16">
            <v>67146</v>
          </cell>
        </row>
        <row r="17">
          <cell r="D17">
            <v>11359</v>
          </cell>
          <cell r="G17">
            <v>56947</v>
          </cell>
        </row>
        <row r="18">
          <cell r="D18">
            <v>0</v>
          </cell>
          <cell r="G18">
            <v>10</v>
          </cell>
        </row>
        <row r="19">
          <cell r="D19">
            <v>1445</v>
          </cell>
          <cell r="G19">
            <v>8048</v>
          </cell>
        </row>
        <row r="20">
          <cell r="D20">
            <v>1465</v>
          </cell>
          <cell r="G20">
            <v>6507</v>
          </cell>
        </row>
        <row r="21">
          <cell r="D21">
            <v>89</v>
          </cell>
          <cell r="G21">
            <v>654</v>
          </cell>
        </row>
        <row r="27">
          <cell r="D27">
            <v>18468.79533779588</v>
          </cell>
          <cell r="G27">
            <v>97556.474232147695</v>
          </cell>
        </row>
        <row r="28">
          <cell r="D28">
            <v>1837.49271183786</v>
          </cell>
          <cell r="G28">
            <v>10937.35987330987</v>
          </cell>
        </row>
        <row r="32">
          <cell r="B32">
            <v>751724</v>
          </cell>
          <cell r="D32">
            <v>3362612</v>
          </cell>
        </row>
        <row r="33">
          <cell r="B33">
            <v>420033</v>
          </cell>
          <cell r="D33">
            <v>1509830</v>
          </cell>
        </row>
      </sheetData>
      <sheetData sheetId="1"/>
      <sheetData sheetId="2"/>
      <sheetData sheetId="3"/>
      <sheetData sheetId="4"/>
      <sheetData sheetId="5">
        <row r="26">
          <cell r="D26">
            <v>42467</v>
          </cell>
          <cell r="I26">
            <v>2395931</v>
          </cell>
          <cell r="N26">
            <v>2438398</v>
          </cell>
        </row>
      </sheetData>
      <sheetData sheetId="6"/>
      <sheetData sheetId="7">
        <row r="5">
          <cell r="F5">
            <v>10590.93051509185</v>
          </cell>
          <cell r="I5">
            <v>53940.424461523602</v>
          </cell>
        </row>
        <row r="6">
          <cell r="F6">
            <v>841.66060059927997</v>
          </cell>
          <cell r="I6">
            <v>5220.3496806853691</v>
          </cell>
        </row>
        <row r="10">
          <cell r="F10">
            <v>7877.8648227040294</v>
          </cell>
          <cell r="I10">
            <v>43616.0497706241</v>
          </cell>
        </row>
        <row r="11">
          <cell r="F11">
            <v>995.83211123857996</v>
          </cell>
          <cell r="I11">
            <v>5717.0101926244997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18468.79533779588</v>
          </cell>
          <cell r="I20">
            <v>97556.474232147695</v>
          </cell>
        </row>
        <row r="21">
          <cell r="F21">
            <v>1837.49271183786</v>
          </cell>
          <cell r="I21">
            <v>10937.35987330987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82562</v>
          </cell>
          <cell r="C24">
            <v>71256</v>
          </cell>
          <cell r="L24">
            <v>1341283</v>
          </cell>
          <cell r="M24">
            <v>1257737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49936</v>
          </cell>
          <cell r="I24">
            <v>1634797</v>
          </cell>
          <cell r="N24">
            <v>1684733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31864</v>
          </cell>
          <cell r="I25">
            <v>2056407</v>
          </cell>
          <cell r="N25">
            <v>2088271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9781326</v>
          </cell>
        </row>
        <row r="6">
          <cell r="G6">
            <v>2093617</v>
          </cell>
        </row>
        <row r="7">
          <cell r="G7">
            <v>4412</v>
          </cell>
        </row>
        <row r="10">
          <cell r="G10">
            <v>337919</v>
          </cell>
        </row>
        <row r="16">
          <cell r="G16">
            <v>72126</v>
          </cell>
        </row>
        <row r="17">
          <cell r="G17">
            <v>41367</v>
          </cell>
        </row>
        <row r="18">
          <cell r="G18">
            <v>43</v>
          </cell>
        </row>
        <row r="19">
          <cell r="G19">
            <v>6552</v>
          </cell>
        </row>
        <row r="20">
          <cell r="G20">
            <v>6590</v>
          </cell>
        </row>
        <row r="21">
          <cell r="G21">
            <v>393</v>
          </cell>
        </row>
        <row r="27">
          <cell r="G27">
            <v>80558.533709984942</v>
          </cell>
        </row>
        <row r="28">
          <cell r="G28">
            <v>14504.55451336353</v>
          </cell>
        </row>
        <row r="32">
          <cell r="D32">
            <v>4135999</v>
          </cell>
        </row>
        <row r="33">
          <cell r="D33">
            <v>1783597</v>
          </cell>
        </row>
      </sheetData>
      <sheetData sheetId="1"/>
      <sheetData sheetId="2"/>
      <sheetData sheetId="3"/>
      <sheetData sheetId="4"/>
      <sheetData sheetId="5">
        <row r="25">
          <cell r="B25">
            <v>57347</v>
          </cell>
          <cell r="C25">
            <v>73929</v>
          </cell>
          <cell r="L25">
            <v>1361702</v>
          </cell>
          <cell r="M25">
            <v>1335411</v>
          </cell>
        </row>
      </sheetData>
      <sheetData sheetId="6"/>
      <sheetData sheetId="7">
        <row r="5">
          <cell r="I5">
            <v>45676.855849167383</v>
          </cell>
        </row>
        <row r="6">
          <cell r="I6">
            <v>7976.8500176472799</v>
          </cell>
        </row>
        <row r="10">
          <cell r="I10">
            <v>34881.677860817552</v>
          </cell>
        </row>
        <row r="11">
          <cell r="I11">
            <v>6527.7044957162507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80558.533709984957</v>
          </cell>
        </row>
        <row r="21">
          <cell r="I21">
            <v>14504.55451336353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Delta"/>
      <sheetName val="Sun Country"/>
      <sheetName val="Boutique Air"/>
      <sheetName val="Condor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41"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3"/>
      <sheetData sheetId="4">
        <row r="15">
          <cell r="HV15">
            <v>16</v>
          </cell>
          <cell r="HW15">
            <v>19</v>
          </cell>
        </row>
        <row r="16">
          <cell r="HV16">
            <v>16</v>
          </cell>
          <cell r="HW16">
            <v>19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</row>
        <row r="32">
          <cell r="HV32">
            <v>3072</v>
          </cell>
          <cell r="HW32">
            <v>5298</v>
          </cell>
        </row>
        <row r="33">
          <cell r="HV33">
            <v>3870</v>
          </cell>
          <cell r="HW33">
            <v>5636</v>
          </cell>
        </row>
        <row r="37">
          <cell r="HV37">
            <v>20</v>
          </cell>
          <cell r="HW37">
            <v>10</v>
          </cell>
        </row>
        <row r="38">
          <cell r="HV38">
            <v>1</v>
          </cell>
          <cell r="HW38">
            <v>6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</row>
        <row r="47">
          <cell r="HW47">
            <v>362757</v>
          </cell>
        </row>
        <row r="52">
          <cell r="HW52">
            <v>109613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</row>
      </sheetData>
      <sheetData sheetId="5">
        <row r="4">
          <cell r="HW4">
            <v>35</v>
          </cell>
        </row>
        <row r="5">
          <cell r="HW5">
            <v>35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</row>
        <row r="22">
          <cell r="HW22">
            <v>5774</v>
          </cell>
        </row>
        <row r="23">
          <cell r="HW23">
            <v>5511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7">
        <row r="4">
          <cell r="HW4">
            <v>81</v>
          </cell>
        </row>
        <row r="5">
          <cell r="HW5">
            <v>80</v>
          </cell>
        </row>
        <row r="8">
          <cell r="HW8">
            <v>1</v>
          </cell>
        </row>
        <row r="9">
          <cell r="HW9">
            <v>1</v>
          </cell>
        </row>
        <row r="19"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</row>
        <row r="22">
          <cell r="HW22">
            <v>12941</v>
          </cell>
        </row>
        <row r="23">
          <cell r="HW23">
            <v>12658</v>
          </cell>
        </row>
        <row r="27">
          <cell r="HW27">
            <v>282</v>
          </cell>
        </row>
        <row r="28">
          <cell r="HW28">
            <v>308</v>
          </cell>
        </row>
        <row r="41"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</row>
        <row r="47">
          <cell r="HW47">
            <v>16779</v>
          </cell>
        </row>
        <row r="52">
          <cell r="HW52">
            <v>12100</v>
          </cell>
        </row>
        <row r="53">
          <cell r="HW53">
            <v>227</v>
          </cell>
        </row>
        <row r="64"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</row>
      </sheetData>
      <sheetData sheetId="8"/>
      <sheetData sheetId="9">
        <row r="4">
          <cell r="HW4">
            <v>309</v>
          </cell>
        </row>
        <row r="5">
          <cell r="HW5">
            <v>308</v>
          </cell>
        </row>
        <row r="19"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</row>
        <row r="22">
          <cell r="HW22">
            <v>49032</v>
          </cell>
        </row>
        <row r="23">
          <cell r="HW23">
            <v>47800</v>
          </cell>
        </row>
        <row r="27">
          <cell r="HW27">
            <v>1264</v>
          </cell>
        </row>
        <row r="28">
          <cell r="HW28">
            <v>1487</v>
          </cell>
        </row>
        <row r="41"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</row>
        <row r="47">
          <cell r="HW47">
            <v>31448</v>
          </cell>
        </row>
        <row r="48">
          <cell r="HW48">
            <v>27459</v>
          </cell>
        </row>
        <row r="52">
          <cell r="HW52">
            <v>4347</v>
          </cell>
        </row>
        <row r="53">
          <cell r="HW53">
            <v>7543</v>
          </cell>
        </row>
        <row r="64"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</row>
      </sheetData>
      <sheetData sheetId="10"/>
      <sheetData sheetId="11">
        <row r="4">
          <cell r="HW4">
            <v>4800</v>
          </cell>
        </row>
        <row r="5">
          <cell r="HW5">
            <v>4792</v>
          </cell>
        </row>
        <row r="8">
          <cell r="HW8">
            <v>4</v>
          </cell>
        </row>
        <row r="9">
          <cell r="HW9">
            <v>16</v>
          </cell>
        </row>
        <row r="15">
          <cell r="HR15">
            <v>432</v>
          </cell>
          <cell r="HS15">
            <v>415</v>
          </cell>
          <cell r="HT15">
            <v>487</v>
          </cell>
          <cell r="HU15">
            <v>364</v>
          </cell>
          <cell r="HV15">
            <v>348</v>
          </cell>
          <cell r="HW15">
            <v>375</v>
          </cell>
        </row>
        <row r="16">
          <cell r="HR16">
            <v>435</v>
          </cell>
          <cell r="HS16">
            <v>414</v>
          </cell>
          <cell r="HT16">
            <v>488</v>
          </cell>
          <cell r="HU16">
            <v>363</v>
          </cell>
          <cell r="HV16">
            <v>348</v>
          </cell>
          <cell r="HW16">
            <v>375</v>
          </cell>
        </row>
        <row r="19"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</row>
        <row r="22">
          <cell r="HW22">
            <v>726282</v>
          </cell>
        </row>
        <row r="23">
          <cell r="HW23">
            <v>711237</v>
          </cell>
        </row>
        <row r="27">
          <cell r="HW27">
            <v>21625</v>
          </cell>
        </row>
        <row r="28">
          <cell r="HW28">
            <v>21515</v>
          </cell>
        </row>
        <row r="32">
          <cell r="HR32">
            <v>50106</v>
          </cell>
          <cell r="HS32">
            <v>50876</v>
          </cell>
          <cell r="HT32">
            <v>71091</v>
          </cell>
          <cell r="HU32">
            <v>55014</v>
          </cell>
          <cell r="HV32">
            <v>41405</v>
          </cell>
          <cell r="HW32">
            <v>62867</v>
          </cell>
        </row>
        <row r="33">
          <cell r="HR33">
            <v>48790</v>
          </cell>
          <cell r="HS33">
            <v>53187</v>
          </cell>
          <cell r="HT33">
            <v>72364</v>
          </cell>
          <cell r="HU33">
            <v>53129</v>
          </cell>
          <cell r="HV33">
            <v>56624</v>
          </cell>
          <cell r="HW33">
            <v>69080</v>
          </cell>
        </row>
        <row r="37">
          <cell r="HR37">
            <v>826</v>
          </cell>
          <cell r="HS37">
            <v>915</v>
          </cell>
          <cell r="HT37">
            <v>1037</v>
          </cell>
          <cell r="HU37">
            <v>1194</v>
          </cell>
          <cell r="HV37">
            <v>1004</v>
          </cell>
          <cell r="HW37">
            <v>1098</v>
          </cell>
        </row>
        <row r="38">
          <cell r="HR38">
            <v>816</v>
          </cell>
          <cell r="HS38">
            <v>907</v>
          </cell>
          <cell r="HT38">
            <v>1104</v>
          </cell>
          <cell r="HU38">
            <v>1267</v>
          </cell>
          <cell r="HV38">
            <v>1200</v>
          </cell>
          <cell r="HW38">
            <v>1248</v>
          </cell>
        </row>
        <row r="41"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</row>
        <row r="47">
          <cell r="HW47">
            <v>2475571</v>
          </cell>
        </row>
        <row r="48">
          <cell r="HW48">
            <v>1997620</v>
          </cell>
        </row>
        <row r="52">
          <cell r="HW52">
            <v>1665519</v>
          </cell>
        </row>
        <row r="53">
          <cell r="HW53">
            <v>1715906</v>
          </cell>
        </row>
        <row r="64"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</row>
        <row r="70">
          <cell r="HW70">
            <v>415917</v>
          </cell>
        </row>
        <row r="71">
          <cell r="HW71">
            <v>295320</v>
          </cell>
        </row>
        <row r="73">
          <cell r="HW73">
            <v>40397</v>
          </cell>
        </row>
        <row r="74">
          <cell r="HW74">
            <v>28683</v>
          </cell>
        </row>
      </sheetData>
      <sheetData sheetId="12">
        <row r="4">
          <cell r="HW4">
            <v>872</v>
          </cell>
        </row>
        <row r="5">
          <cell r="HW5">
            <v>873</v>
          </cell>
        </row>
        <row r="8">
          <cell r="HW8">
            <v>38</v>
          </cell>
        </row>
        <row r="9">
          <cell r="HW9">
            <v>36</v>
          </cell>
        </row>
        <row r="15">
          <cell r="HR15">
            <v>195</v>
          </cell>
          <cell r="HS15">
            <v>222</v>
          </cell>
          <cell r="HT15">
            <v>275</v>
          </cell>
          <cell r="HU15">
            <v>99</v>
          </cell>
          <cell r="HV15">
            <v>15</v>
          </cell>
          <cell r="HW15">
            <v>18</v>
          </cell>
        </row>
        <row r="16">
          <cell r="HR16">
            <v>189</v>
          </cell>
          <cell r="HS16">
            <v>221</v>
          </cell>
          <cell r="HT16">
            <v>278</v>
          </cell>
          <cell r="HU16">
            <v>99</v>
          </cell>
          <cell r="HV16">
            <v>15</v>
          </cell>
          <cell r="HW16">
            <v>16</v>
          </cell>
        </row>
        <row r="19"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</row>
        <row r="22">
          <cell r="HW22">
            <v>141738</v>
          </cell>
        </row>
        <row r="23">
          <cell r="HW23">
            <v>138909</v>
          </cell>
        </row>
        <row r="27">
          <cell r="HW27">
            <v>2386</v>
          </cell>
        </row>
        <row r="28">
          <cell r="HW28">
            <v>2453</v>
          </cell>
        </row>
        <row r="32">
          <cell r="HR32">
            <v>21739</v>
          </cell>
          <cell r="HS32">
            <v>26311</v>
          </cell>
          <cell r="HT32">
            <v>41426</v>
          </cell>
          <cell r="HU32">
            <v>16144</v>
          </cell>
          <cell r="HV32">
            <v>2078</v>
          </cell>
          <cell r="HW32">
            <v>2067</v>
          </cell>
        </row>
        <row r="33">
          <cell r="HR33">
            <v>20135</v>
          </cell>
          <cell r="HS33">
            <v>28201</v>
          </cell>
          <cell r="HT33">
            <v>42109</v>
          </cell>
          <cell r="HU33">
            <v>8717</v>
          </cell>
          <cell r="HV33">
            <v>1554</v>
          </cell>
          <cell r="HW33">
            <v>2273</v>
          </cell>
        </row>
        <row r="37">
          <cell r="HR37">
            <v>364</v>
          </cell>
          <cell r="HS37">
            <v>343</v>
          </cell>
          <cell r="HT37">
            <v>437</v>
          </cell>
          <cell r="HU37">
            <v>234</v>
          </cell>
          <cell r="HV37">
            <v>42</v>
          </cell>
          <cell r="HW37">
            <v>40</v>
          </cell>
        </row>
        <row r="38">
          <cell r="HR38">
            <v>327</v>
          </cell>
          <cell r="HS38">
            <v>373</v>
          </cell>
          <cell r="HT38">
            <v>452</v>
          </cell>
          <cell r="HU38">
            <v>196</v>
          </cell>
          <cell r="HV38">
            <v>44</v>
          </cell>
          <cell r="HW38">
            <v>39</v>
          </cell>
        </row>
        <row r="41"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</row>
        <row r="47">
          <cell r="HW47">
            <v>834750</v>
          </cell>
        </row>
        <row r="52">
          <cell r="HW52">
            <v>861187</v>
          </cell>
        </row>
        <row r="64"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</row>
        <row r="70">
          <cell r="HW70">
            <v>138909</v>
          </cell>
        </row>
        <row r="73">
          <cell r="HW73">
            <v>2273</v>
          </cell>
        </row>
      </sheetData>
      <sheetData sheetId="13">
        <row r="19"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41"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14">
        <row r="15">
          <cell r="HV15">
            <v>1</v>
          </cell>
          <cell r="HW15">
            <v>13</v>
          </cell>
        </row>
        <row r="16">
          <cell r="HV16">
            <v>1</v>
          </cell>
          <cell r="HW16">
            <v>13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</row>
        <row r="32">
          <cell r="HV32">
            <v>181</v>
          </cell>
          <cell r="HW32">
            <v>2383</v>
          </cell>
        </row>
        <row r="33">
          <cell r="HV33">
            <v>214</v>
          </cell>
          <cell r="HW33">
            <v>2833</v>
          </cell>
        </row>
        <row r="37">
          <cell r="HW37">
            <v>3</v>
          </cell>
        </row>
        <row r="38">
          <cell r="HW38">
            <v>11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</row>
        <row r="47">
          <cell r="HW47">
            <v>145970</v>
          </cell>
        </row>
        <row r="52">
          <cell r="HW52">
            <v>83225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</row>
      </sheetData>
      <sheetData sheetId="15">
        <row r="4">
          <cell r="HW4">
            <v>78</v>
          </cell>
        </row>
        <row r="5">
          <cell r="HW5">
            <v>78</v>
          </cell>
        </row>
        <row r="8">
          <cell r="HW8">
            <v>0</v>
          </cell>
        </row>
        <row r="9">
          <cell r="HW9">
            <v>0</v>
          </cell>
        </row>
        <row r="19"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</row>
        <row r="22">
          <cell r="HW22">
            <v>998</v>
          </cell>
        </row>
        <row r="23">
          <cell r="HW23">
            <v>925</v>
          </cell>
        </row>
        <row r="27">
          <cell r="HW27">
            <v>88</v>
          </cell>
        </row>
        <row r="28">
          <cell r="HW28">
            <v>98</v>
          </cell>
        </row>
        <row r="41"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16">
        <row r="4">
          <cell r="HW4">
            <v>30</v>
          </cell>
        </row>
        <row r="5">
          <cell r="HW5">
            <v>30</v>
          </cell>
        </row>
        <row r="15">
          <cell r="HR15">
            <v>31</v>
          </cell>
          <cell r="HS15">
            <v>28</v>
          </cell>
          <cell r="HT15">
            <v>30</v>
          </cell>
          <cell r="HU15">
            <v>10</v>
          </cell>
        </row>
        <row r="16">
          <cell r="HR16">
            <v>31</v>
          </cell>
          <cell r="HS16">
            <v>28</v>
          </cell>
          <cell r="HT16">
            <v>30</v>
          </cell>
          <cell r="HU16">
            <v>10</v>
          </cell>
        </row>
        <row r="19"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</row>
        <row r="22">
          <cell r="HW22">
            <v>5362</v>
          </cell>
        </row>
        <row r="23">
          <cell r="HW23">
            <v>4750</v>
          </cell>
        </row>
        <row r="27">
          <cell r="HW27">
            <v>40</v>
          </cell>
        </row>
        <row r="28">
          <cell r="HW28">
            <v>47</v>
          </cell>
        </row>
        <row r="32">
          <cell r="HR32">
            <v>2942</v>
          </cell>
          <cell r="HS32">
            <v>333</v>
          </cell>
          <cell r="HT32">
            <v>4628</v>
          </cell>
          <cell r="HU32">
            <v>1775</v>
          </cell>
        </row>
        <row r="33">
          <cell r="HR33">
            <v>2442</v>
          </cell>
          <cell r="HS33">
            <v>3504</v>
          </cell>
          <cell r="HT33">
            <v>4921</v>
          </cell>
          <cell r="HU33">
            <v>719</v>
          </cell>
        </row>
        <row r="37">
          <cell r="HR37">
            <v>7</v>
          </cell>
          <cell r="HS37">
            <v>12</v>
          </cell>
          <cell r="HT37">
            <v>0</v>
          </cell>
          <cell r="HU37">
            <v>2</v>
          </cell>
        </row>
        <row r="38">
          <cell r="HR38">
            <v>3</v>
          </cell>
          <cell r="HS38">
            <v>2</v>
          </cell>
          <cell r="HT38">
            <v>2</v>
          </cell>
          <cell r="HU38">
            <v>4</v>
          </cell>
        </row>
        <row r="41"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17"/>
      <sheetData sheetId="18">
        <row r="15">
          <cell r="HU15">
            <v>3</v>
          </cell>
          <cell r="HV15">
            <v>27</v>
          </cell>
          <cell r="HW15">
            <v>27</v>
          </cell>
        </row>
        <row r="16">
          <cell r="HU16">
            <v>3</v>
          </cell>
          <cell r="HV16">
            <v>27</v>
          </cell>
          <cell r="HW16">
            <v>27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</row>
        <row r="32">
          <cell r="HU32">
            <v>185</v>
          </cell>
          <cell r="HV32">
            <v>2821</v>
          </cell>
          <cell r="HW32">
            <v>4186</v>
          </cell>
        </row>
        <row r="33">
          <cell r="HU33">
            <v>330</v>
          </cell>
          <cell r="HV33">
            <v>3640</v>
          </cell>
          <cell r="HW33">
            <v>4473</v>
          </cell>
        </row>
        <row r="37">
          <cell r="HV37">
            <v>29</v>
          </cell>
          <cell r="HW37">
            <v>9</v>
          </cell>
        </row>
        <row r="38">
          <cell r="HU38">
            <v>6</v>
          </cell>
          <cell r="HV38">
            <v>35</v>
          </cell>
          <cell r="HW38">
            <v>25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</row>
        <row r="47">
          <cell r="HW47">
            <v>41746</v>
          </cell>
        </row>
        <row r="52">
          <cell r="HW52">
            <v>1774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</row>
      </sheetData>
      <sheetData sheetId="19">
        <row r="4">
          <cell r="HW4">
            <v>86</v>
          </cell>
        </row>
        <row r="5">
          <cell r="HW5">
            <v>86</v>
          </cell>
        </row>
        <row r="19"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</row>
        <row r="22">
          <cell r="HW22">
            <v>9188</v>
          </cell>
        </row>
        <row r="23">
          <cell r="HW23">
            <v>9091</v>
          </cell>
        </row>
        <row r="27">
          <cell r="HW27">
            <v>199</v>
          </cell>
        </row>
        <row r="28">
          <cell r="HW28">
            <v>208</v>
          </cell>
        </row>
        <row r="41"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20">
        <row r="4">
          <cell r="HW4">
            <v>342</v>
          </cell>
        </row>
        <row r="5">
          <cell r="HW5">
            <v>340</v>
          </cell>
        </row>
        <row r="8">
          <cell r="HW8">
            <v>2</v>
          </cell>
        </row>
        <row r="9">
          <cell r="HW9">
            <v>4</v>
          </cell>
        </row>
        <row r="19"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</row>
        <row r="22">
          <cell r="HW22">
            <v>46115</v>
          </cell>
        </row>
        <row r="23">
          <cell r="HW23">
            <v>46615</v>
          </cell>
        </row>
        <row r="27">
          <cell r="HW27">
            <v>1521</v>
          </cell>
        </row>
        <row r="28">
          <cell r="HW28">
            <v>1357</v>
          </cell>
        </row>
        <row r="41"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</row>
        <row r="47">
          <cell r="HW47">
            <v>59239</v>
          </cell>
        </row>
        <row r="48">
          <cell r="HW48">
            <v>22349</v>
          </cell>
        </row>
        <row r="52">
          <cell r="HW52">
            <v>27914</v>
          </cell>
        </row>
        <row r="53">
          <cell r="HW53">
            <v>10289</v>
          </cell>
        </row>
        <row r="64"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</row>
      </sheetData>
      <sheetData sheetId="21">
        <row r="15">
          <cell r="HR15">
            <v>14</v>
          </cell>
          <cell r="HS15">
            <v>11</v>
          </cell>
          <cell r="HT15">
            <v>14</v>
          </cell>
          <cell r="HU15">
            <v>17</v>
          </cell>
          <cell r="HV15">
            <v>18</v>
          </cell>
          <cell r="HW15">
            <v>17</v>
          </cell>
        </row>
        <row r="16">
          <cell r="HR16">
            <v>14</v>
          </cell>
          <cell r="HS16">
            <v>11</v>
          </cell>
          <cell r="HT16">
            <v>14</v>
          </cell>
          <cell r="HU16">
            <v>17</v>
          </cell>
          <cell r="HV16">
            <v>18</v>
          </cell>
          <cell r="HW16">
            <v>17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</row>
        <row r="32">
          <cell r="HR32">
            <v>2461</v>
          </cell>
          <cell r="HS32">
            <v>1608</v>
          </cell>
          <cell r="HT32">
            <v>3142</v>
          </cell>
          <cell r="HU32">
            <v>3780</v>
          </cell>
          <cell r="HV32">
            <v>3970</v>
          </cell>
          <cell r="HW32">
            <v>4142</v>
          </cell>
        </row>
        <row r="33">
          <cell r="HR33">
            <v>2013</v>
          </cell>
          <cell r="HS33">
            <v>1227</v>
          </cell>
          <cell r="HT33">
            <v>2587</v>
          </cell>
          <cell r="HU33">
            <v>2790</v>
          </cell>
          <cell r="HV33">
            <v>3895</v>
          </cell>
          <cell r="HW33">
            <v>4358</v>
          </cell>
        </row>
        <row r="37">
          <cell r="HR37">
            <v>5</v>
          </cell>
          <cell r="HS37">
            <v>4</v>
          </cell>
          <cell r="HT37">
            <v>5</v>
          </cell>
          <cell r="HU37">
            <v>21</v>
          </cell>
          <cell r="HV37">
            <v>5</v>
          </cell>
          <cell r="HW37">
            <v>14</v>
          </cell>
        </row>
        <row r="38">
          <cell r="HR38">
            <v>2</v>
          </cell>
          <cell r="HS38">
            <v>1</v>
          </cell>
          <cell r="HT38">
            <v>0</v>
          </cell>
          <cell r="HV38">
            <v>8</v>
          </cell>
          <cell r="HW38">
            <v>4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</row>
        <row r="47">
          <cell r="HW47">
            <v>321960</v>
          </cell>
        </row>
        <row r="52">
          <cell r="HW52">
            <v>32317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</row>
      </sheetData>
      <sheetData sheetId="22"/>
      <sheetData sheetId="23"/>
      <sheetData sheetId="24">
        <row r="4">
          <cell r="HW4">
            <v>548</v>
          </cell>
        </row>
        <row r="5">
          <cell r="HW5">
            <v>545</v>
          </cell>
        </row>
        <row r="19"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</row>
        <row r="22">
          <cell r="HW22">
            <v>72396</v>
          </cell>
        </row>
        <row r="23">
          <cell r="HW23">
            <v>70513</v>
          </cell>
        </row>
        <row r="27">
          <cell r="HW27">
            <v>1205</v>
          </cell>
        </row>
        <row r="28">
          <cell r="HW28">
            <v>1243</v>
          </cell>
        </row>
        <row r="41"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</row>
        <row r="47">
          <cell r="HW47">
            <v>184873</v>
          </cell>
        </row>
        <row r="52">
          <cell r="HW52">
            <v>53287</v>
          </cell>
        </row>
        <row r="64"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</row>
        <row r="70">
          <cell r="HW70">
            <v>69322</v>
          </cell>
        </row>
        <row r="71">
          <cell r="HW71">
            <v>1191</v>
          </cell>
        </row>
      </sheetData>
      <sheetData sheetId="25">
        <row r="4">
          <cell r="HW4">
            <v>89</v>
          </cell>
        </row>
        <row r="5">
          <cell r="HW5">
            <v>89</v>
          </cell>
        </row>
        <row r="19"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</row>
        <row r="22">
          <cell r="HW22">
            <v>14516</v>
          </cell>
        </row>
        <row r="23">
          <cell r="HW23">
            <v>13892</v>
          </cell>
        </row>
        <row r="27">
          <cell r="HW27">
            <v>110</v>
          </cell>
        </row>
        <row r="28">
          <cell r="HW28">
            <v>139</v>
          </cell>
        </row>
        <row r="41"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26"/>
      <sheetData sheetId="27"/>
      <sheetData sheetId="2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29">
        <row r="4">
          <cell r="HW4">
            <v>65</v>
          </cell>
        </row>
        <row r="5">
          <cell r="HW5">
            <v>66</v>
          </cell>
        </row>
        <row r="19"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</row>
        <row r="22">
          <cell r="HW22">
            <v>3130</v>
          </cell>
        </row>
        <row r="23">
          <cell r="HW23">
            <v>3230</v>
          </cell>
        </row>
        <row r="27">
          <cell r="HW27">
            <v>101</v>
          </cell>
        </row>
        <row r="28">
          <cell r="HW28">
            <v>117</v>
          </cell>
        </row>
        <row r="41"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</row>
        <row r="47">
          <cell r="HW47">
            <v>6673</v>
          </cell>
        </row>
        <row r="52">
          <cell r="HW52">
            <v>790</v>
          </cell>
        </row>
        <row r="64"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</row>
      </sheetData>
      <sheetData sheetId="30">
        <row r="4">
          <cell r="HW4">
            <v>0</v>
          </cell>
        </row>
        <row r="5">
          <cell r="HW5">
            <v>0</v>
          </cell>
        </row>
        <row r="8">
          <cell r="HW8">
            <v>1</v>
          </cell>
        </row>
        <row r="9">
          <cell r="HW9">
            <v>1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</row>
        <row r="22">
          <cell r="HW22">
            <v>44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31">
        <row r="19"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</row>
      </sheetData>
      <sheetData sheetId="32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33"/>
      <sheetData sheetId="34"/>
      <sheetData sheetId="35"/>
      <sheetData sheetId="3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</row>
      </sheetData>
      <sheetData sheetId="37"/>
      <sheetData sheetId="3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39"/>
      <sheetData sheetId="40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4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42">
        <row r="4">
          <cell r="HW4">
            <v>7</v>
          </cell>
        </row>
        <row r="5">
          <cell r="HW5">
            <v>7</v>
          </cell>
        </row>
        <row r="8">
          <cell r="HW8">
            <v>2</v>
          </cell>
        </row>
        <row r="9">
          <cell r="HW9">
            <v>1</v>
          </cell>
        </row>
        <row r="19"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</row>
        <row r="22">
          <cell r="HW22">
            <v>473</v>
          </cell>
        </row>
        <row r="23">
          <cell r="HW23">
            <v>490</v>
          </cell>
        </row>
        <row r="27">
          <cell r="HW27">
            <v>25</v>
          </cell>
        </row>
        <row r="28">
          <cell r="HW28">
            <v>31</v>
          </cell>
        </row>
        <row r="41"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43">
        <row r="15">
          <cell r="HW15">
            <v>98</v>
          </cell>
        </row>
        <row r="16">
          <cell r="HW16">
            <v>99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</row>
        <row r="32">
          <cell r="HW32">
            <v>5517</v>
          </cell>
        </row>
        <row r="33">
          <cell r="HW33">
            <v>6474</v>
          </cell>
        </row>
        <row r="37">
          <cell r="HW37">
            <v>43</v>
          </cell>
        </row>
        <row r="38">
          <cell r="HW38">
            <v>29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</row>
        <row r="47">
          <cell r="HW47">
            <v>566.70000000000005</v>
          </cell>
        </row>
        <row r="52">
          <cell r="HW52">
            <v>564.4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</row>
      </sheetData>
      <sheetData sheetId="44">
        <row r="4">
          <cell r="HW4">
            <v>54</v>
          </cell>
        </row>
        <row r="5">
          <cell r="HW5">
            <v>54</v>
          </cell>
        </row>
        <row r="19"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</row>
        <row r="22">
          <cell r="HW22">
            <v>3877</v>
          </cell>
        </row>
        <row r="23">
          <cell r="HW23">
            <v>3736</v>
          </cell>
        </row>
        <row r="27">
          <cell r="HW27">
            <v>95</v>
          </cell>
        </row>
        <row r="28">
          <cell r="HW28">
            <v>138</v>
          </cell>
        </row>
        <row r="41"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45"/>
      <sheetData sheetId="46"/>
      <sheetData sheetId="47">
        <row r="4">
          <cell r="HW4">
            <v>610</v>
          </cell>
        </row>
        <row r="5">
          <cell r="HW5">
            <v>612</v>
          </cell>
        </row>
        <row r="9">
          <cell r="HW9">
            <v>1</v>
          </cell>
        </row>
        <row r="15">
          <cell r="HR15">
            <v>19</v>
          </cell>
          <cell r="HS15">
            <v>28</v>
          </cell>
          <cell r="HT15">
            <v>31</v>
          </cell>
          <cell r="HU15">
            <v>30</v>
          </cell>
          <cell r="HV15">
            <v>47</v>
          </cell>
        </row>
        <row r="16">
          <cell r="HR16">
            <v>20</v>
          </cell>
          <cell r="HS16">
            <v>28</v>
          </cell>
          <cell r="HT16">
            <v>31</v>
          </cell>
          <cell r="HU16">
            <v>29</v>
          </cell>
          <cell r="HV16">
            <v>47</v>
          </cell>
        </row>
        <row r="19"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</row>
        <row r="22">
          <cell r="HW22">
            <v>35808</v>
          </cell>
        </row>
        <row r="23">
          <cell r="HW23">
            <v>35351</v>
          </cell>
        </row>
        <row r="27">
          <cell r="HW27">
            <v>1565</v>
          </cell>
        </row>
        <row r="28">
          <cell r="HW28">
            <v>1572</v>
          </cell>
        </row>
        <row r="32">
          <cell r="HR32">
            <v>409</v>
          </cell>
          <cell r="HS32">
            <v>1005</v>
          </cell>
          <cell r="HT32">
            <v>1447</v>
          </cell>
          <cell r="HU32">
            <v>1750</v>
          </cell>
          <cell r="HV32">
            <v>2682</v>
          </cell>
          <cell r="HW32">
            <v>591</v>
          </cell>
        </row>
        <row r="33">
          <cell r="HR33">
            <v>358</v>
          </cell>
          <cell r="HS33">
            <v>826</v>
          </cell>
          <cell r="HT33">
            <v>1437</v>
          </cell>
          <cell r="HU33">
            <v>1526</v>
          </cell>
          <cell r="HV33">
            <v>2599</v>
          </cell>
          <cell r="HW33">
            <v>607</v>
          </cell>
        </row>
        <row r="37">
          <cell r="HR37">
            <v>7</v>
          </cell>
          <cell r="HS37">
            <v>28</v>
          </cell>
          <cell r="HT37">
            <v>34</v>
          </cell>
          <cell r="HU37">
            <v>30</v>
          </cell>
          <cell r="HV37">
            <v>38</v>
          </cell>
          <cell r="HW37">
            <v>8</v>
          </cell>
        </row>
        <row r="38">
          <cell r="HR38">
            <v>2</v>
          </cell>
          <cell r="HS38">
            <v>27</v>
          </cell>
          <cell r="HT38">
            <v>28</v>
          </cell>
          <cell r="HU38">
            <v>19</v>
          </cell>
          <cell r="HV38">
            <v>57</v>
          </cell>
          <cell r="HW38">
            <v>7</v>
          </cell>
        </row>
        <row r="41"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  <row r="70">
          <cell r="HW70">
            <v>13012</v>
          </cell>
        </row>
        <row r="71">
          <cell r="HW71">
            <v>22339</v>
          </cell>
        </row>
        <row r="73">
          <cell r="HW73">
            <v>223</v>
          </cell>
        </row>
        <row r="74">
          <cell r="HW74">
            <v>384</v>
          </cell>
        </row>
      </sheetData>
      <sheetData sheetId="48">
        <row r="4">
          <cell r="HW4">
            <v>57</v>
          </cell>
        </row>
        <row r="5">
          <cell r="HW5">
            <v>57</v>
          </cell>
        </row>
        <row r="19"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</row>
        <row r="22">
          <cell r="HW22">
            <v>3928</v>
          </cell>
        </row>
        <row r="23">
          <cell r="HW23">
            <v>3653</v>
          </cell>
        </row>
        <row r="27">
          <cell r="HW27">
            <v>91</v>
          </cell>
        </row>
        <row r="28">
          <cell r="HW28">
            <v>97</v>
          </cell>
        </row>
        <row r="41"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</row>
        <row r="47">
          <cell r="HW47">
            <v>367</v>
          </cell>
        </row>
        <row r="52">
          <cell r="HW52">
            <v>17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</row>
      </sheetData>
      <sheetData sheetId="49">
        <row r="4">
          <cell r="HW4">
            <v>84</v>
          </cell>
        </row>
        <row r="5">
          <cell r="HW5">
            <v>85</v>
          </cell>
        </row>
        <row r="19"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</row>
        <row r="22">
          <cell r="HW22">
            <v>5826</v>
          </cell>
        </row>
        <row r="23">
          <cell r="HW23">
            <v>5797</v>
          </cell>
        </row>
        <row r="27">
          <cell r="HW27">
            <v>138</v>
          </cell>
        </row>
        <row r="28">
          <cell r="HW28">
            <v>142</v>
          </cell>
        </row>
        <row r="41"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</row>
        <row r="47">
          <cell r="HW47">
            <v>768</v>
          </cell>
        </row>
        <row r="64"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</row>
      </sheetData>
      <sheetData sheetId="50">
        <row r="4">
          <cell r="HW4">
            <v>20</v>
          </cell>
        </row>
        <row r="5">
          <cell r="HW5">
            <v>20</v>
          </cell>
        </row>
        <row r="8">
          <cell r="HW8">
            <v>1</v>
          </cell>
        </row>
        <row r="9">
          <cell r="HW9">
            <v>1</v>
          </cell>
        </row>
        <row r="19"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</row>
        <row r="22">
          <cell r="HW22">
            <v>1317</v>
          </cell>
        </row>
        <row r="23">
          <cell r="HW23">
            <v>1231</v>
          </cell>
        </row>
        <row r="27">
          <cell r="HW27">
            <v>37</v>
          </cell>
        </row>
        <row r="28">
          <cell r="HW28">
            <v>48</v>
          </cell>
        </row>
        <row r="41"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51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52">
        <row r="4">
          <cell r="HW4">
            <v>3060</v>
          </cell>
        </row>
        <row r="5">
          <cell r="HW5">
            <v>3058</v>
          </cell>
        </row>
        <row r="9">
          <cell r="HW9">
            <v>5</v>
          </cell>
        </row>
        <row r="15">
          <cell r="HR15">
            <v>6</v>
          </cell>
          <cell r="HT15">
            <v>3</v>
          </cell>
          <cell r="HU15">
            <v>36</v>
          </cell>
          <cell r="HV15">
            <v>0</v>
          </cell>
          <cell r="HW15">
            <v>50</v>
          </cell>
        </row>
        <row r="16">
          <cell r="HR16">
            <v>5</v>
          </cell>
          <cell r="HT16">
            <v>3</v>
          </cell>
          <cell r="HU16">
            <v>37</v>
          </cell>
          <cell r="HV16">
            <v>0</v>
          </cell>
          <cell r="HW16">
            <v>51</v>
          </cell>
        </row>
        <row r="19"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</row>
        <row r="22">
          <cell r="HW22">
            <v>162371</v>
          </cell>
        </row>
        <row r="23">
          <cell r="HW23">
            <v>163632</v>
          </cell>
        </row>
        <row r="27">
          <cell r="HW27">
            <v>4726</v>
          </cell>
        </row>
        <row r="28">
          <cell r="HW28">
            <v>4662</v>
          </cell>
        </row>
        <row r="32">
          <cell r="HR32">
            <v>364</v>
          </cell>
          <cell r="HT32">
            <v>194</v>
          </cell>
          <cell r="HU32">
            <v>2311</v>
          </cell>
          <cell r="HW32">
            <v>3052</v>
          </cell>
        </row>
        <row r="33">
          <cell r="HR33">
            <v>191</v>
          </cell>
          <cell r="HT33">
            <v>163</v>
          </cell>
          <cell r="HU33">
            <v>2425</v>
          </cell>
          <cell r="HW33">
            <v>3536</v>
          </cell>
        </row>
        <row r="37">
          <cell r="HR37">
            <v>0</v>
          </cell>
          <cell r="HT37">
            <v>1</v>
          </cell>
          <cell r="HU37">
            <v>19</v>
          </cell>
          <cell r="HW37">
            <v>57</v>
          </cell>
        </row>
        <row r="38">
          <cell r="HR38">
            <v>5</v>
          </cell>
          <cell r="HT38">
            <v>2</v>
          </cell>
          <cell r="HU38">
            <v>24</v>
          </cell>
          <cell r="HW38">
            <v>42</v>
          </cell>
        </row>
        <row r="41"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  <row r="70">
          <cell r="HW70">
            <v>60106</v>
          </cell>
        </row>
        <row r="71">
          <cell r="HW71">
            <v>103526</v>
          </cell>
        </row>
        <row r="73">
          <cell r="HW73">
            <v>1299</v>
          </cell>
        </row>
        <row r="74">
          <cell r="HW74">
            <v>2237</v>
          </cell>
        </row>
      </sheetData>
      <sheetData sheetId="53"/>
      <sheetData sheetId="54">
        <row r="4">
          <cell r="HW4">
            <v>29</v>
          </cell>
        </row>
        <row r="5">
          <cell r="HW5">
            <v>29</v>
          </cell>
        </row>
        <row r="19"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</row>
        <row r="22">
          <cell r="HW22">
            <v>1654</v>
          </cell>
        </row>
        <row r="23">
          <cell r="HW23">
            <v>1743</v>
          </cell>
        </row>
        <row r="27">
          <cell r="HW27">
            <v>70</v>
          </cell>
        </row>
        <row r="28">
          <cell r="HW28">
            <v>51</v>
          </cell>
        </row>
        <row r="41"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</row>
        <row r="47">
          <cell r="HW47">
            <v>769</v>
          </cell>
        </row>
        <row r="52">
          <cell r="HW52">
            <v>1</v>
          </cell>
        </row>
        <row r="64"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</row>
      </sheetData>
      <sheetData sheetId="55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5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5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58"/>
      <sheetData sheetId="59"/>
      <sheetData sheetId="60"/>
      <sheetData sheetId="61"/>
      <sheetData sheetId="62"/>
      <sheetData sheetId="63">
        <row r="15">
          <cell r="HS15">
            <v>1</v>
          </cell>
          <cell r="HU15">
            <v>1</v>
          </cell>
        </row>
        <row r="16">
          <cell r="HS16">
            <v>1</v>
          </cell>
          <cell r="HU16">
            <v>1</v>
          </cell>
        </row>
        <row r="32">
          <cell r="HS32">
            <v>105</v>
          </cell>
          <cell r="HU32">
            <v>103</v>
          </cell>
        </row>
        <row r="33">
          <cell r="HS33">
            <v>103</v>
          </cell>
          <cell r="HU33">
            <v>104</v>
          </cell>
          <cell r="HV33">
            <v>188</v>
          </cell>
        </row>
      </sheetData>
      <sheetData sheetId="64">
        <row r="15">
          <cell r="HT15">
            <v>1</v>
          </cell>
        </row>
        <row r="32">
          <cell r="HT32">
            <v>55</v>
          </cell>
        </row>
      </sheetData>
      <sheetData sheetId="65">
        <row r="4">
          <cell r="HW4">
            <v>32</v>
          </cell>
        </row>
        <row r="5">
          <cell r="HW5">
            <v>32</v>
          </cell>
        </row>
        <row r="19"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</row>
        <row r="47">
          <cell r="HW47">
            <v>2366067</v>
          </cell>
        </row>
        <row r="52">
          <cell r="HW52">
            <v>1521342</v>
          </cell>
        </row>
        <row r="64"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</row>
      </sheetData>
      <sheetData sheetId="66">
        <row r="4">
          <cell r="HW4">
            <v>33</v>
          </cell>
        </row>
        <row r="5">
          <cell r="HW5">
            <v>33</v>
          </cell>
        </row>
        <row r="19"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</row>
        <row r="47">
          <cell r="HW47">
            <v>696087</v>
          </cell>
        </row>
        <row r="52">
          <cell r="HW52">
            <v>819589</v>
          </cell>
        </row>
        <row r="64"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</row>
      </sheetData>
      <sheetData sheetId="67">
        <row r="4">
          <cell r="HW4">
            <v>1</v>
          </cell>
        </row>
        <row r="5">
          <cell r="HW5">
            <v>1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</row>
        <row r="47">
          <cell r="HW47">
            <v>22300</v>
          </cell>
        </row>
        <row r="52">
          <cell r="HW52">
            <v>29184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</row>
      </sheetData>
      <sheetData sheetId="68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69">
        <row r="19"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64"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70">
        <row r="4">
          <cell r="HW4">
            <v>44</v>
          </cell>
        </row>
        <row r="5">
          <cell r="HW5">
            <v>44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</row>
        <row r="47">
          <cell r="HW47">
            <v>57504</v>
          </cell>
        </row>
        <row r="52">
          <cell r="HW52">
            <v>49232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</row>
      </sheetData>
      <sheetData sheetId="71">
        <row r="12">
          <cell r="HW12">
            <v>0</v>
          </cell>
        </row>
        <row r="19"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64"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72">
        <row r="19"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64"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73">
        <row r="12">
          <cell r="HW12">
            <v>0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</row>
      </sheetData>
      <sheetData sheetId="74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75">
        <row r="4">
          <cell r="HW4">
            <v>6</v>
          </cell>
        </row>
        <row r="5">
          <cell r="HW5">
            <v>6</v>
          </cell>
        </row>
        <row r="19"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</row>
        <row r="47">
          <cell r="HW47">
            <v>111240</v>
          </cell>
        </row>
        <row r="52">
          <cell r="HW52">
            <v>27337</v>
          </cell>
        </row>
        <row r="64"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</row>
      </sheetData>
      <sheetData sheetId="7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77"/>
      <sheetData sheetId="78">
        <row r="4">
          <cell r="HW4">
            <v>131</v>
          </cell>
        </row>
        <row r="5">
          <cell r="HW5">
            <v>131</v>
          </cell>
        </row>
        <row r="19"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</row>
        <row r="47">
          <cell r="HW47">
            <v>8246542</v>
          </cell>
        </row>
        <row r="52">
          <cell r="HW52">
            <v>7502201</v>
          </cell>
        </row>
        <row r="64"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</row>
      </sheetData>
      <sheetData sheetId="79">
        <row r="4">
          <cell r="HW4">
            <v>23</v>
          </cell>
        </row>
        <row r="5">
          <cell r="HW5">
            <v>23</v>
          </cell>
        </row>
        <row r="19"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</row>
        <row r="48">
          <cell r="HW48">
            <v>53727</v>
          </cell>
        </row>
        <row r="64"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</row>
      </sheetData>
      <sheetData sheetId="80">
        <row r="4">
          <cell r="HW4">
            <v>16</v>
          </cell>
        </row>
        <row r="5">
          <cell r="HW5">
            <v>16</v>
          </cell>
        </row>
        <row r="19"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</row>
        <row r="47">
          <cell r="HW47">
            <v>68830</v>
          </cell>
        </row>
        <row r="64"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</row>
      </sheetData>
      <sheetData sheetId="81">
        <row r="4">
          <cell r="HW4">
            <v>133</v>
          </cell>
        </row>
        <row r="5">
          <cell r="HW5">
            <v>133</v>
          </cell>
        </row>
        <row r="15">
          <cell r="HW15">
            <v>17</v>
          </cell>
        </row>
        <row r="16">
          <cell r="HW16">
            <v>17</v>
          </cell>
        </row>
        <row r="19"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</row>
        <row r="47">
          <cell r="HW47">
            <v>6675912</v>
          </cell>
        </row>
        <row r="48">
          <cell r="HW48">
            <v>966809</v>
          </cell>
        </row>
        <row r="52">
          <cell r="HW52">
            <v>5613458</v>
          </cell>
        </row>
        <row r="53">
          <cell r="HW53">
            <v>603284</v>
          </cell>
        </row>
        <row r="64"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</row>
      </sheetData>
      <sheetData sheetId="82"/>
      <sheetData sheetId="83"/>
      <sheetData sheetId="84"/>
      <sheetData sheetId="85">
        <row r="4">
          <cell r="HW4">
            <v>198</v>
          </cell>
        </row>
        <row r="5">
          <cell r="HW5">
            <v>198</v>
          </cell>
        </row>
        <row r="19"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</row>
      </sheetData>
      <sheetData sheetId="86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87">
        <row r="19"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</row>
        <row r="64"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</row>
      </sheetData>
      <sheetData sheetId="88">
        <row r="4">
          <cell r="HW4">
            <v>45</v>
          </cell>
        </row>
        <row r="5">
          <cell r="HW5">
            <v>43</v>
          </cell>
        </row>
      </sheetData>
      <sheetData sheetId="89">
        <row r="4">
          <cell r="HW4">
            <v>861</v>
          </cell>
        </row>
        <row r="5">
          <cell r="HW5">
            <v>862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79230</v>
          </cell>
          <cell r="C21">
            <v>75084</v>
          </cell>
          <cell r="G21">
            <v>914675</v>
          </cell>
          <cell r="H21">
            <v>927833</v>
          </cell>
          <cell r="L21">
            <v>993905</v>
          </cell>
          <cell r="M21">
            <v>1002917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56397</v>
          </cell>
          <cell r="I21">
            <v>1054440</v>
          </cell>
          <cell r="N21">
            <v>1110837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81540</v>
          </cell>
          <cell r="C22">
            <v>88358</v>
          </cell>
          <cell r="L22">
            <v>1029511</v>
          </cell>
          <cell r="M22">
            <v>1065840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46280</v>
          </cell>
          <cell r="I22">
            <v>1076686</v>
          </cell>
          <cell r="N22">
            <v>1122966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123497</v>
          </cell>
          <cell r="C23">
            <v>125169</v>
          </cell>
          <cell r="L23">
            <v>1402075</v>
          </cell>
          <cell r="M23">
            <v>1426893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78196</v>
          </cell>
          <cell r="I23">
            <v>1642699</v>
          </cell>
          <cell r="N23">
            <v>1720895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C21" sqref="C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3" max="13" width="10.28515625" bestFit="1" customWidth="1"/>
    <col min="14" max="14" width="9.85546875" customWidth="1"/>
  </cols>
  <sheetData>
    <row r="1" spans="1:14" hidden="1" x14ac:dyDescent="0.2"/>
    <row r="2" spans="1:14" ht="12.75" customHeight="1" x14ac:dyDescent="0.2">
      <c r="A2" s="442">
        <v>44713</v>
      </c>
      <c r="B2" s="10"/>
      <c r="C2" s="10"/>
      <c r="D2" s="458" t="s">
        <v>238</v>
      </c>
      <c r="E2" s="458" t="s">
        <v>220</v>
      </c>
      <c r="F2" s="5"/>
      <c r="G2" s="5"/>
      <c r="H2" s="5"/>
      <c r="I2" s="5"/>
      <c r="J2" s="5"/>
    </row>
    <row r="3" spans="1:14" ht="13.5" thickBot="1" x14ac:dyDescent="0.25">
      <c r="A3" s="310"/>
      <c r="B3" s="5" t="s">
        <v>0</v>
      </c>
      <c r="C3" s="5" t="s">
        <v>1</v>
      </c>
      <c r="D3" s="459"/>
      <c r="E3" s="460"/>
      <c r="F3" s="5" t="s">
        <v>2</v>
      </c>
      <c r="G3" s="5" t="s">
        <v>239</v>
      </c>
      <c r="H3" s="5" t="s">
        <v>219</v>
      </c>
      <c r="I3" s="5" t="s">
        <v>2</v>
      </c>
    </row>
    <row r="4" spans="1:14" ht="12.75" customHeight="1" x14ac:dyDescent="0.25">
      <c r="A4" s="48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1" t="s">
        <v>4</v>
      </c>
      <c r="B5" s="231">
        <f>'Major Airline Stats'!K4</f>
        <v>1165285</v>
      </c>
      <c r="C5" s="10">
        <f>'Major Airline Stats'!K5</f>
        <v>1150554</v>
      </c>
      <c r="D5" s="2">
        <f>'Major Airline Stats'!K6</f>
        <v>2315839</v>
      </c>
      <c r="E5" s="2">
        <f>'[1]Monthly Summary'!D5</f>
        <v>1820740</v>
      </c>
      <c r="F5" s="3">
        <f>(D5-E5)/E5</f>
        <v>0.27192185594868018</v>
      </c>
      <c r="G5" s="2">
        <f>+'[2]Monthly Summary'!G5+D5</f>
        <v>12097165</v>
      </c>
      <c r="H5" s="2">
        <f>+'[1]Monthly Summary'!G5</f>
        <v>7515067</v>
      </c>
      <c r="I5" s="66">
        <f>(G5-H5)/H5</f>
        <v>0.60972151013424103</v>
      </c>
      <c r="J5" s="2"/>
      <c r="M5" s="2"/>
    </row>
    <row r="6" spans="1:14" x14ac:dyDescent="0.2">
      <c r="A6" s="51" t="s">
        <v>5</v>
      </c>
      <c r="B6" s="231">
        <f>'Regional Major'!M5</f>
        <v>227588</v>
      </c>
      <c r="C6" s="231">
        <f>'Regional Major'!M6</f>
        <v>229480</v>
      </c>
      <c r="D6" s="2">
        <f>B6+C6</f>
        <v>457068</v>
      </c>
      <c r="E6" s="2">
        <f>'[1]Monthly Summary'!D6</f>
        <v>544561</v>
      </c>
      <c r="F6" s="3">
        <f>(D6-E6)/E6</f>
        <v>-0.16066703271075233</v>
      </c>
      <c r="G6" s="2">
        <f>+'[2]Monthly Summary'!G6+D6</f>
        <v>2550685</v>
      </c>
      <c r="H6" s="2">
        <f>+'[1]Monthly Summary'!G6</f>
        <v>2294970</v>
      </c>
      <c r="I6" s="66">
        <f>(G6-H6)/H6</f>
        <v>0.11142411447644196</v>
      </c>
      <c r="K6" s="2"/>
    </row>
    <row r="7" spans="1:14" x14ac:dyDescent="0.2">
      <c r="A7" s="51" t="s">
        <v>6</v>
      </c>
      <c r="B7" s="2">
        <f>Charter!G5</f>
        <v>0</v>
      </c>
      <c r="C7" s="231">
        <f>Charter!G6</f>
        <v>0</v>
      </c>
      <c r="D7" s="2">
        <f>B7+C7</f>
        <v>0</v>
      </c>
      <c r="E7" s="2">
        <f>'[1]Monthly Summary'!D7</f>
        <v>0</v>
      </c>
      <c r="F7" s="3" t="e">
        <f>(D7-E7)/E7</f>
        <v>#DIV/0!</v>
      </c>
      <c r="G7" s="2">
        <f>+'[2]Monthly Summary'!G7+D7</f>
        <v>4412</v>
      </c>
      <c r="H7" s="2">
        <f>+'[1]Monthly Summary'!G7</f>
        <v>1320</v>
      </c>
      <c r="I7" s="66">
        <f>(G7-H7)/H7</f>
        <v>2.3424242424242423</v>
      </c>
      <c r="K7" s="2"/>
    </row>
    <row r="8" spans="1:14" x14ac:dyDescent="0.2">
      <c r="A8" s="53" t="s">
        <v>7</v>
      </c>
      <c r="B8" s="120">
        <f>SUM(B5:B7)</f>
        <v>1392873</v>
      </c>
      <c r="C8" s="120">
        <f>SUM(C5:C7)</f>
        <v>1380034</v>
      </c>
      <c r="D8" s="120">
        <f>SUM(D5:D7)</f>
        <v>2772907</v>
      </c>
      <c r="E8" s="120">
        <f>SUM(E5:E7)</f>
        <v>2365301</v>
      </c>
      <c r="F8" s="72">
        <f>(D8-E8)/E8</f>
        <v>0.17232732747333215</v>
      </c>
      <c r="G8" s="120">
        <f>SUM(G5:G7)</f>
        <v>14652262</v>
      </c>
      <c r="H8" s="120">
        <f>SUM(H5:H7)</f>
        <v>9811357</v>
      </c>
      <c r="I8" s="71">
        <f>(G8-H8)/H8</f>
        <v>0.49339810996582839</v>
      </c>
    </row>
    <row r="9" spans="1:14" x14ac:dyDescent="0.2">
      <c r="A9" s="51"/>
      <c r="B9" s="96"/>
      <c r="C9" s="96"/>
      <c r="D9" s="96"/>
      <c r="E9" s="96"/>
      <c r="F9" s="4"/>
      <c r="G9" s="96"/>
      <c r="H9" s="96"/>
      <c r="I9" s="66"/>
    </row>
    <row r="10" spans="1:14" x14ac:dyDescent="0.2">
      <c r="A10" s="51" t="s">
        <v>8</v>
      </c>
      <c r="B10" s="232">
        <f>'Major Airline Stats'!K9+'Regional Major'!M10</f>
        <v>36850</v>
      </c>
      <c r="C10" s="232">
        <f>'Major Airline Stats'!K10+'Regional Major'!M11</f>
        <v>37124</v>
      </c>
      <c r="D10" s="97">
        <f>SUM(B10:C10)</f>
        <v>73974</v>
      </c>
      <c r="E10" s="97">
        <f>'[1]Monthly Summary'!D10</f>
        <v>73097</v>
      </c>
      <c r="F10" s="73">
        <f>(D10-E10)/E10</f>
        <v>1.1997756405871651E-2</v>
      </c>
      <c r="G10" s="448">
        <f>+'[2]Monthly Summary'!G10+D10</f>
        <v>411893</v>
      </c>
      <c r="H10" s="448">
        <f>+'[1]Monthly Summary'!G10</f>
        <v>354743</v>
      </c>
      <c r="I10" s="76">
        <f>(G10-H10)/H10</f>
        <v>0.16110254465909124</v>
      </c>
      <c r="J10" s="170"/>
    </row>
    <row r="11" spans="1:14" ht="15.75" thickBot="1" x14ac:dyDescent="0.3">
      <c r="A11" s="52" t="s">
        <v>13</v>
      </c>
      <c r="B11" s="211">
        <f>B10+B8</f>
        <v>1429723</v>
      </c>
      <c r="C11" s="211">
        <f>C10+C8</f>
        <v>1417158</v>
      </c>
      <c r="D11" s="211">
        <f>D10+D8</f>
        <v>2846881</v>
      </c>
      <c r="E11" s="211">
        <f>E10+E8</f>
        <v>2438398</v>
      </c>
      <c r="F11" s="74">
        <f>(D11-E11)/E11</f>
        <v>0.16752105275676898</v>
      </c>
      <c r="G11" s="211">
        <f>G8+G10</f>
        <v>15064155</v>
      </c>
      <c r="H11" s="211">
        <f>H8+H10</f>
        <v>10166100</v>
      </c>
      <c r="I11" s="77">
        <f>(G11-H11)/H11</f>
        <v>0.4818027562191991</v>
      </c>
    </row>
    <row r="12" spans="1:14" ht="15" x14ac:dyDescent="0.25">
      <c r="A12" s="8"/>
      <c r="B12" s="100"/>
      <c r="C12" s="100"/>
      <c r="D12" s="100"/>
      <c r="E12" s="100"/>
      <c r="F12" s="213"/>
      <c r="G12" s="100"/>
      <c r="H12" s="100"/>
      <c r="I12" s="214"/>
      <c r="K12" s="96"/>
    </row>
    <row r="13" spans="1:14" ht="16.5" customHeight="1" x14ac:dyDescent="0.2">
      <c r="B13" s="10"/>
      <c r="C13" s="10"/>
      <c r="D13" s="458" t="s">
        <v>238</v>
      </c>
      <c r="E13" s="458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9"/>
      <c r="E14" s="460"/>
      <c r="F14" s="5" t="s">
        <v>2</v>
      </c>
      <c r="G14" s="5" t="s">
        <v>239</v>
      </c>
      <c r="H14" s="5" t="s">
        <v>219</v>
      </c>
      <c r="I14" s="5" t="s">
        <v>2</v>
      </c>
    </row>
    <row r="15" spans="1:14" ht="15" x14ac:dyDescent="0.25">
      <c r="A15" s="45" t="s">
        <v>9</v>
      </c>
      <c r="B15" s="30"/>
      <c r="C15" s="30"/>
      <c r="D15" s="30"/>
      <c r="E15" s="30"/>
      <c r="F15" s="31"/>
      <c r="G15" s="30"/>
      <c r="H15" s="30"/>
      <c r="I15" s="201"/>
    </row>
    <row r="16" spans="1:14" x14ac:dyDescent="0.2">
      <c r="A16" s="51" t="s">
        <v>4</v>
      </c>
      <c r="B16" s="240">
        <f>'Major Airline Stats'!K15+'Major Airline Stats'!K19</f>
        <v>7784</v>
      </c>
      <c r="C16" s="240">
        <f>'Major Airline Stats'!K16+'Major Airline Stats'!K20</f>
        <v>7780</v>
      </c>
      <c r="D16" s="32">
        <f t="shared" ref="D16:D21" si="0">SUM(B16:C16)</f>
        <v>15564</v>
      </c>
      <c r="E16" s="2">
        <f>'[1]Monthly Summary'!D16</f>
        <v>13093</v>
      </c>
      <c r="F16" s="75">
        <f t="shared" ref="F16:F22" si="1">(D16-E16)/E16</f>
        <v>0.18872680058046284</v>
      </c>
      <c r="G16" s="2">
        <f>+'[2]Monthly Summary'!G16+D16</f>
        <v>87690</v>
      </c>
      <c r="H16" s="2">
        <f>+'[1]Monthly Summary'!G16</f>
        <v>67146</v>
      </c>
      <c r="I16" s="202">
        <f t="shared" ref="I16:I22" si="2">(G16-H16)/H16</f>
        <v>0.30596014654633186</v>
      </c>
      <c r="M16" s="2"/>
      <c r="N16" s="96"/>
    </row>
    <row r="17" spans="1:13" x14ac:dyDescent="0.2">
      <c r="A17" s="51" t="s">
        <v>5</v>
      </c>
      <c r="B17" s="32">
        <f>'Regional Major'!M15+'Regional Major'!M18</f>
        <v>4138</v>
      </c>
      <c r="C17" s="32">
        <f>'Regional Major'!M16+'Regional Major'!M19</f>
        <v>4147</v>
      </c>
      <c r="D17" s="32">
        <f t="shared" si="0"/>
        <v>8285</v>
      </c>
      <c r="E17" s="2">
        <f>'[1]Monthly Summary'!D17</f>
        <v>11359</v>
      </c>
      <c r="F17" s="75">
        <f t="shared" si="1"/>
        <v>-0.27062241394488951</v>
      </c>
      <c r="G17" s="2">
        <f>+'[2]Monthly Summary'!G17+D17</f>
        <v>49652</v>
      </c>
      <c r="H17" s="2">
        <f>+'[1]Monthly Summary'!G17</f>
        <v>56947</v>
      </c>
      <c r="I17" s="202">
        <f t="shared" si="2"/>
        <v>-0.12810156812474757</v>
      </c>
      <c r="L17" s="2"/>
      <c r="M17" s="2"/>
    </row>
    <row r="18" spans="1:13" x14ac:dyDescent="0.2">
      <c r="A18" s="51" t="s">
        <v>10</v>
      </c>
      <c r="B18" s="32">
        <f>Charter!G10</f>
        <v>0</v>
      </c>
      <c r="C18" s="32">
        <f>Charter!G11</f>
        <v>0</v>
      </c>
      <c r="D18" s="32">
        <f t="shared" si="0"/>
        <v>0</v>
      </c>
      <c r="E18" s="2">
        <f>'[1]Monthly Summary'!D18</f>
        <v>0</v>
      </c>
      <c r="F18" s="75" t="e">
        <f t="shared" si="1"/>
        <v>#DIV/0!</v>
      </c>
      <c r="G18" s="2">
        <f>+'[2]Monthly Summary'!G18+D18</f>
        <v>43</v>
      </c>
      <c r="H18" s="2">
        <f>+'[1]Monthly Summary'!G18</f>
        <v>10</v>
      </c>
      <c r="I18" s="202">
        <f t="shared" si="2"/>
        <v>3.3</v>
      </c>
      <c r="M18" s="2"/>
    </row>
    <row r="19" spans="1:13" x14ac:dyDescent="0.2">
      <c r="A19" s="51" t="s">
        <v>11</v>
      </c>
      <c r="B19" s="32">
        <f>Cargo!S4+Cargo!S8</f>
        <v>634</v>
      </c>
      <c r="C19" s="32">
        <f>Cargo!S5+Cargo!S9</f>
        <v>634</v>
      </c>
      <c r="D19" s="32">
        <f t="shared" si="0"/>
        <v>1268</v>
      </c>
      <c r="E19" s="2">
        <f>'[1]Monthly Summary'!D19</f>
        <v>1445</v>
      </c>
      <c r="F19" s="75">
        <f t="shared" si="1"/>
        <v>-0.12249134948096886</v>
      </c>
      <c r="G19" s="2">
        <f>+'[2]Monthly Summary'!G19+D19</f>
        <v>7820</v>
      </c>
      <c r="H19" s="2">
        <f>+'[1]Monthly Summary'!G19</f>
        <v>8048</v>
      </c>
      <c r="I19" s="202">
        <f t="shared" si="2"/>
        <v>-2.8330019880715707E-2</v>
      </c>
      <c r="M19" s="2"/>
    </row>
    <row r="20" spans="1:13" x14ac:dyDescent="0.2">
      <c r="A20" s="51" t="s">
        <v>148</v>
      </c>
      <c r="B20" s="32">
        <f>'[3]General Avation'!$HW$4</f>
        <v>861</v>
      </c>
      <c r="C20" s="32">
        <f>'[3]General Avation'!$HW$5</f>
        <v>862</v>
      </c>
      <c r="D20" s="32">
        <f t="shared" si="0"/>
        <v>1723</v>
      </c>
      <c r="E20" s="2">
        <f>'[1]Monthly Summary'!D20</f>
        <v>1465</v>
      </c>
      <c r="F20" s="75">
        <f t="shared" si="1"/>
        <v>0.17610921501706484</v>
      </c>
      <c r="G20" s="2">
        <f>+'[2]Monthly Summary'!G20+D20</f>
        <v>8313</v>
      </c>
      <c r="H20" s="2">
        <f>+'[1]Monthly Summary'!G20</f>
        <v>6507</v>
      </c>
      <c r="I20" s="202">
        <f t="shared" si="2"/>
        <v>0.27754725680036885</v>
      </c>
      <c r="M20" s="2"/>
    </row>
    <row r="21" spans="1:13" ht="12.75" customHeight="1" x14ac:dyDescent="0.2">
      <c r="A21" s="51" t="s">
        <v>12</v>
      </c>
      <c r="B21" s="11">
        <f>'[3]Military '!$HW$4</f>
        <v>45</v>
      </c>
      <c r="C21" s="11">
        <f>'[3]Military '!$HW$5</f>
        <v>43</v>
      </c>
      <c r="D21" s="11">
        <f t="shared" si="0"/>
        <v>88</v>
      </c>
      <c r="E21" s="97">
        <f>'[1]Monthly Summary'!D21</f>
        <v>89</v>
      </c>
      <c r="F21" s="200">
        <f t="shared" si="1"/>
        <v>-1.1235955056179775E-2</v>
      </c>
      <c r="G21" s="448">
        <f>+'[2]Monthly Summary'!G21+D21</f>
        <v>481</v>
      </c>
      <c r="H21" s="448">
        <f>+'[1]Monthly Summary'!G21</f>
        <v>654</v>
      </c>
      <c r="I21" s="203">
        <f t="shared" si="2"/>
        <v>-0.26452599388379205</v>
      </c>
      <c r="M21" s="2"/>
    </row>
    <row r="22" spans="1:13" ht="15.75" thickBot="1" x14ac:dyDescent="0.3">
      <c r="A22" s="52" t="s">
        <v>28</v>
      </c>
      <c r="B22" s="212">
        <f>SUM(B16:B21)</f>
        <v>13462</v>
      </c>
      <c r="C22" s="212">
        <f>SUM(C16:C21)</f>
        <v>13466</v>
      </c>
      <c r="D22" s="212">
        <f>SUM(D16:D21)</f>
        <v>26928</v>
      </c>
      <c r="E22" s="212">
        <f>SUM(E16:E21)</f>
        <v>27451</v>
      </c>
      <c r="F22" s="209">
        <f t="shared" si="1"/>
        <v>-1.905212924847911E-2</v>
      </c>
      <c r="G22" s="212">
        <f>SUM(G16:G21)</f>
        <v>153999</v>
      </c>
      <c r="H22" s="212">
        <f>SUM(H16:H21)</f>
        <v>139312</v>
      </c>
      <c r="I22" s="210">
        <f t="shared" si="2"/>
        <v>0.10542523257149421</v>
      </c>
    </row>
    <row r="23" spans="1:13" x14ac:dyDescent="0.2">
      <c r="B23" s="96"/>
      <c r="C23" s="96"/>
      <c r="L23" s="2"/>
      <c r="M23" s="2"/>
    </row>
    <row r="24" spans="1:13" ht="12.75" customHeight="1" x14ac:dyDescent="0.2">
      <c r="B24" s="10"/>
      <c r="C24" s="10"/>
      <c r="D24" s="458" t="s">
        <v>238</v>
      </c>
      <c r="E24" s="458" t="s">
        <v>220</v>
      </c>
      <c r="F24" s="5"/>
      <c r="G24" s="5"/>
      <c r="H24" s="5"/>
      <c r="I24" s="5"/>
      <c r="M24" s="433"/>
    </row>
    <row r="25" spans="1:13" ht="13.5" thickBot="1" x14ac:dyDescent="0.25">
      <c r="B25" s="5" t="s">
        <v>0</v>
      </c>
      <c r="C25" s="5" t="s">
        <v>1</v>
      </c>
      <c r="D25" s="459"/>
      <c r="E25" s="460"/>
      <c r="F25" s="5" t="s">
        <v>2</v>
      </c>
      <c r="G25" s="5" t="s">
        <v>239</v>
      </c>
      <c r="H25" s="5" t="s">
        <v>219</v>
      </c>
      <c r="I25" s="5" t="s">
        <v>2</v>
      </c>
    </row>
    <row r="26" spans="1:13" ht="15" x14ac:dyDescent="0.25">
      <c r="A26" s="49" t="s">
        <v>126</v>
      </c>
      <c r="B26" s="36"/>
      <c r="C26" s="36"/>
      <c r="D26" s="36"/>
      <c r="E26" s="36"/>
      <c r="F26" s="36"/>
      <c r="G26" s="36"/>
      <c r="H26" s="36"/>
      <c r="I26" s="37"/>
      <c r="M26" s="2"/>
    </row>
    <row r="27" spans="1:13" x14ac:dyDescent="0.2">
      <c r="A27" s="46" t="s">
        <v>15</v>
      </c>
      <c r="B27" s="14">
        <f>(Cargo!S16+'Major Airline Stats'!K28+'Regional Major'!M25)*0.00045359237</f>
        <v>10309.573382196319</v>
      </c>
      <c r="C27" s="14">
        <f>(Cargo!S21+'Major Airline Stats'!K33+'Regional Major'!M30)*0.00045359237</f>
        <v>8352.9027678022067</v>
      </c>
      <c r="D27" s="14">
        <f>(SUM(B27:C27)+('Cargo Summary'!E17*0.00045359237))</f>
        <v>18662.476149998525</v>
      </c>
      <c r="E27" s="2">
        <f>'[1]Monthly Summary'!D27</f>
        <v>18468.79533779588</v>
      </c>
      <c r="F27" s="78">
        <f>(D27-E27)/E27</f>
        <v>1.0486921786733031E-2</v>
      </c>
      <c r="G27" s="2">
        <f>+'[2]Monthly Summary'!G27+D27</f>
        <v>99221.00985998346</v>
      </c>
      <c r="H27" s="2">
        <f>+'[1]Monthly Summary'!G27</f>
        <v>97556.474232147695</v>
      </c>
      <c r="I27" s="80">
        <f>(G27-H27)/H27</f>
        <v>1.7062277423790413E-2</v>
      </c>
    </row>
    <row r="28" spans="1:13" x14ac:dyDescent="0.2">
      <c r="A28" s="46" t="s">
        <v>16</v>
      </c>
      <c r="B28" s="14">
        <f>(Cargo!S17+'Major Airline Stats'!K29+'Regional Major'!M26)*0.00045359237</f>
        <v>1391.6050618346799</v>
      </c>
      <c r="C28" s="14">
        <f>(Cargo!S22+'Major Airline Stats'!K34+'Regional Major'!M31)*0.00045359237</f>
        <v>1060.15831319013</v>
      </c>
      <c r="D28" s="14">
        <f>SUM(B28:C28)</f>
        <v>2451.7633750248096</v>
      </c>
      <c r="E28" s="2">
        <f>'[1]Monthly Summary'!D28</f>
        <v>1837.49271183786</v>
      </c>
      <c r="F28" s="78">
        <f>(D28-E28)/E28</f>
        <v>0.33429828550043944</v>
      </c>
      <c r="G28" s="2">
        <f>+'[2]Monthly Summary'!G28+D28</f>
        <v>16956.317888388337</v>
      </c>
      <c r="H28" s="2">
        <f>+'[1]Monthly Summary'!G28</f>
        <v>10937.35987330987</v>
      </c>
      <c r="I28" s="80">
        <f>(G28-H28)/H28</f>
        <v>0.55031178317231388</v>
      </c>
    </row>
    <row r="29" spans="1:13" ht="15.75" thickBot="1" x14ac:dyDescent="0.3">
      <c r="A29" s="47" t="s">
        <v>62</v>
      </c>
      <c r="B29" s="39">
        <f>SUM(B27:B28)</f>
        <v>11701.178444030998</v>
      </c>
      <c r="C29" s="39">
        <f>SUM(C27:C28)</f>
        <v>9413.0610809923364</v>
      </c>
      <c r="D29" s="39">
        <f>SUM(D27:D28)</f>
        <v>21114.239525023335</v>
      </c>
      <c r="E29" s="39">
        <f>SUM(E27:E28)</f>
        <v>20306.288049633738</v>
      </c>
      <c r="F29" s="79">
        <f>(D29-E29)/E29</f>
        <v>3.9788240638306584E-2</v>
      </c>
      <c r="G29" s="39">
        <f>SUM(G27:G28)</f>
        <v>116177.3277483718</v>
      </c>
      <c r="H29" s="39">
        <f>SUM(H27:H28)</f>
        <v>108493.83410545756</v>
      </c>
      <c r="I29" s="81">
        <f>(G29-H29)/H29</f>
        <v>7.0819634187190533E-2</v>
      </c>
    </row>
    <row r="30" spans="1:13" ht="4.5" customHeight="1" thickBot="1" x14ac:dyDescent="0.3">
      <c r="A30" s="43"/>
      <c r="B30" s="311"/>
      <c r="C30" s="311"/>
      <c r="D30" s="311"/>
      <c r="E30" s="311"/>
      <c r="F30" s="213"/>
      <c r="G30" s="311"/>
      <c r="H30" s="311"/>
      <c r="I30" s="213"/>
    </row>
    <row r="31" spans="1:13" ht="13.5" thickBot="1" x14ac:dyDescent="0.25">
      <c r="B31" s="457" t="s">
        <v>144</v>
      </c>
      <c r="C31" s="456"/>
      <c r="D31" s="457" t="s">
        <v>151</v>
      </c>
      <c r="E31" s="456"/>
      <c r="F31" s="333"/>
      <c r="G31" s="334"/>
    </row>
    <row r="32" spans="1:13" x14ac:dyDescent="0.2">
      <c r="A32" s="315" t="s">
        <v>145</v>
      </c>
      <c r="B32" s="316">
        <f>C8-B33</f>
        <v>926354</v>
      </c>
      <c r="C32" s="317">
        <f>B32/C8</f>
        <v>0.67125447633898871</v>
      </c>
      <c r="D32" s="318">
        <f>+B32+'[2]Monthly Summary'!D32</f>
        <v>5062353</v>
      </c>
      <c r="E32" s="319">
        <f>+D32/D34</f>
        <v>0.69350816411242766</v>
      </c>
      <c r="G32" s="2"/>
      <c r="I32" s="332"/>
    </row>
    <row r="33" spans="1:14" ht="13.5" thickBot="1" x14ac:dyDescent="0.25">
      <c r="A33" s="320" t="s">
        <v>146</v>
      </c>
      <c r="B33" s="321">
        <f>'Major Airline Stats'!K51+'Regional Major'!M45</f>
        <v>453680</v>
      </c>
      <c r="C33" s="322">
        <f>+B33/C8</f>
        <v>0.32874552366101123</v>
      </c>
      <c r="D33" s="323">
        <f>+B33+'[2]Monthly Summary'!D33</f>
        <v>2237277</v>
      </c>
      <c r="E33" s="324">
        <f>+D33/D34</f>
        <v>0.30649183588757239</v>
      </c>
      <c r="I33" s="332"/>
    </row>
    <row r="34" spans="1:14" ht="13.5" thickBot="1" x14ac:dyDescent="0.25">
      <c r="B34" s="244"/>
      <c r="D34" s="325">
        <f>SUM(D32:D33)</f>
        <v>7299630</v>
      </c>
    </row>
    <row r="35" spans="1:14" ht="13.5" thickBot="1" x14ac:dyDescent="0.25">
      <c r="B35" s="455" t="s">
        <v>249</v>
      </c>
      <c r="C35" s="456"/>
      <c r="D35" s="457" t="s">
        <v>240</v>
      </c>
      <c r="E35" s="456"/>
    </row>
    <row r="36" spans="1:14" x14ac:dyDescent="0.2">
      <c r="A36" s="315" t="s">
        <v>145</v>
      </c>
      <c r="B36" s="316">
        <f>'[1]Monthly Summary'!$B$32</f>
        <v>751724</v>
      </c>
      <c r="C36" s="317">
        <f>+B36/B38</f>
        <v>0.64153574503928712</v>
      </c>
      <c r="D36" s="318">
        <f>+'[1]Monthly Summary'!D32</f>
        <v>3362612</v>
      </c>
      <c r="E36" s="319">
        <f>+D36/D38</f>
        <v>0.69012868701156427</v>
      </c>
    </row>
    <row r="37" spans="1:14" ht="13.5" thickBot="1" x14ac:dyDescent="0.25">
      <c r="A37" s="320" t="s">
        <v>146</v>
      </c>
      <c r="B37" s="321">
        <f>'[1]Monthly Summary'!$B$33</f>
        <v>420033</v>
      </c>
      <c r="C37" s="324">
        <f>+B37/B38</f>
        <v>0.35846425496071282</v>
      </c>
      <c r="D37" s="323">
        <f>+'[1]Monthly Summary'!D33</f>
        <v>1509830</v>
      </c>
      <c r="E37" s="324">
        <f>+D37/D38</f>
        <v>0.30987131298843579</v>
      </c>
      <c r="M37" s="1"/>
    </row>
    <row r="38" spans="1:14" x14ac:dyDescent="0.2">
      <c r="B38" s="337">
        <f>+SUM(B36:B37)</f>
        <v>1171757</v>
      </c>
      <c r="D38" s="325">
        <f>SUM(D36:D37)</f>
        <v>4872442</v>
      </c>
    </row>
    <row r="39" spans="1:14" x14ac:dyDescent="0.2">
      <c r="A39" s="329" t="s">
        <v>147</v>
      </c>
    </row>
    <row r="40" spans="1:14" x14ac:dyDescent="0.2">
      <c r="A40" s="171" t="s">
        <v>149</v>
      </c>
      <c r="I40" s="2"/>
    </row>
    <row r="41" spans="1:14" x14ac:dyDescent="0.2">
      <c r="N41" s="330"/>
    </row>
    <row r="42" spans="1:14" x14ac:dyDescent="0.2">
      <c r="G42" s="2"/>
      <c r="N42" s="330"/>
    </row>
    <row r="43" spans="1:14" x14ac:dyDescent="0.2">
      <c r="B43" s="244"/>
      <c r="J43" s="2"/>
      <c r="N43" s="330"/>
    </row>
    <row r="44" spans="1:14" x14ac:dyDescent="0.2">
      <c r="B44" s="244"/>
      <c r="N44" s="330"/>
    </row>
    <row r="45" spans="1:14" x14ac:dyDescent="0.2">
      <c r="J45" s="2"/>
      <c r="N45" s="330"/>
    </row>
    <row r="46" spans="1:14" x14ac:dyDescent="0.2">
      <c r="B46" s="2"/>
      <c r="F46" s="244"/>
    </row>
    <row r="47" spans="1:14" x14ac:dyDescent="0.2">
      <c r="N47" s="330"/>
    </row>
    <row r="51" spans="12:12" x14ac:dyDescent="0.2">
      <c r="L51" s="3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B26:I30 E4:E13 D2:D14 F2:I14 B15:I22">
    <cfRule type="expression" dxfId="3" priority="25" stopIfTrue="1">
      <formula>"*.*"</formula>
    </cfRule>
  </conditionalFormatting>
  <conditionalFormatting sqref="B13:C13">
    <cfRule type="expression" dxfId="2" priority="20" stopIfTrue="1">
      <formula>"*.*"</formula>
    </cfRule>
  </conditionalFormatting>
  <conditionalFormatting sqref="B24:C24">
    <cfRule type="expression" dxfId="1" priority="19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June 2022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zoomScaleNormal="100" zoomScaleSheetLayoutView="100" workbookViewId="0">
      <selection activeCell="B21" sqref="B2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442">
        <v>44713</v>
      </c>
      <c r="B1" s="352" t="s">
        <v>18</v>
      </c>
      <c r="C1" s="351" t="s">
        <v>195</v>
      </c>
      <c r="D1" s="400" t="s">
        <v>157</v>
      </c>
      <c r="E1" s="351" t="s">
        <v>163</v>
      </c>
      <c r="F1" s="351" t="s">
        <v>162</v>
      </c>
      <c r="G1" s="351" t="s">
        <v>49</v>
      </c>
      <c r="H1" s="351" t="s">
        <v>113</v>
      </c>
      <c r="I1" s="351" t="s">
        <v>194</v>
      </c>
      <c r="J1" s="351" t="s">
        <v>191</v>
      </c>
      <c r="K1" s="351" t="s">
        <v>196</v>
      </c>
      <c r="L1" s="351" t="s">
        <v>161</v>
      </c>
      <c r="M1" s="351" t="s">
        <v>203</v>
      </c>
      <c r="N1" s="351" t="s">
        <v>156</v>
      </c>
      <c r="O1" s="351" t="s">
        <v>47</v>
      </c>
      <c r="P1" s="351" t="s">
        <v>139</v>
      </c>
      <c r="Q1" s="351" t="s">
        <v>21</v>
      </c>
    </row>
    <row r="2" spans="1:17" ht="15" x14ac:dyDescent="0.25">
      <c r="A2" s="488" t="s">
        <v>140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90"/>
    </row>
    <row r="3" spans="1:17" x14ac:dyDescent="0.2">
      <c r="A3" s="46" t="s">
        <v>29</v>
      </c>
      <c r="Q3" s="40"/>
    </row>
    <row r="4" spans="1:17" x14ac:dyDescent="0.2">
      <c r="A4" s="46" t="s">
        <v>30</v>
      </c>
      <c r="B4" s="13">
        <f>[3]Delta!$HW$32</f>
        <v>62867</v>
      </c>
      <c r="C4" s="13">
        <f>'[3]Atlantic Southeast'!$HW$32</f>
        <v>0</v>
      </c>
      <c r="D4" s="13">
        <f>[3]Pinnacle!$HW$32</f>
        <v>591</v>
      </c>
      <c r="E4" s="13">
        <f>'[3]Sky West'!$HW$32</f>
        <v>3052</v>
      </c>
      <c r="F4" s="13">
        <f>'[3]Go Jet'!$HW$32</f>
        <v>0</v>
      </c>
      <c r="G4" s="13">
        <f>'[3]Sun Country'!$HW$32</f>
        <v>2067</v>
      </c>
      <c r="H4" s="13">
        <f>[3]Icelandair!$HW$32</f>
        <v>4186</v>
      </c>
      <c r="I4" s="13">
        <f>[3]KLM!$HW$32</f>
        <v>4142</v>
      </c>
      <c r="J4" s="13">
        <f>'[3]Air Georgian'!$HW$32</f>
        <v>0</v>
      </c>
      <c r="K4" s="13">
        <f>'[3]Sky Regional'!$HW$32</f>
        <v>0</v>
      </c>
      <c r="L4" s="13">
        <f>[3]Condor!$HW$32</f>
        <v>2383</v>
      </c>
      <c r="M4" s="13">
        <f>'[3]Aer Lingus'!$HW$32</f>
        <v>0</v>
      </c>
      <c r="N4" s="13">
        <f>'[3]Air France'!$HW$32</f>
        <v>5298</v>
      </c>
      <c r="O4" s="13">
        <f>[3]Frontier!$HW$32</f>
        <v>0</v>
      </c>
      <c r="P4" s="13">
        <f>'[3]Charter Misc'!$HW$32+[3]Ryan!$HW$32+[3]Omni!$HW$32</f>
        <v>0</v>
      </c>
      <c r="Q4" s="219">
        <f>SUM(B4:P4)</f>
        <v>84586</v>
      </c>
    </row>
    <row r="5" spans="1:17" x14ac:dyDescent="0.2">
      <c r="A5" s="46" t="s">
        <v>31</v>
      </c>
      <c r="B5" s="7">
        <f>[3]Delta!$HW$33</f>
        <v>69080</v>
      </c>
      <c r="C5" s="7">
        <f>'[3]Atlantic Southeast'!$HW$33</f>
        <v>0</v>
      </c>
      <c r="D5" s="7">
        <f>[3]Pinnacle!$HW$33</f>
        <v>607</v>
      </c>
      <c r="E5" s="7">
        <f>'[3]Sky West'!$HW$33</f>
        <v>3536</v>
      </c>
      <c r="F5" s="7">
        <f>'[3]Go Jet'!$HW$33</f>
        <v>0</v>
      </c>
      <c r="G5" s="7">
        <f>'[3]Sun Country'!$HW$33</f>
        <v>2273</v>
      </c>
      <c r="H5" s="7">
        <f>[3]Icelandair!$HW$33</f>
        <v>4473</v>
      </c>
      <c r="I5" s="7">
        <f>[3]KLM!$HW$33</f>
        <v>4358</v>
      </c>
      <c r="J5" s="7">
        <f>'[3]Air Georgian'!$HW$33</f>
        <v>0</v>
      </c>
      <c r="K5" s="7">
        <f>'[3]Sky Regional'!$HW$33</f>
        <v>0</v>
      </c>
      <c r="L5" s="7">
        <f>[3]Condor!$HW$33</f>
        <v>2833</v>
      </c>
      <c r="M5" s="7">
        <f>'[3]Aer Lingus'!$HW$33</f>
        <v>0</v>
      </c>
      <c r="N5" s="7">
        <f>'[3]Air France'!$HW$33</f>
        <v>5636</v>
      </c>
      <c r="O5" s="7">
        <f>[3]Frontier!$HW$33</f>
        <v>0</v>
      </c>
      <c r="P5" s="7">
        <f>'[3]Charter Misc'!$HW$33++[3]Ryan!$HW$33+[3]Omni!$HW$33</f>
        <v>0</v>
      </c>
      <c r="Q5" s="220">
        <f>SUM(B5:P5)</f>
        <v>92796</v>
      </c>
    </row>
    <row r="6" spans="1:17" ht="15" x14ac:dyDescent="0.25">
      <c r="A6" s="44" t="s">
        <v>7</v>
      </c>
      <c r="B6" s="25">
        <f t="shared" ref="B6:P6" si="0">SUM(B4:B5)</f>
        <v>131947</v>
      </c>
      <c r="C6" s="25">
        <f t="shared" si="0"/>
        <v>0</v>
      </c>
      <c r="D6" s="25">
        <f t="shared" si="0"/>
        <v>1198</v>
      </c>
      <c r="E6" s="25">
        <f t="shared" si="0"/>
        <v>6588</v>
      </c>
      <c r="F6" s="25">
        <f t="shared" ref="F6" si="1">SUM(F4:F5)</f>
        <v>0</v>
      </c>
      <c r="G6" s="25">
        <f t="shared" si="0"/>
        <v>4340</v>
      </c>
      <c r="H6" s="25">
        <f t="shared" si="0"/>
        <v>8659</v>
      </c>
      <c r="I6" s="25">
        <f t="shared" ref="I6" si="2">SUM(I4:I5)</f>
        <v>8500</v>
      </c>
      <c r="J6" s="25">
        <f t="shared" si="0"/>
        <v>0</v>
      </c>
      <c r="K6" s="25">
        <f t="shared" ref="K6" si="3">SUM(K4:K5)</f>
        <v>0</v>
      </c>
      <c r="L6" s="25">
        <f t="shared" ref="L6:M6" si="4">SUM(L4:L5)</f>
        <v>5216</v>
      </c>
      <c r="M6" s="25">
        <f t="shared" si="4"/>
        <v>0</v>
      </c>
      <c r="N6" s="25">
        <f t="shared" si="0"/>
        <v>10934</v>
      </c>
      <c r="O6" s="25">
        <f t="shared" si="0"/>
        <v>0</v>
      </c>
      <c r="P6" s="25">
        <f t="shared" si="0"/>
        <v>0</v>
      </c>
      <c r="Q6" s="221">
        <f>SUM(B6:P6)</f>
        <v>177382</v>
      </c>
    </row>
    <row r="7" spans="1:17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19"/>
    </row>
    <row r="8" spans="1:17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9">
        <f>SUM(B8:P8)</f>
        <v>0</v>
      </c>
    </row>
    <row r="9" spans="1:17" x14ac:dyDescent="0.2">
      <c r="A9" s="46" t="s">
        <v>30</v>
      </c>
      <c r="B9" s="13">
        <f>[3]Delta!$HW$37</f>
        <v>1098</v>
      </c>
      <c r="C9" s="13">
        <f>'[3]Atlantic Southeast'!$HW$37</f>
        <v>0</v>
      </c>
      <c r="D9" s="13">
        <f>[3]Pinnacle!$HW$37</f>
        <v>8</v>
      </c>
      <c r="E9" s="13">
        <f>'[3]Sky West'!$HW$37</f>
        <v>57</v>
      </c>
      <c r="F9" s="13">
        <f>'[3]Go Jet'!$HW$37</f>
        <v>0</v>
      </c>
      <c r="G9" s="13">
        <f>'[3]Sun Country'!$HW$37</f>
        <v>40</v>
      </c>
      <c r="H9" s="13">
        <f>[3]Icelandair!$HW$37</f>
        <v>9</v>
      </c>
      <c r="I9" s="13">
        <f>[3]KLM!$HW$37</f>
        <v>14</v>
      </c>
      <c r="J9" s="13">
        <f>'[3]Air Georgian'!$HW$37</f>
        <v>0</v>
      </c>
      <c r="K9" s="13">
        <f>'[3]Sky Regional'!$HW$37</f>
        <v>0</v>
      </c>
      <c r="L9" s="13">
        <f>[3]Condor!$HW$37</f>
        <v>3</v>
      </c>
      <c r="M9" s="13">
        <f>'[3]Aer Lingus'!$HW$37</f>
        <v>0</v>
      </c>
      <c r="N9" s="13">
        <f>'[3]Air France'!$HW$37</f>
        <v>10</v>
      </c>
      <c r="O9" s="13">
        <f>[3]Frontier!$HW$37</f>
        <v>0</v>
      </c>
      <c r="P9" s="13">
        <f>'[3]Charter Misc'!$HW$37+[3]Ryan!$HW$37+[3]Omni!$HW$37</f>
        <v>0</v>
      </c>
      <c r="Q9" s="219">
        <f>SUM(B9:P9)</f>
        <v>1239</v>
      </c>
    </row>
    <row r="10" spans="1:17" x14ac:dyDescent="0.2">
      <c r="A10" s="46" t="s">
        <v>33</v>
      </c>
      <c r="B10" s="7">
        <f>[3]Delta!$HW$38</f>
        <v>1248</v>
      </c>
      <c r="C10" s="7">
        <f>'[3]Atlantic Southeast'!$HW$38</f>
        <v>0</v>
      </c>
      <c r="D10" s="7">
        <f>[3]Pinnacle!$HW$38</f>
        <v>7</v>
      </c>
      <c r="E10" s="7">
        <f>'[3]Sky West'!$HW$38</f>
        <v>42</v>
      </c>
      <c r="F10" s="7">
        <f>'[3]Go Jet'!$HW$38</f>
        <v>0</v>
      </c>
      <c r="G10" s="7">
        <f>'[3]Sun Country'!$HW$38</f>
        <v>39</v>
      </c>
      <c r="H10" s="7">
        <f>[3]Icelandair!$HW$38</f>
        <v>25</v>
      </c>
      <c r="I10" s="7">
        <f>[3]KLM!$HW$38</f>
        <v>4</v>
      </c>
      <c r="J10" s="7">
        <f>'[3]Air Georgian'!$HW$38</f>
        <v>0</v>
      </c>
      <c r="K10" s="7">
        <f>'[3]Sky Regional'!$HW$38</f>
        <v>0</v>
      </c>
      <c r="L10" s="7">
        <f>[3]Condor!$HW$38</f>
        <v>11</v>
      </c>
      <c r="M10" s="7">
        <f>'[3]Aer Lingus'!$HW$38</f>
        <v>0</v>
      </c>
      <c r="N10" s="7">
        <f>'[3]Air France'!$HW$38</f>
        <v>6</v>
      </c>
      <c r="O10" s="7">
        <f>[3]Frontier!$HW$38</f>
        <v>0</v>
      </c>
      <c r="P10" s="7">
        <f>'[3]Charter Misc'!$HW$38+[3]Ryan!$HW$38+[3]Omni!$HW$38</f>
        <v>0</v>
      </c>
      <c r="Q10" s="220">
        <f>SUM(B10:P10)</f>
        <v>1382</v>
      </c>
    </row>
    <row r="11" spans="1:17" ht="15.75" thickBot="1" x14ac:dyDescent="0.3">
      <c r="A11" s="47" t="s">
        <v>34</v>
      </c>
      <c r="B11" s="222">
        <f t="shared" ref="B11:G11" si="5">SUM(B9:B10)</f>
        <v>2346</v>
      </c>
      <c r="C11" s="222">
        <f t="shared" si="5"/>
        <v>0</v>
      </c>
      <c r="D11" s="222">
        <f t="shared" si="5"/>
        <v>15</v>
      </c>
      <c r="E11" s="222">
        <f t="shared" si="5"/>
        <v>99</v>
      </c>
      <c r="F11" s="222">
        <f t="shared" ref="F11" si="6">SUM(F9:F10)</f>
        <v>0</v>
      </c>
      <c r="G11" s="222">
        <f t="shared" si="5"/>
        <v>79</v>
      </c>
      <c r="H11" s="222">
        <f t="shared" ref="H11:P11" si="7">SUM(H9:H10)</f>
        <v>34</v>
      </c>
      <c r="I11" s="222">
        <f t="shared" ref="I11" si="8">SUM(I9:I10)</f>
        <v>18</v>
      </c>
      <c r="J11" s="222">
        <f t="shared" si="7"/>
        <v>0</v>
      </c>
      <c r="K11" s="222">
        <f t="shared" ref="K11" si="9">SUM(K9:K10)</f>
        <v>0</v>
      </c>
      <c r="L11" s="222">
        <f t="shared" si="7"/>
        <v>14</v>
      </c>
      <c r="M11" s="222">
        <f t="shared" ref="M11" si="10">SUM(M9:M10)</f>
        <v>0</v>
      </c>
      <c r="N11" s="222">
        <f t="shared" si="7"/>
        <v>16</v>
      </c>
      <c r="O11" s="222">
        <f t="shared" si="7"/>
        <v>0</v>
      </c>
      <c r="P11" s="222">
        <f t="shared" si="7"/>
        <v>0</v>
      </c>
      <c r="Q11" s="223">
        <f>SUM(B11:P11)</f>
        <v>2621</v>
      </c>
    </row>
    <row r="12" spans="1:17" ht="15" x14ac:dyDescent="0.25">
      <c r="A12" s="309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39" thickBot="1" x14ac:dyDescent="0.25">
      <c r="B13" s="352" t="s">
        <v>18</v>
      </c>
      <c r="C13" s="351" t="s">
        <v>195</v>
      </c>
      <c r="D13" s="400" t="s">
        <v>157</v>
      </c>
      <c r="E13" s="351" t="s">
        <v>163</v>
      </c>
      <c r="F13" s="351" t="s">
        <v>162</v>
      </c>
      <c r="G13" s="351" t="s">
        <v>49</v>
      </c>
      <c r="H13" s="351" t="s">
        <v>113</v>
      </c>
      <c r="I13" s="351" t="s">
        <v>194</v>
      </c>
      <c r="J13" s="351" t="s">
        <v>191</v>
      </c>
      <c r="K13" s="351" t="s">
        <v>196</v>
      </c>
      <c r="L13" s="351" t="s">
        <v>161</v>
      </c>
      <c r="M13" s="351" t="s">
        <v>203</v>
      </c>
      <c r="N13" s="351" t="s">
        <v>156</v>
      </c>
      <c r="O13" s="351" t="s">
        <v>47</v>
      </c>
      <c r="P13" s="351" t="s">
        <v>139</v>
      </c>
      <c r="Q13" s="351" t="s">
        <v>21</v>
      </c>
    </row>
    <row r="14" spans="1:17" ht="15" x14ac:dyDescent="0.25">
      <c r="A14" s="491" t="s">
        <v>141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3"/>
    </row>
    <row r="15" spans="1:17" x14ac:dyDescent="0.2">
      <c r="A15" s="46" t="s">
        <v>29</v>
      </c>
      <c r="Q15" s="40"/>
    </row>
    <row r="16" spans="1:17" x14ac:dyDescent="0.2">
      <c r="A16" s="46" t="s">
        <v>30</v>
      </c>
      <c r="B16" s="13">
        <f>SUM([3]Delta!$HR$32:$HW$32)</f>
        <v>331359</v>
      </c>
      <c r="C16" s="13">
        <f>SUM('[3]Atlantic Southeast'!$HR$32:$HW$32)</f>
        <v>0</v>
      </c>
      <c r="D16" s="13">
        <f>SUM([3]Pinnacle!$HR$32:$HW$32)</f>
        <v>7884</v>
      </c>
      <c r="E16" s="13">
        <f>SUM('[3]Sky West'!$HR$32:$HW$32)</f>
        <v>5921</v>
      </c>
      <c r="F16" s="13">
        <f>SUM('[3]Go Jet'!$HR$32:$HW$32)</f>
        <v>0</v>
      </c>
      <c r="G16" s="13">
        <f>SUM('[3]Sun Country'!$HR$32:$HW$32)</f>
        <v>109765</v>
      </c>
      <c r="H16" s="13">
        <f>SUM([3]Icelandair!$HR$32:$HW$32)</f>
        <v>7192</v>
      </c>
      <c r="I16" s="13">
        <f>SUM([3]KLM!$HR$32:$HW$32)</f>
        <v>19103</v>
      </c>
      <c r="J16" s="13">
        <f>SUM('[3]Air Georgian'!$HR$32:$HW$32)</f>
        <v>0</v>
      </c>
      <c r="K16" s="13">
        <f>SUM('[3]Sky Regional'!$HR$32:$HW$32)</f>
        <v>0</v>
      </c>
      <c r="L16" s="13">
        <f>SUM([3]Condor!$HR$32:$HW$32)</f>
        <v>2564</v>
      </c>
      <c r="M16" s="13">
        <f>SUM('[3]Aer Lingus'!$HR$32:$HW$32)</f>
        <v>0</v>
      </c>
      <c r="N16" s="13">
        <f>SUM('[3]Air France'!$HR$32:$HW$32)</f>
        <v>8370</v>
      </c>
      <c r="O16" s="13">
        <f>SUM([3]Frontier!$HR$32:$HW$32)</f>
        <v>9678</v>
      </c>
      <c r="P16" s="13">
        <f>SUM('[3]Charter Misc'!$HR$32:$HW$32)+SUM([3]Ryan!$HR$32:$HW$32)+SUM([3]Omni!$HR$32:$HW$32)</f>
        <v>263</v>
      </c>
      <c r="Q16" s="219">
        <f>SUM(B16:P16)</f>
        <v>502099</v>
      </c>
    </row>
    <row r="17" spans="1:20" x14ac:dyDescent="0.2">
      <c r="A17" s="46" t="s">
        <v>31</v>
      </c>
      <c r="B17" s="7">
        <f>SUM([3]Delta!$HR$33:$HW$33)</f>
        <v>353174</v>
      </c>
      <c r="C17" s="7">
        <f>SUM('[3]Atlantic Southeast'!$HR$33:$HW$33)</f>
        <v>0</v>
      </c>
      <c r="D17" s="7">
        <f>SUM([3]Pinnacle!$HR$33:$HW$33)</f>
        <v>7353</v>
      </c>
      <c r="E17" s="7">
        <f>SUM('[3]Sky West'!$HR$33:$HW$33)</f>
        <v>6315</v>
      </c>
      <c r="F17" s="7">
        <f>SUM('[3]Go Jet'!$HR$33:$HW$33)</f>
        <v>0</v>
      </c>
      <c r="G17" s="7">
        <f>SUM('[3]Sun Country'!$HR$33:$HW$33)</f>
        <v>102989</v>
      </c>
      <c r="H17" s="7">
        <f>SUM([3]Icelandair!$HR$33:$HW$33)</f>
        <v>8443</v>
      </c>
      <c r="I17" s="7">
        <f>SUM([3]KLM!$HR$33:$HW$33)</f>
        <v>16870</v>
      </c>
      <c r="J17" s="7">
        <f>SUM('[3]Air Georgian'!$HR$33:$HW$33)</f>
        <v>0</v>
      </c>
      <c r="K17" s="7">
        <f>SUM('[3]Sky Regional'!$HR$33:$HW$33)</f>
        <v>0</v>
      </c>
      <c r="L17" s="7">
        <f>SUM([3]Condor!$HR$33:$HW$33)</f>
        <v>3047</v>
      </c>
      <c r="M17" s="7">
        <f>SUM('[3]Aer Lingus'!$HR$33:$HW$33)</f>
        <v>0</v>
      </c>
      <c r="N17" s="7">
        <f>SUM('[3]Air France'!$HR$33:$HW$33)</f>
        <v>9506</v>
      </c>
      <c r="O17" s="7">
        <f>SUM([3]Frontier!$HR$33:$HW$33)</f>
        <v>11586</v>
      </c>
      <c r="P17" s="7">
        <f>SUM('[3]Charter Misc'!$HR$33:$HW$33)++SUM([3]Ryan!$HR$33:$HW$33)+SUM([3]Omni!$HR$33:$HW$33)</f>
        <v>395</v>
      </c>
      <c r="Q17" s="220">
        <f>SUM(B17:P17)</f>
        <v>519678</v>
      </c>
    </row>
    <row r="18" spans="1:20" ht="15" x14ac:dyDescent="0.25">
      <c r="A18" s="44" t="s">
        <v>7</v>
      </c>
      <c r="B18" s="25">
        <f t="shared" ref="B18:P18" si="11">SUM(B16:B17)</f>
        <v>684533</v>
      </c>
      <c r="C18" s="25">
        <f t="shared" si="11"/>
        <v>0</v>
      </c>
      <c r="D18" s="25">
        <f t="shared" si="11"/>
        <v>15237</v>
      </c>
      <c r="E18" s="25">
        <f t="shared" si="11"/>
        <v>12236</v>
      </c>
      <c r="F18" s="25">
        <f t="shared" ref="F18" si="12">SUM(F16:F17)</f>
        <v>0</v>
      </c>
      <c r="G18" s="25">
        <f t="shared" si="11"/>
        <v>212754</v>
      </c>
      <c r="H18" s="25">
        <f t="shared" si="11"/>
        <v>15635</v>
      </c>
      <c r="I18" s="25">
        <f t="shared" ref="I18" si="13">SUM(I16:I17)</f>
        <v>35973</v>
      </c>
      <c r="J18" s="25">
        <f t="shared" si="11"/>
        <v>0</v>
      </c>
      <c r="K18" s="25">
        <f t="shared" ref="K18" si="14">SUM(K16:K17)</f>
        <v>0</v>
      </c>
      <c r="L18" s="25">
        <f t="shared" ref="L18:M18" si="15">SUM(L16:L17)</f>
        <v>5611</v>
      </c>
      <c r="M18" s="25">
        <f t="shared" si="15"/>
        <v>0</v>
      </c>
      <c r="N18" s="25">
        <f t="shared" si="11"/>
        <v>17876</v>
      </c>
      <c r="O18" s="25">
        <f t="shared" si="11"/>
        <v>21264</v>
      </c>
      <c r="P18" s="25">
        <f t="shared" si="11"/>
        <v>658</v>
      </c>
      <c r="Q18" s="221">
        <f>SUM(B18:P18)</f>
        <v>1021777</v>
      </c>
      <c r="T18" s="244"/>
    </row>
    <row r="19" spans="1:20" x14ac:dyDescent="0.2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9"/>
      <c r="T19" s="96"/>
    </row>
    <row r="20" spans="1:20" x14ac:dyDescent="0.2">
      <c r="A20" s="46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9">
        <f>SUM(B20:P20)</f>
        <v>0</v>
      </c>
    </row>
    <row r="21" spans="1:20" x14ac:dyDescent="0.2">
      <c r="A21" s="46" t="s">
        <v>30</v>
      </c>
      <c r="B21" s="13">
        <f>SUM([3]Delta!$HR$37:$HW$37)</f>
        <v>6074</v>
      </c>
      <c r="C21" s="13">
        <f>SUM('[3]Atlantic Southeast'!$HR$37:$HW$37)</f>
        <v>0</v>
      </c>
      <c r="D21" s="13">
        <f>SUM([3]Pinnacle!$HR$37:$HW$37)</f>
        <v>145</v>
      </c>
      <c r="E21" s="13">
        <f>SUM('[3]Sky West'!$HR$37:$HW$37)</f>
        <v>77</v>
      </c>
      <c r="F21" s="13">
        <f>SUM('[3]Go Jet'!$HR$37:$HW$37)</f>
        <v>0</v>
      </c>
      <c r="G21" s="13">
        <f>SUM('[3]Sun Country'!$HR$37:$HW$37)</f>
        <v>1460</v>
      </c>
      <c r="H21" s="13">
        <f>SUM([3]Icelandair!$HR$37:$HW$37)</f>
        <v>38</v>
      </c>
      <c r="I21" s="13">
        <f>SUM([3]KLM!$HR$37:$HW$37)</f>
        <v>54</v>
      </c>
      <c r="J21" s="13">
        <f>SUM('[3]Air Georgian'!$HR$37:$HW$37)</f>
        <v>0</v>
      </c>
      <c r="K21" s="13">
        <f>SUM('[3]Sky Regional'!$HR$37:$HW$37)</f>
        <v>0</v>
      </c>
      <c r="L21" s="13">
        <f>SUM([3]Condor!$HR$37:$HW$37)</f>
        <v>3</v>
      </c>
      <c r="M21" s="13">
        <f>SUM('[3]Aer Lingus'!$HR$37:$HW$37)</f>
        <v>0</v>
      </c>
      <c r="N21" s="13">
        <f>SUM('[3]Air France'!$HR$37:$HW$37)</f>
        <v>30</v>
      </c>
      <c r="O21" s="13">
        <f>SUM([3]Frontier!$HR$37:$HW$37)</f>
        <v>21</v>
      </c>
      <c r="P21" s="13">
        <f>SUM('[3]Charter Misc'!$HR$37:$HW$37)++SUM([3]Ryan!$HR$37:$HW$37)+SUM([3]Omni!$HR$37:$HW$37)</f>
        <v>0</v>
      </c>
      <c r="Q21" s="219">
        <f>SUM(B21:P21)</f>
        <v>7902</v>
      </c>
    </row>
    <row r="22" spans="1:20" x14ac:dyDescent="0.2">
      <c r="A22" s="46" t="s">
        <v>33</v>
      </c>
      <c r="B22" s="7">
        <f>SUM([3]Delta!$HR$38:$HW$38)</f>
        <v>6542</v>
      </c>
      <c r="C22" s="7">
        <f>SUM('[3]Atlantic Southeast'!$HR$38:$HW$38)</f>
        <v>0</v>
      </c>
      <c r="D22" s="7">
        <f>SUM([3]Pinnacle!$HR$38:$HW$38)</f>
        <v>140</v>
      </c>
      <c r="E22" s="7">
        <f>SUM('[3]Sky West'!$HR$38:$HW$38)</f>
        <v>73</v>
      </c>
      <c r="F22" s="7">
        <f>SUM('[3]Go Jet'!$HR$38:$HW$38)</f>
        <v>0</v>
      </c>
      <c r="G22" s="7">
        <f>SUM('[3]Sun Country'!$HR$38:$HW$38)</f>
        <v>1431</v>
      </c>
      <c r="H22" s="7">
        <f>SUM([3]Icelandair!$HR$38:$HW$38)</f>
        <v>66</v>
      </c>
      <c r="I22" s="7">
        <f>SUM([3]KLM!$HR$38:$HW$38)</f>
        <v>15</v>
      </c>
      <c r="J22" s="7">
        <f>SUM('[3]Air Georgian'!$HR$38:$HW$38)</f>
        <v>0</v>
      </c>
      <c r="K22" s="7">
        <f>SUM('[3]Sky Regional'!$HR$38:$HW$38)</f>
        <v>0</v>
      </c>
      <c r="L22" s="7">
        <f>SUM([3]Condor!$HR$38:$HW$38)</f>
        <v>11</v>
      </c>
      <c r="M22" s="7">
        <f>SUM('[3]Aer Lingus'!$HR$38:$HW$38)</f>
        <v>0</v>
      </c>
      <c r="N22" s="7">
        <f>SUM('[3]Air France'!$HR$38:$HW$38)</f>
        <v>7</v>
      </c>
      <c r="O22" s="7">
        <f>SUM([3]Frontier!$HR$38:$HW$38)</f>
        <v>11</v>
      </c>
      <c r="P22" s="7">
        <f>SUM('[3]Charter Misc'!$HR$38:$HW$38)++SUM([3]Ryan!$HR$38:$HW$38)+SUM([3]Omni!$HR$38:$HW$38)</f>
        <v>0</v>
      </c>
      <c r="Q22" s="220">
        <f>SUM(B22:P22)</f>
        <v>8296</v>
      </c>
    </row>
    <row r="23" spans="1:20" ht="15.75" thickBot="1" x14ac:dyDescent="0.3">
      <c r="A23" s="47" t="s">
        <v>34</v>
      </c>
      <c r="B23" s="222">
        <f t="shared" ref="B23:P23" si="16">SUM(B21:B22)</f>
        <v>12616</v>
      </c>
      <c r="C23" s="222">
        <f t="shared" si="16"/>
        <v>0</v>
      </c>
      <c r="D23" s="222">
        <f t="shared" si="16"/>
        <v>285</v>
      </c>
      <c r="E23" s="222">
        <f t="shared" si="16"/>
        <v>150</v>
      </c>
      <c r="F23" s="222">
        <f t="shared" ref="F23" si="17">SUM(F21:F22)</f>
        <v>0</v>
      </c>
      <c r="G23" s="222">
        <f t="shared" si="16"/>
        <v>2891</v>
      </c>
      <c r="H23" s="222">
        <f t="shared" si="16"/>
        <v>104</v>
      </c>
      <c r="I23" s="222">
        <f t="shared" ref="I23" si="18">SUM(I21:I22)</f>
        <v>69</v>
      </c>
      <c r="J23" s="222">
        <f t="shared" si="16"/>
        <v>0</v>
      </c>
      <c r="K23" s="222">
        <f t="shared" ref="K23" si="19">SUM(K21:K22)</f>
        <v>0</v>
      </c>
      <c r="L23" s="222">
        <f t="shared" ref="L23:M23" si="20">SUM(L21:L22)</f>
        <v>14</v>
      </c>
      <c r="M23" s="222">
        <f t="shared" si="20"/>
        <v>0</v>
      </c>
      <c r="N23" s="222">
        <f t="shared" si="16"/>
        <v>37</v>
      </c>
      <c r="O23" s="222">
        <f t="shared" si="16"/>
        <v>32</v>
      </c>
      <c r="P23" s="222">
        <f t="shared" si="16"/>
        <v>0</v>
      </c>
      <c r="Q23" s="223">
        <f>SUM(B23:P23)</f>
        <v>16198</v>
      </c>
    </row>
    <row r="25" spans="1:20" ht="39" thickBot="1" x14ac:dyDescent="0.25">
      <c r="B25" s="352" t="s">
        <v>18</v>
      </c>
      <c r="C25" s="351" t="s">
        <v>195</v>
      </c>
      <c r="D25" s="400" t="s">
        <v>157</v>
      </c>
      <c r="E25" s="351" t="s">
        <v>163</v>
      </c>
      <c r="F25" s="351" t="s">
        <v>162</v>
      </c>
      <c r="G25" s="351" t="s">
        <v>49</v>
      </c>
      <c r="H25" s="351" t="s">
        <v>113</v>
      </c>
      <c r="I25" s="351" t="s">
        <v>194</v>
      </c>
      <c r="J25" s="351" t="s">
        <v>191</v>
      </c>
      <c r="K25" s="351" t="s">
        <v>196</v>
      </c>
      <c r="L25" s="351" t="s">
        <v>161</v>
      </c>
      <c r="M25" s="351" t="s">
        <v>203</v>
      </c>
      <c r="N25" s="351" t="s">
        <v>156</v>
      </c>
      <c r="O25" s="351" t="s">
        <v>47</v>
      </c>
      <c r="P25" s="351" t="s">
        <v>139</v>
      </c>
      <c r="Q25" s="351" t="s">
        <v>21</v>
      </c>
    </row>
    <row r="26" spans="1:20" ht="15" x14ac:dyDescent="0.25">
      <c r="A26" s="494" t="s">
        <v>142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6"/>
    </row>
    <row r="27" spans="1:20" x14ac:dyDescent="0.2">
      <c r="A27" s="46" t="s">
        <v>22</v>
      </c>
      <c r="B27" s="13">
        <f>[3]Delta!$HW$15</f>
        <v>375</v>
      </c>
      <c r="C27" s="13">
        <f>'[3]Atlantic Southeast'!$HW$15</f>
        <v>0</v>
      </c>
      <c r="D27" s="13">
        <f>[3]Pinnacle!$HW$15</f>
        <v>0</v>
      </c>
      <c r="E27" s="13">
        <f>'[3]Sky West'!$HW$15</f>
        <v>50</v>
      </c>
      <c r="F27" s="13">
        <f>'[3]Go Jet'!$HW$15</f>
        <v>0</v>
      </c>
      <c r="G27" s="13">
        <f>'[3]Sun Country'!$HW$15</f>
        <v>18</v>
      </c>
      <c r="H27" s="13">
        <f>[3]Icelandair!$HW$15</f>
        <v>27</v>
      </c>
      <c r="I27" s="13">
        <f>[3]KLM!$HW$15</f>
        <v>17</v>
      </c>
      <c r="J27" s="13">
        <f>'[3]Air Georgian'!$HW$15</f>
        <v>0</v>
      </c>
      <c r="K27" s="13">
        <f>'[3]Sky Regional'!$HW$15</f>
        <v>0</v>
      </c>
      <c r="L27" s="13">
        <f>[3]Condor!$HW$15</f>
        <v>13</v>
      </c>
      <c r="M27" s="13">
        <f>'[3]Aer Lingus'!$HW$15</f>
        <v>0</v>
      </c>
      <c r="N27" s="13">
        <f>'[3]Air France'!$HW$15</f>
        <v>19</v>
      </c>
      <c r="O27" s="13">
        <f>[3]Frontier!$HW$15</f>
        <v>0</v>
      </c>
      <c r="P27" s="13">
        <f>'[3]Charter Misc'!$HW$15+[3]Ryan!$HW$15+[3]Omni!$HW$15</f>
        <v>0</v>
      </c>
      <c r="Q27" s="219">
        <f>SUM(B27:P27)</f>
        <v>519</v>
      </c>
    </row>
    <row r="28" spans="1:20" x14ac:dyDescent="0.2">
      <c r="A28" s="46" t="s">
        <v>23</v>
      </c>
      <c r="B28" s="13">
        <f>[3]Delta!$HW$16</f>
        <v>375</v>
      </c>
      <c r="C28" s="13">
        <f>'[3]Atlantic Southeast'!$HW$16</f>
        <v>0</v>
      </c>
      <c r="D28" s="13">
        <f>[3]Pinnacle!$HW$16</f>
        <v>0</v>
      </c>
      <c r="E28" s="13">
        <f>'[3]Sky West'!$HW$16</f>
        <v>51</v>
      </c>
      <c r="F28" s="13">
        <f>'[3]Go Jet'!$HW$16</f>
        <v>0</v>
      </c>
      <c r="G28" s="13">
        <f>'[3]Sun Country'!$HW$16</f>
        <v>16</v>
      </c>
      <c r="H28" s="13">
        <f>[3]Icelandair!$HW$16</f>
        <v>27</v>
      </c>
      <c r="I28" s="13">
        <f>[3]KLM!$HW$16</f>
        <v>17</v>
      </c>
      <c r="J28" s="13">
        <f>'[3]Air Georgian'!$HW$16</f>
        <v>0</v>
      </c>
      <c r="K28" s="13">
        <f>'[3]Sky Regional'!$HW$16</f>
        <v>0</v>
      </c>
      <c r="L28" s="13">
        <f>[3]Condor!$HW$16</f>
        <v>13</v>
      </c>
      <c r="M28" s="13">
        <f>'[3]Aer Lingus'!$HW$16</f>
        <v>0</v>
      </c>
      <c r="N28" s="13">
        <f>'[3]Air France'!$HW$16</f>
        <v>19</v>
      </c>
      <c r="O28" s="13">
        <f>[3]Frontier!$HW$16</f>
        <v>0</v>
      </c>
      <c r="P28" s="13">
        <f>'[3]Charter Misc'!$HW$16+[3]Ryan!$HW$16+[3]Omni!$HW$16</f>
        <v>0</v>
      </c>
      <c r="Q28" s="219">
        <f>SUM(B28:P28)</f>
        <v>518</v>
      </c>
    </row>
    <row r="29" spans="1:20" x14ac:dyDescent="0.2">
      <c r="A29" s="4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19"/>
    </row>
    <row r="30" spans="1:20" ht="15.75" thickBot="1" x14ac:dyDescent="0.3">
      <c r="A30" s="47" t="s">
        <v>28</v>
      </c>
      <c r="B30" s="307">
        <f t="shared" ref="B30:J30" si="21">SUM(B27:B28)</f>
        <v>750</v>
      </c>
      <c r="C30" s="307">
        <f t="shared" si="21"/>
        <v>0</v>
      </c>
      <c r="D30" s="307">
        <f t="shared" si="21"/>
        <v>0</v>
      </c>
      <c r="E30" s="307">
        <f>SUM(E27:E28)</f>
        <v>101</v>
      </c>
      <c r="F30" s="307">
        <f>SUM(F27:F28)</f>
        <v>0</v>
      </c>
      <c r="G30" s="307">
        <f t="shared" si="21"/>
        <v>34</v>
      </c>
      <c r="H30" s="307">
        <f t="shared" si="21"/>
        <v>54</v>
      </c>
      <c r="I30" s="307">
        <f t="shared" ref="I30" si="22">SUM(I27:I28)</f>
        <v>34</v>
      </c>
      <c r="J30" s="307">
        <f t="shared" si="21"/>
        <v>0</v>
      </c>
      <c r="K30" s="307">
        <f t="shared" ref="K30" si="23">SUM(K27:K28)</f>
        <v>0</v>
      </c>
      <c r="L30" s="307">
        <f>SUM(L27:L28)</f>
        <v>26</v>
      </c>
      <c r="M30" s="307">
        <f>SUM(M27:M28)</f>
        <v>0</v>
      </c>
      <c r="N30" s="307">
        <f>SUM(N27:N28)</f>
        <v>38</v>
      </c>
      <c r="O30" s="307">
        <f t="shared" ref="O30" si="24">SUM(O27:O28)</f>
        <v>0</v>
      </c>
      <c r="P30" s="307">
        <f>SUM(P27:P28)</f>
        <v>0</v>
      </c>
      <c r="Q30" s="308">
        <f>SUM(B30:P30)</f>
        <v>1037</v>
      </c>
    </row>
    <row r="31" spans="1:20" ht="15" x14ac:dyDescent="0.25">
      <c r="A31" s="309"/>
    </row>
    <row r="32" spans="1:20" ht="39" thickBot="1" x14ac:dyDescent="0.25">
      <c r="B32" s="352" t="s">
        <v>18</v>
      </c>
      <c r="C32" s="351" t="s">
        <v>195</v>
      </c>
      <c r="D32" s="400" t="s">
        <v>157</v>
      </c>
      <c r="E32" s="351" t="s">
        <v>163</v>
      </c>
      <c r="F32" s="351" t="s">
        <v>162</v>
      </c>
      <c r="G32" s="351" t="s">
        <v>49</v>
      </c>
      <c r="H32" s="351" t="s">
        <v>113</v>
      </c>
      <c r="I32" s="351" t="s">
        <v>194</v>
      </c>
      <c r="J32" s="351" t="s">
        <v>191</v>
      </c>
      <c r="K32" s="351" t="s">
        <v>196</v>
      </c>
      <c r="L32" s="351" t="s">
        <v>161</v>
      </c>
      <c r="M32" s="351" t="s">
        <v>203</v>
      </c>
      <c r="N32" s="351" t="s">
        <v>156</v>
      </c>
      <c r="O32" s="351" t="s">
        <v>47</v>
      </c>
      <c r="P32" s="351" t="s">
        <v>139</v>
      </c>
      <c r="Q32" s="351" t="s">
        <v>21</v>
      </c>
    </row>
    <row r="33" spans="1:17" ht="15" x14ac:dyDescent="0.25">
      <c r="A33" s="497" t="s">
        <v>143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9"/>
    </row>
    <row r="34" spans="1:17" x14ac:dyDescent="0.2">
      <c r="A34" s="46" t="s">
        <v>22</v>
      </c>
      <c r="B34" s="13">
        <f>SUM([3]Delta!$HR$15:$HW$15)</f>
        <v>2421</v>
      </c>
      <c r="C34" s="13">
        <f>SUM('[3]Atlantic Southeast'!$HR$15:$HW$15)</f>
        <v>0</v>
      </c>
      <c r="D34" s="13">
        <f>SUM([3]Pinnacle!$HR$15:$HW$15)</f>
        <v>155</v>
      </c>
      <c r="E34" s="13">
        <f>SUM('[3]Sky West'!$HR$15:$HW$15)</f>
        <v>95</v>
      </c>
      <c r="F34" s="13">
        <f>SUM('[3]Go Jet'!$HR$15:$HW$15)</f>
        <v>0</v>
      </c>
      <c r="G34" s="13">
        <f>SUM('[3]Sun Country'!$HR$15:$HW$15)</f>
        <v>824</v>
      </c>
      <c r="H34" s="13">
        <f>SUM([3]Icelandair!$HR$15:$HW$15)</f>
        <v>57</v>
      </c>
      <c r="I34" s="13">
        <f>SUM([3]KLM!$HR$15:$HW$15)</f>
        <v>91</v>
      </c>
      <c r="J34" s="13">
        <f>SUM('[3]Air Georgian'!$HR$15:$HW$15)</f>
        <v>0</v>
      </c>
      <c r="K34" s="13">
        <f>SUM('[3]Sky Regional'!$HR$15:$HW$15)</f>
        <v>0</v>
      </c>
      <c r="L34" s="13">
        <f>SUM([3]Condor!$HR$15:$HW$15)</f>
        <v>14</v>
      </c>
      <c r="M34" s="13">
        <f>SUM('[3]Aer Lingus'!$HR$15:$HW$15)</f>
        <v>0</v>
      </c>
      <c r="N34" s="13">
        <f>SUM('[3]Air France'!$HR$15:$HW$15)</f>
        <v>35</v>
      </c>
      <c r="O34" s="13">
        <f>SUM([3]Frontier!$HR$15:$HW$15)</f>
        <v>99</v>
      </c>
      <c r="P34" s="13">
        <f>SUM('[3]Charter Misc'!$HR$15:$HW$15)+SUM([3]Ryan!$HR$15:$HW$15)+SUM([3]Omni!$HR$15:$HW$15)</f>
        <v>3</v>
      </c>
      <c r="Q34" s="219">
        <f>SUM(B34:P34)</f>
        <v>3794</v>
      </c>
    </row>
    <row r="35" spans="1:17" x14ac:dyDescent="0.2">
      <c r="A35" s="46" t="s">
        <v>23</v>
      </c>
      <c r="B35" s="13">
        <f>SUM([3]Delta!$HR$16:$HW$16)</f>
        <v>2423</v>
      </c>
      <c r="C35" s="13">
        <f>SUM('[3]Atlantic Southeast'!$HR$16:$HW$16)</f>
        <v>0</v>
      </c>
      <c r="D35" s="13">
        <f>SUM([3]Pinnacle!$HR$16:$HW$16)</f>
        <v>155</v>
      </c>
      <c r="E35" s="13">
        <f>SUM('[3]Sky West'!$HR$16:$HW$16)</f>
        <v>96</v>
      </c>
      <c r="F35" s="13">
        <f>SUM('[3]Go Jet'!$HR$16:$HW$16)</f>
        <v>0</v>
      </c>
      <c r="G35" s="13">
        <f>SUM('[3]Sun Country'!$HR$16:$HW$16)</f>
        <v>818</v>
      </c>
      <c r="H35" s="13">
        <f>SUM([3]Icelandair!$HR$16:$HW$16)</f>
        <v>57</v>
      </c>
      <c r="I35" s="13">
        <f>SUM([3]KLM!$HR$16:$HW$16)</f>
        <v>91</v>
      </c>
      <c r="J35" s="13">
        <f>SUM('[3]Air Georgian'!$HR$16:$HW$16)</f>
        <v>0</v>
      </c>
      <c r="K35" s="13">
        <f>SUM('[3]Sky Regional'!$HR$16:$HW$16)</f>
        <v>0</v>
      </c>
      <c r="L35" s="13">
        <f>SUM([3]Condor!$HR$16:$HW$16)</f>
        <v>14</v>
      </c>
      <c r="M35" s="13">
        <f>SUM('[3]Aer Lingus'!$HR$16:$HW$16)</f>
        <v>0</v>
      </c>
      <c r="N35" s="13">
        <f>SUM('[3]Air France'!$HR$16:$HW$16)</f>
        <v>35</v>
      </c>
      <c r="O35" s="13">
        <f>SUM([3]Frontier!$HR$16:$HW$16)</f>
        <v>99</v>
      </c>
      <c r="P35" s="13">
        <f>SUM('[3]Charter Misc'!$HR$16:$HW$16)+SUM([3]Ryan!$HR$16:$HW$16)+SUM([3]Omni!$HR$16:$HW$16)</f>
        <v>2</v>
      </c>
      <c r="Q35" s="219">
        <f>SUM(B35:P35)</f>
        <v>3790</v>
      </c>
    </row>
    <row r="36" spans="1:17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19"/>
    </row>
    <row r="37" spans="1:17" ht="15.75" thickBot="1" x14ac:dyDescent="0.3">
      <c r="A37" s="47" t="s">
        <v>28</v>
      </c>
      <c r="B37" s="307">
        <f t="shared" ref="B37:J37" si="25">+SUM(B34:B35)</f>
        <v>4844</v>
      </c>
      <c r="C37" s="307">
        <f t="shared" si="25"/>
        <v>0</v>
      </c>
      <c r="D37" s="307">
        <f t="shared" si="25"/>
        <v>310</v>
      </c>
      <c r="E37" s="307">
        <f>+SUM(E34:E35)</f>
        <v>191</v>
      </c>
      <c r="F37" s="307">
        <f>+SUM(F34:F35)</f>
        <v>0</v>
      </c>
      <c r="G37" s="307">
        <f t="shared" si="25"/>
        <v>1642</v>
      </c>
      <c r="H37" s="307">
        <f t="shared" si="25"/>
        <v>114</v>
      </c>
      <c r="I37" s="307">
        <f t="shared" ref="I37" si="26">+SUM(I34:I35)</f>
        <v>182</v>
      </c>
      <c r="J37" s="307">
        <f t="shared" si="25"/>
        <v>0</v>
      </c>
      <c r="K37" s="307">
        <f t="shared" ref="K37" si="27">+SUM(K34:K35)</f>
        <v>0</v>
      </c>
      <c r="L37" s="307">
        <f>+SUM(L34:L35)</f>
        <v>28</v>
      </c>
      <c r="M37" s="307">
        <f>+SUM(M34:M35)</f>
        <v>0</v>
      </c>
      <c r="N37" s="307">
        <f>+SUM(N34:N35)</f>
        <v>70</v>
      </c>
      <c r="O37" s="307">
        <f t="shared" ref="O37" si="28">+SUM(O34:O35)</f>
        <v>198</v>
      </c>
      <c r="P37" s="307">
        <f>+SUM(P34:P35)</f>
        <v>5</v>
      </c>
      <c r="Q37" s="308">
        <f>SUM(B37:P37)</f>
        <v>7584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&amp;"Arial,Bold"June 2022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9" sqref="C59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85546875" style="169" bestFit="1" customWidth="1"/>
    <col min="7" max="7" width="8.85546875" style="2" bestFit="1" customWidth="1"/>
    <col min="8" max="8" width="10.42578125" style="3" bestFit="1" customWidth="1"/>
    <col min="9" max="9" width="9" style="3" bestFit="1" customWidth="1"/>
    <col min="10" max="10" width="4.140625" style="3" customWidth="1"/>
    <col min="11" max="11" width="14.42578125" style="173" bestFit="1" customWidth="1"/>
    <col min="12" max="13" width="14" style="2" bestFit="1" customWidth="1"/>
    <col min="14" max="14" width="9.28515625" style="3" bestFit="1" customWidth="1"/>
    <col min="15" max="15" width="10.7109375" bestFit="1" customWidth="1"/>
    <col min="16" max="16" width="9.85546875" bestFit="1" customWidth="1"/>
    <col min="17" max="17" width="10.42578125" bestFit="1" customWidth="1"/>
    <col min="18" max="18" width="8.7109375" bestFit="1" customWidth="1"/>
    <col min="19" max="19" width="4.7109375" customWidth="1"/>
    <col min="20" max="20" width="14.42578125" bestFit="1" customWidth="1"/>
    <col min="21" max="23" width="9.85546875" bestFit="1" customWidth="1"/>
    <col min="24" max="25" width="10.855468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08" t="s">
        <v>132</v>
      </c>
      <c r="B1" s="509"/>
      <c r="C1" s="360" t="s">
        <v>243</v>
      </c>
      <c r="D1" s="361" t="s">
        <v>223</v>
      </c>
      <c r="E1" s="206" t="s">
        <v>95</v>
      </c>
      <c r="F1" s="205" t="s">
        <v>244</v>
      </c>
      <c r="G1" s="361" t="s">
        <v>224</v>
      </c>
      <c r="H1" s="204" t="s">
        <v>96</v>
      </c>
      <c r="I1" s="206" t="s">
        <v>245</v>
      </c>
      <c r="J1" s="514" t="s">
        <v>136</v>
      </c>
      <c r="K1" s="515"/>
      <c r="L1" s="358" t="s">
        <v>246</v>
      </c>
      <c r="M1" s="359" t="s">
        <v>225</v>
      </c>
      <c r="N1" s="275" t="s">
        <v>96</v>
      </c>
      <c r="O1" s="383" t="s">
        <v>247</v>
      </c>
      <c r="P1" s="207" t="s">
        <v>226</v>
      </c>
      <c r="Q1" s="381" t="s">
        <v>96</v>
      </c>
      <c r="R1" s="384" t="s">
        <v>245</v>
      </c>
      <c r="S1" s="500" t="s">
        <v>227</v>
      </c>
      <c r="T1" s="501"/>
      <c r="U1" s="426" t="s">
        <v>246</v>
      </c>
      <c r="V1" s="427" t="s">
        <v>225</v>
      </c>
      <c r="W1" s="428" t="s">
        <v>96</v>
      </c>
      <c r="X1" s="429" t="s">
        <v>247</v>
      </c>
      <c r="Y1" s="430" t="s">
        <v>226</v>
      </c>
      <c r="Z1" s="431" t="s">
        <v>96</v>
      </c>
      <c r="AA1" s="432" t="s">
        <v>245</v>
      </c>
    </row>
    <row r="2" spans="1:27" s="9" customFormat="1" ht="13.5" customHeight="1" thickBot="1" x14ac:dyDescent="0.25">
      <c r="A2" s="510">
        <v>44713</v>
      </c>
      <c r="B2" s="511"/>
      <c r="C2" s="512" t="s">
        <v>9</v>
      </c>
      <c r="D2" s="513"/>
      <c r="E2" s="513"/>
      <c r="F2" s="513"/>
      <c r="G2" s="513"/>
      <c r="H2" s="513"/>
      <c r="I2" s="362"/>
      <c r="J2" s="510">
        <f>+A2</f>
        <v>44713</v>
      </c>
      <c r="K2" s="511"/>
      <c r="L2" s="505" t="s">
        <v>138</v>
      </c>
      <c r="M2" s="506"/>
      <c r="N2" s="506"/>
      <c r="O2" s="506"/>
      <c r="P2" s="506"/>
      <c r="Q2" s="506"/>
      <c r="R2" s="507"/>
      <c r="S2" s="483">
        <f>+J2</f>
        <v>44713</v>
      </c>
      <c r="T2" s="484"/>
      <c r="U2" s="502" t="s">
        <v>228</v>
      </c>
      <c r="V2" s="503"/>
      <c r="W2" s="503"/>
      <c r="X2" s="503"/>
      <c r="Y2" s="503"/>
      <c r="Z2" s="503"/>
      <c r="AA2" s="504"/>
    </row>
    <row r="3" spans="1:27" x14ac:dyDescent="0.2">
      <c r="A3" s="276"/>
      <c r="B3" s="277"/>
      <c r="C3" s="278"/>
      <c r="D3" s="279"/>
      <c r="E3" s="280"/>
      <c r="F3" s="335"/>
      <c r="G3" s="279"/>
      <c r="H3" s="378"/>
      <c r="I3" s="280"/>
      <c r="J3" s="281"/>
      <c r="K3" s="277"/>
      <c r="L3" s="288"/>
      <c r="N3" s="66"/>
      <c r="O3" s="276"/>
      <c r="P3" s="282"/>
      <c r="Q3" s="282"/>
      <c r="R3" s="277"/>
      <c r="S3" s="281"/>
      <c r="T3" s="277"/>
      <c r="U3" s="288"/>
      <c r="V3" s="2"/>
      <c r="W3" s="66"/>
      <c r="X3" s="276"/>
      <c r="Y3" s="282"/>
      <c r="Z3" s="282"/>
      <c r="AA3" s="277"/>
    </row>
    <row r="4" spans="1:27" x14ac:dyDescent="0.2">
      <c r="A4" s="283" t="s">
        <v>203</v>
      </c>
      <c r="B4" s="40"/>
      <c r="C4" s="284">
        <f>'[3]Aer Lingus'!$HW$19</f>
        <v>0</v>
      </c>
      <c r="D4" s="286">
        <f>'[3]Aer Lingus'!$HI$19</f>
        <v>0</v>
      </c>
      <c r="E4" s="287" t="e">
        <f>(C4-D4)/D4</f>
        <v>#DIV/0!</v>
      </c>
      <c r="F4" s="286">
        <f>SUM('[3]Aer Lingus'!$HR$19:$HW$19)</f>
        <v>0</v>
      </c>
      <c r="G4" s="286">
        <f>SUM('[3]Aer Lingus'!$HD$19:$HI$19)</f>
        <v>0</v>
      </c>
      <c r="H4" s="285" t="e">
        <f>(F4-G4)/G4</f>
        <v>#DIV/0!</v>
      </c>
      <c r="I4" s="287">
        <f>F4/$F$73</f>
        <v>0</v>
      </c>
      <c r="J4" s="283" t="s">
        <v>203</v>
      </c>
      <c r="K4" s="40"/>
      <c r="L4" s="284">
        <f>'[3]Aer Lingus'!$HW$41</f>
        <v>0</v>
      </c>
      <c r="M4" s="286">
        <f>'[3]Aer Lingus'!$HI$41</f>
        <v>0</v>
      </c>
      <c r="N4" s="287" t="e">
        <f>(L4-M4)/M4</f>
        <v>#DIV/0!</v>
      </c>
      <c r="O4" s="284">
        <f>SUM('[3]Aer Lingus'!$HR$41:$HW$41)</f>
        <v>0</v>
      </c>
      <c r="P4" s="286">
        <f>SUM('[3]Aer Lingus'!$HD$41:$HI$41)</f>
        <v>0</v>
      </c>
      <c r="Q4" s="285" t="e">
        <f>(O4-P4)/P4</f>
        <v>#DIV/0!</v>
      </c>
      <c r="R4" s="287">
        <f>O4/$O$73</f>
        <v>0</v>
      </c>
      <c r="S4" s="283" t="s">
        <v>203</v>
      </c>
      <c r="T4" s="40"/>
      <c r="U4" s="284">
        <f>'[3]Aer Lingus'!$HW$64</f>
        <v>0</v>
      </c>
      <c r="V4" s="286">
        <f>'[3]Aer Lingus'!$HI$64</f>
        <v>0</v>
      </c>
      <c r="W4" s="287" t="e">
        <f>(U4-V4)/V4</f>
        <v>#DIV/0!</v>
      </c>
      <c r="X4" s="284">
        <f>SUM('[3]Aer Lingus'!$HR$64:$HW$64)</f>
        <v>0</v>
      </c>
      <c r="Y4" s="286">
        <f>SUM('[3]Aer Lingus'!$HD$64:$HI$64)</f>
        <v>0</v>
      </c>
      <c r="Z4" s="285" t="e">
        <f>(X4-Y4)/Y4</f>
        <v>#DIV/0!</v>
      </c>
      <c r="AA4" s="287">
        <f>X4/$X$73</f>
        <v>0</v>
      </c>
    </row>
    <row r="5" spans="1:27" x14ac:dyDescent="0.2">
      <c r="A5" s="38"/>
      <c r="B5" s="40"/>
      <c r="C5" s="288"/>
      <c r="E5" s="66"/>
      <c r="F5" s="172"/>
      <c r="I5" s="66"/>
      <c r="J5" s="399"/>
      <c r="K5" s="40"/>
      <c r="L5" s="288"/>
      <c r="N5" s="66"/>
      <c r="O5" s="38"/>
      <c r="R5" s="40"/>
      <c r="S5" s="399"/>
      <c r="T5" s="40"/>
      <c r="U5" s="288"/>
      <c r="V5" s="2"/>
      <c r="W5" s="66"/>
      <c r="X5" s="38"/>
      <c r="AA5" s="40"/>
    </row>
    <row r="6" spans="1:27" ht="14.1" customHeight="1" x14ac:dyDescent="0.2">
      <c r="A6" s="283" t="s">
        <v>98</v>
      </c>
      <c r="B6" s="40"/>
      <c r="C6" s="284">
        <f>SUM(C7:C10)</f>
        <v>197</v>
      </c>
      <c r="D6" s="286">
        <f>SUM(D7:D10)</f>
        <v>0</v>
      </c>
      <c r="E6" s="287" t="e">
        <f>(C6-D6)/D6</f>
        <v>#DIV/0!</v>
      </c>
      <c r="F6" s="284">
        <f>SUM(F7:F10)</f>
        <v>646</v>
      </c>
      <c r="G6" s="286">
        <f>SUM(G7:G10)</f>
        <v>0</v>
      </c>
      <c r="H6" s="285" t="e">
        <f>(F6-G6)/G6</f>
        <v>#DIV/0!</v>
      </c>
      <c r="I6" s="287">
        <f>F6/$F$73</f>
        <v>4.7035866668608288E-3</v>
      </c>
      <c r="J6" s="283" t="s">
        <v>98</v>
      </c>
      <c r="K6" s="40"/>
      <c r="L6" s="284">
        <f>SUM(L7:L10)</f>
        <v>11991</v>
      </c>
      <c r="M6" s="286">
        <f>SUM(M7:M10)</f>
        <v>0</v>
      </c>
      <c r="N6" s="287" t="e">
        <f>(L6-M6)/M6</f>
        <v>#DIV/0!</v>
      </c>
      <c r="O6" s="284">
        <f>SUM(O7:O10)</f>
        <v>32197</v>
      </c>
      <c r="P6" s="286">
        <f>SUM(P7:P10)</f>
        <v>0</v>
      </c>
      <c r="Q6" s="285" t="e">
        <f>(O6-P6)/P6</f>
        <v>#DIV/0!</v>
      </c>
      <c r="R6" s="287">
        <f>O6/$O$73</f>
        <v>2.1980700239284264E-3</v>
      </c>
      <c r="S6" s="283" t="s">
        <v>98</v>
      </c>
      <c r="T6" s="40"/>
      <c r="U6" s="284">
        <f>SUM(U7:U10)</f>
        <v>1131.0999999999999</v>
      </c>
      <c r="V6" s="286">
        <f>SUM(V7:V10)</f>
        <v>0</v>
      </c>
      <c r="W6" s="287" t="e">
        <f>(U6-V6)/V6</f>
        <v>#DIV/0!</v>
      </c>
      <c r="X6" s="284">
        <f>SUM(X7:X10)</f>
        <v>11279.9</v>
      </c>
      <c r="Y6" s="286">
        <f>SUM(Y7:Y10)</f>
        <v>0</v>
      </c>
      <c r="Z6" s="285" t="e">
        <f>(X6-Y6)/Y6</f>
        <v>#DIV/0!</v>
      </c>
      <c r="AA6" s="287">
        <f>X6/$X$73</f>
        <v>2.3913300001925588E-4</v>
      </c>
    </row>
    <row r="7" spans="1:27" ht="14.1" customHeight="1" x14ac:dyDescent="0.2">
      <c r="A7" s="283"/>
      <c r="B7" s="343" t="s">
        <v>98</v>
      </c>
      <c r="C7" s="288">
        <f>+[3]AirCanada!$HW$19</f>
        <v>0</v>
      </c>
      <c r="D7" s="2">
        <f>+[3]AirCanada!$HI$19</f>
        <v>0</v>
      </c>
      <c r="E7" s="66" t="e">
        <f>(C7-D7)/D7</f>
        <v>#DIV/0!</v>
      </c>
      <c r="F7" s="231">
        <f>SUM([3]AirCanada!$HR$19:$HW$19)</f>
        <v>0</v>
      </c>
      <c r="G7" s="231">
        <f>SUM([3]AirCanada!$HD$19:$HI$19)</f>
        <v>0</v>
      </c>
      <c r="H7" s="348" t="e">
        <f>(F7-G7)/G7</f>
        <v>#DIV/0!</v>
      </c>
      <c r="I7" s="66">
        <f>F7/$F$73</f>
        <v>0</v>
      </c>
      <c r="J7" s="283"/>
      <c r="K7" s="343" t="s">
        <v>98</v>
      </c>
      <c r="L7" s="347">
        <f>+[3]AirCanada!$HW$41</f>
        <v>0</v>
      </c>
      <c r="M7" s="231">
        <f>+[3]AirCanada!$HI$41</f>
        <v>0</v>
      </c>
      <c r="N7" s="349" t="e">
        <f>(L7-M7)/M7</f>
        <v>#DIV/0!</v>
      </c>
      <c r="O7" s="347">
        <f>SUM([3]AirCanada!$HR$41:$HW$41)</f>
        <v>0</v>
      </c>
      <c r="P7" s="231">
        <f>SUM([3]AirCanada!$HD$41:$HI$41)</f>
        <v>0</v>
      </c>
      <c r="Q7" s="348" t="e">
        <f>(O7-P7)/P7</f>
        <v>#DIV/0!</v>
      </c>
      <c r="R7" s="349">
        <f>O7/$O$73</f>
        <v>0</v>
      </c>
      <c r="S7" s="283"/>
      <c r="T7" s="343" t="s">
        <v>98</v>
      </c>
      <c r="U7" s="347">
        <f>+[3]AirCanada!$HW$64</f>
        <v>0</v>
      </c>
      <c r="V7" s="231">
        <f>+[3]AirCanada!$HI$64</f>
        <v>0</v>
      </c>
      <c r="W7" s="349" t="e">
        <f>(U7-V7)/V7</f>
        <v>#DIV/0!</v>
      </c>
      <c r="X7" s="347">
        <f>SUM([3]AirCanada!$HR$64:$HW$64)</f>
        <v>0</v>
      </c>
      <c r="Y7" s="231">
        <f>SUM([3]AirCanada!$HD$64:$HI$64)</f>
        <v>0</v>
      </c>
      <c r="Z7" s="348" t="e">
        <f>(X7-Y7)/Y7</f>
        <v>#DIV/0!</v>
      </c>
      <c r="AA7" s="349">
        <f>X7/$X$73</f>
        <v>0</v>
      </c>
    </row>
    <row r="8" spans="1:27" ht="14.1" customHeight="1" x14ac:dyDescent="0.2">
      <c r="A8" s="283"/>
      <c r="B8" s="343" t="s">
        <v>164</v>
      </c>
      <c r="C8" s="288">
        <f>'[3]Air Georgian'!$HW$19</f>
        <v>0</v>
      </c>
      <c r="D8" s="2">
        <f>'[3]Air Georgian'!$HI$19</f>
        <v>0</v>
      </c>
      <c r="E8" s="66" t="e">
        <f>(C8-D8)/D8</f>
        <v>#DIV/0!</v>
      </c>
      <c r="F8" s="231">
        <f>SUM('[3]Air Georgian'!$HR$19:$HW$19)</f>
        <v>0</v>
      </c>
      <c r="G8" s="231">
        <f>SUM('[3]Air Georgian'!$HD$19:$HI$19)</f>
        <v>0</v>
      </c>
      <c r="H8" s="348" t="e">
        <f>(F8-G8)/G8</f>
        <v>#DIV/0!</v>
      </c>
      <c r="I8" s="66">
        <f>F8/$F$73</f>
        <v>0</v>
      </c>
      <c r="J8" s="283"/>
      <c r="K8" s="343" t="s">
        <v>164</v>
      </c>
      <c r="L8" s="288">
        <f>'[3]Air Georgian'!$HW$41</f>
        <v>0</v>
      </c>
      <c r="M8" s="2">
        <f>'[3]Air Georgian'!$HI$41</f>
        <v>0</v>
      </c>
      <c r="N8" s="66" t="e">
        <f>(L8-M8)/M8</f>
        <v>#DIV/0!</v>
      </c>
      <c r="O8" s="288">
        <f>SUM('[3]Air Georgian'!$HR$41:$HW$41)</f>
        <v>0</v>
      </c>
      <c r="P8" s="2">
        <f>SUM('[3]Air Georgian'!$HD$41:$HI$41)</f>
        <v>0</v>
      </c>
      <c r="Q8" s="3" t="e">
        <f>(O8-P8)/P8</f>
        <v>#DIV/0!</v>
      </c>
      <c r="R8" s="66">
        <f>O8/$O$73</f>
        <v>0</v>
      </c>
      <c r="S8" s="283"/>
      <c r="T8" s="343" t="s">
        <v>164</v>
      </c>
      <c r="U8" s="288">
        <f>'[3]Air Georgian'!$HW$64</f>
        <v>0</v>
      </c>
      <c r="V8" s="2">
        <f>'[3]Air Georgian'!$HI$64</f>
        <v>0</v>
      </c>
      <c r="W8" s="66" t="e">
        <f>(U8-V8)/V8</f>
        <v>#DIV/0!</v>
      </c>
      <c r="X8" s="288">
        <f>SUM('[3]Air Georgian'!$HR$64:$HW$64)</f>
        <v>0</v>
      </c>
      <c r="Y8" s="2">
        <f>SUM('[3]Air Georgian'!$HD$64:$HI$64)</f>
        <v>0</v>
      </c>
      <c r="Z8" s="3" t="e">
        <f>(X8-Y8)/Y8</f>
        <v>#DIV/0!</v>
      </c>
      <c r="AA8" s="66">
        <f>X8/$X$73</f>
        <v>0</v>
      </c>
    </row>
    <row r="9" spans="1:27" ht="14.1" customHeight="1" x14ac:dyDescent="0.2">
      <c r="A9" s="283"/>
      <c r="B9" s="343" t="s">
        <v>236</v>
      </c>
      <c r="C9" s="288">
        <f>[3]Jazz_AC!$HW$19</f>
        <v>197</v>
      </c>
      <c r="D9" s="2">
        <f>[3]Jazz_AC!$HI$19</f>
        <v>0</v>
      </c>
      <c r="E9" s="66" t="e">
        <f t="shared" ref="E9" si="0">(C9-D9)/D9</f>
        <v>#DIV/0!</v>
      </c>
      <c r="F9" s="2">
        <f>SUM([3]Jazz_AC!$HR$19:$HW$19)</f>
        <v>646</v>
      </c>
      <c r="G9" s="2">
        <f>SUM([3]Jazz_AC!$HD$19:$HI$19)</f>
        <v>0</v>
      </c>
      <c r="H9" s="3" t="e">
        <f t="shared" ref="H9" si="1">(F9-G9)/G9</f>
        <v>#DIV/0!</v>
      </c>
      <c r="I9" s="66">
        <f t="shared" ref="I9" si="2">F9/$F$73</f>
        <v>4.7035866668608288E-3</v>
      </c>
      <c r="J9" s="283"/>
      <c r="K9" s="343" t="s">
        <v>236</v>
      </c>
      <c r="L9" s="288">
        <f>[3]Jazz_AC!$HW$41</f>
        <v>11991</v>
      </c>
      <c r="M9" s="2">
        <f>[3]Jazz_AC!$HI$41</f>
        <v>0</v>
      </c>
      <c r="N9" s="66" t="e">
        <f t="shared" ref="N9" si="3">(L9-M9)/M9</f>
        <v>#DIV/0!</v>
      </c>
      <c r="O9" s="288">
        <f>SUM([3]Jazz_AC!$HR$41:$HW$41)</f>
        <v>32197</v>
      </c>
      <c r="P9" s="2">
        <f>SUM([3]Jazz_AC!$HD$41:$HI$41)</f>
        <v>0</v>
      </c>
      <c r="Q9" s="3" t="e">
        <f t="shared" ref="Q9" si="4">(O9-P9)/P9</f>
        <v>#DIV/0!</v>
      </c>
      <c r="R9" s="66">
        <f t="shared" ref="R9" si="5">O9/$O$73</f>
        <v>2.1980700239284264E-3</v>
      </c>
      <c r="S9" s="283"/>
      <c r="T9" s="343" t="s">
        <v>236</v>
      </c>
      <c r="U9" s="288">
        <f>[3]Jazz_AC!$HW$64</f>
        <v>1131.0999999999999</v>
      </c>
      <c r="V9" s="2">
        <f>[3]Jazz_AC!$HI$64</f>
        <v>0</v>
      </c>
      <c r="W9" s="66" t="e">
        <f t="shared" ref="W9" si="6">(U9-V9)/V9</f>
        <v>#DIV/0!</v>
      </c>
      <c r="X9" s="288">
        <f>SUM([3]Jazz_AC!$HR$64:$HW$64)</f>
        <v>11279.9</v>
      </c>
      <c r="Y9" s="2">
        <f>SUM([3]Jazz_AC!$HD$64:$HI$64)</f>
        <v>0</v>
      </c>
      <c r="Z9" s="3" t="e">
        <f t="shared" ref="Z9" si="7">(X9-Y9)/Y9</f>
        <v>#DIV/0!</v>
      </c>
      <c r="AA9" s="66">
        <f t="shared" ref="AA9" si="8">X9/$X$73</f>
        <v>2.3913300001925588E-4</v>
      </c>
    </row>
    <row r="10" spans="1:27" ht="14.1" customHeight="1" x14ac:dyDescent="0.2">
      <c r="A10" s="283"/>
      <c r="B10" s="343" t="s">
        <v>192</v>
      </c>
      <c r="C10" s="288">
        <f>'[3]Sky Regional'!$HW$19</f>
        <v>0</v>
      </c>
      <c r="D10" s="2">
        <f>'[3]Sky Regional'!$HI$19</f>
        <v>0</v>
      </c>
      <c r="E10" s="66" t="e">
        <f>(C10-D10)/D10</f>
        <v>#DIV/0!</v>
      </c>
      <c r="F10" s="231">
        <f>SUM('[3]Sky Regional'!$HR$19:$HW$19)</f>
        <v>0</v>
      </c>
      <c r="G10" s="231">
        <f>SUM('[3]Sky Regional'!$HD$19:$HI$19)</f>
        <v>0</v>
      </c>
      <c r="H10" s="348" t="e">
        <f>(F10-G10)/G10</f>
        <v>#DIV/0!</v>
      </c>
      <c r="I10" s="66">
        <f>F10/$F$73</f>
        <v>0</v>
      </c>
      <c r="J10" s="283"/>
      <c r="K10" s="343" t="s">
        <v>192</v>
      </c>
      <c r="L10" s="288">
        <f>'[3]Sky Regional'!$HW$41</f>
        <v>0</v>
      </c>
      <c r="M10" s="2">
        <f>'[3]Sky Regional'!$HI$41</f>
        <v>0</v>
      </c>
      <c r="N10" s="66" t="e">
        <f>(L10-M10)/M10</f>
        <v>#DIV/0!</v>
      </c>
      <c r="O10" s="288">
        <f>SUM('[3]Sky Regional'!$HR$41:$HW$41)</f>
        <v>0</v>
      </c>
      <c r="P10" s="2">
        <f>SUM('[3]Sky Regional'!$HD$41:$HI$41)</f>
        <v>0</v>
      </c>
      <c r="Q10" s="3" t="e">
        <f>(O10-P10)/P10</f>
        <v>#DIV/0!</v>
      </c>
      <c r="R10" s="66">
        <f>O10/$O$73</f>
        <v>0</v>
      </c>
      <c r="S10" s="283"/>
      <c r="T10" s="343" t="s">
        <v>192</v>
      </c>
      <c r="U10" s="288">
        <f>'[3]Sky Regional'!$HW$64</f>
        <v>0</v>
      </c>
      <c r="V10" s="2">
        <f>'[3]Sky Regional'!$HI$64</f>
        <v>0</v>
      </c>
      <c r="W10" s="66" t="e">
        <f>(U10-V10)/V10</f>
        <v>#DIV/0!</v>
      </c>
      <c r="X10" s="288">
        <f>SUM('[3]Sky Regional'!$HR$64:$HW$64)</f>
        <v>0</v>
      </c>
      <c r="Y10" s="2">
        <f>SUM('[3]Sky Regional'!$HD$64:$HI$64)</f>
        <v>0</v>
      </c>
      <c r="Z10" s="3" t="e">
        <f>(X10-Y10)/Y10</f>
        <v>#DIV/0!</v>
      </c>
      <c r="AA10" s="66">
        <f>X10/$X$73</f>
        <v>0</v>
      </c>
    </row>
    <row r="11" spans="1:27" ht="14.1" customHeight="1" x14ac:dyDescent="0.2">
      <c r="A11" s="283"/>
      <c r="B11" s="40"/>
      <c r="C11" s="284"/>
      <c r="D11" s="286"/>
      <c r="E11" s="287"/>
      <c r="F11" s="286"/>
      <c r="G11" s="286"/>
      <c r="H11" s="285"/>
      <c r="I11" s="287"/>
      <c r="J11" s="283"/>
      <c r="K11" s="40"/>
      <c r="L11" s="288"/>
      <c r="N11" s="66"/>
      <c r="O11" s="288"/>
      <c r="P11" s="2"/>
      <c r="Q11" s="3"/>
      <c r="R11" s="66"/>
      <c r="S11" s="283"/>
      <c r="T11" s="40"/>
      <c r="U11" s="288"/>
      <c r="V11" s="2"/>
      <c r="W11" s="66"/>
      <c r="X11" s="288"/>
      <c r="Y11" s="2"/>
      <c r="Z11" s="3"/>
      <c r="AA11" s="66"/>
    </row>
    <row r="12" spans="1:27" ht="14.1" customHeight="1" x14ac:dyDescent="0.2">
      <c r="A12" s="283" t="s">
        <v>178</v>
      </c>
      <c r="B12" s="40"/>
      <c r="C12" s="284">
        <f>'[3]Air Choice One'!$HW$19</f>
        <v>0</v>
      </c>
      <c r="D12" s="286">
        <f>'[3]Air Choice One'!$HI$19</f>
        <v>0</v>
      </c>
      <c r="E12" s="287" t="e">
        <f>(C12-D12)/D12</f>
        <v>#DIV/0!</v>
      </c>
      <c r="F12" s="286">
        <f>SUM('[3]Air Choice One'!$HR$19:$HW$19)</f>
        <v>0</v>
      </c>
      <c r="G12" s="286">
        <f>SUM('[3]Air Choice One'!$HD$19:$HI$19)</f>
        <v>264</v>
      </c>
      <c r="H12" s="285">
        <f>(F12-G12)/G12</f>
        <v>-1</v>
      </c>
      <c r="I12" s="287">
        <f>F12/$F$73</f>
        <v>0</v>
      </c>
      <c r="J12" s="283" t="s">
        <v>178</v>
      </c>
      <c r="K12" s="40"/>
      <c r="L12" s="284">
        <f>'[3]Air Choice One'!$HW$41</f>
        <v>0</v>
      </c>
      <c r="M12" s="286">
        <f>'[3]Air Choice One'!$HI$41</f>
        <v>0</v>
      </c>
      <c r="N12" s="287" t="e">
        <f>(L12-M12)/M12</f>
        <v>#DIV/0!</v>
      </c>
      <c r="O12" s="284">
        <f>SUM('[3]Air Choice One'!$HR$41:$HW$41)</f>
        <v>0</v>
      </c>
      <c r="P12" s="286">
        <f>SUM('[3]Air Choice One'!$HD$41:$HI$41)</f>
        <v>471</v>
      </c>
      <c r="Q12" s="285">
        <f>(O12-P12)/P12</f>
        <v>-1</v>
      </c>
      <c r="R12" s="287">
        <f>O12/$O$73</f>
        <v>0</v>
      </c>
      <c r="S12" s="283" t="s">
        <v>178</v>
      </c>
      <c r="T12" s="40"/>
      <c r="U12" s="284">
        <f>'[3]Air Choice One'!$HW$64</f>
        <v>0</v>
      </c>
      <c r="V12" s="286">
        <f>'[3]Air Choice One'!$HI$64</f>
        <v>0</v>
      </c>
      <c r="W12" s="287" t="e">
        <f>(U12-V12)/V12</f>
        <v>#DIV/0!</v>
      </c>
      <c r="X12" s="284">
        <f>SUM('[3]Air Choice One'!$HR$64:$HW$64)</f>
        <v>0</v>
      </c>
      <c r="Y12" s="286">
        <f>SUM('[3]Air Choice One'!$HD$64:$HI$64)</f>
        <v>0</v>
      </c>
      <c r="Z12" s="285" t="e">
        <f>(X12-Y12)/Y12</f>
        <v>#DIV/0!</v>
      </c>
      <c r="AA12" s="287">
        <f>X12/$X$73</f>
        <v>0</v>
      </c>
    </row>
    <row r="13" spans="1:27" ht="14.1" customHeight="1" x14ac:dyDescent="0.2">
      <c r="A13" s="283"/>
      <c r="B13" s="40"/>
      <c r="C13" s="284"/>
      <c r="D13" s="286"/>
      <c r="E13" s="287"/>
      <c r="F13" s="286"/>
      <c r="G13" s="286"/>
      <c r="H13" s="285"/>
      <c r="I13" s="287"/>
      <c r="J13" s="283"/>
      <c r="K13" s="40"/>
      <c r="L13" s="288"/>
      <c r="N13" s="66"/>
      <c r="O13" s="288"/>
      <c r="P13" s="2"/>
      <c r="Q13" s="3"/>
      <c r="R13" s="66"/>
      <c r="S13" s="283"/>
      <c r="T13" s="40"/>
      <c r="U13" s="288"/>
      <c r="V13" s="2"/>
      <c r="W13" s="66"/>
      <c r="X13" s="288"/>
      <c r="Y13" s="2"/>
      <c r="Z13" s="3"/>
      <c r="AA13" s="66"/>
    </row>
    <row r="14" spans="1:27" ht="14.1" customHeight="1" x14ac:dyDescent="0.2">
      <c r="A14" s="283" t="s">
        <v>156</v>
      </c>
      <c r="B14" s="40"/>
      <c r="C14" s="284">
        <f>'[3]Air France'!$HW$19</f>
        <v>38</v>
      </c>
      <c r="D14" s="286">
        <f>'[3]Air France'!$HI$19</f>
        <v>20</v>
      </c>
      <c r="E14" s="287">
        <f>(C14-D14)/D14</f>
        <v>0.9</v>
      </c>
      <c r="F14" s="286">
        <f>SUM('[3]Air France'!$HR$19:$HW$19)</f>
        <v>70</v>
      </c>
      <c r="G14" s="286">
        <f>SUM('[3]Air France'!$HD$19:$HI$19)</f>
        <v>20</v>
      </c>
      <c r="H14" s="285">
        <f>(F14-G14)/G14</f>
        <v>2.5</v>
      </c>
      <c r="I14" s="287">
        <f>F14/$F$73</f>
        <v>5.0967657380844903E-4</v>
      </c>
      <c r="J14" s="283" t="s">
        <v>156</v>
      </c>
      <c r="K14" s="40"/>
      <c r="L14" s="284">
        <f>'[3]Air France'!$HW$41</f>
        <v>10934</v>
      </c>
      <c r="M14" s="286">
        <f>'[3]Air France'!$HI$41</f>
        <v>2666</v>
      </c>
      <c r="N14" s="287">
        <f>(L14-M14)/M14</f>
        <v>3.1012753188297073</v>
      </c>
      <c r="O14" s="284">
        <f>SUM('[3]Air France'!$HR$41:$HW$41)</f>
        <v>17876</v>
      </c>
      <c r="P14" s="286">
        <f>SUM('[3]Air France'!$HD$41:$HI$41)</f>
        <v>2666</v>
      </c>
      <c r="Q14" s="285">
        <f>(O14-P14)/P14</f>
        <v>5.7051762940735182</v>
      </c>
      <c r="R14" s="287">
        <f>O14/$O$73</f>
        <v>1.2203838788627682E-3</v>
      </c>
      <c r="S14" s="283" t="s">
        <v>156</v>
      </c>
      <c r="T14" s="40"/>
      <c r="U14" s="284">
        <f>'[3]Air France'!$HW$64</f>
        <v>472370</v>
      </c>
      <c r="V14" s="286">
        <f>'[3]Air France'!$HI$64</f>
        <v>469247</v>
      </c>
      <c r="W14" s="287">
        <f>(U14-V14)/V14</f>
        <v>6.6553435610669865E-3</v>
      </c>
      <c r="X14" s="284">
        <f>SUM('[3]Air France'!$HR$64:$HW$64)</f>
        <v>807048</v>
      </c>
      <c r="Y14" s="286">
        <f>SUM('[3]Air France'!$HD$64:$HI$64)</f>
        <v>469247</v>
      </c>
      <c r="Z14" s="285">
        <f>(X14-Y14)/Y14</f>
        <v>0.7198788697636852</v>
      </c>
      <c r="AA14" s="287">
        <f>X14/$X$73</f>
        <v>1.7109354639628049E-2</v>
      </c>
    </row>
    <row r="15" spans="1:27" ht="14.1" customHeight="1" x14ac:dyDescent="0.2">
      <c r="A15" s="283"/>
      <c r="B15" s="40"/>
      <c r="C15" s="284"/>
      <c r="D15" s="286"/>
      <c r="E15" s="287"/>
      <c r="F15" s="286"/>
      <c r="G15" s="286"/>
      <c r="H15" s="285"/>
      <c r="I15" s="287"/>
      <c r="J15" s="283"/>
      <c r="K15" s="40"/>
      <c r="L15" s="288"/>
      <c r="N15" s="66"/>
      <c r="O15" s="288"/>
      <c r="P15" s="2"/>
      <c r="Q15" s="3"/>
      <c r="R15" s="66"/>
      <c r="S15" s="283"/>
      <c r="T15" s="40"/>
      <c r="U15" s="288"/>
      <c r="V15" s="2"/>
      <c r="W15" s="66"/>
      <c r="X15" s="288"/>
      <c r="Y15" s="2"/>
      <c r="Z15" s="3"/>
      <c r="AA15" s="66"/>
    </row>
    <row r="16" spans="1:27" ht="14.1" customHeight="1" x14ac:dyDescent="0.2">
      <c r="A16" s="283" t="s">
        <v>237</v>
      </c>
      <c r="B16" s="40"/>
      <c r="C16" s="288">
        <f>'[3]Allegiant '!$HW$19</f>
        <v>70</v>
      </c>
      <c r="D16" s="2">
        <f>'[3]Allegiant '!$HI$19</f>
        <v>0</v>
      </c>
      <c r="E16" s="66" t="e">
        <f t="shared" ref="E16" si="9">(C16-D16)/D16</f>
        <v>#DIV/0!</v>
      </c>
      <c r="F16" s="2">
        <f>SUM('[3]Allegiant '!$HR$19:$HW$19)</f>
        <v>526</v>
      </c>
      <c r="G16" s="2">
        <f>SUM('[3]Allegiant '!$HD$19:$HI$19)</f>
        <v>0</v>
      </c>
      <c r="H16" s="3" t="e">
        <f t="shared" ref="H16" si="10">(F16-G16)/G16</f>
        <v>#DIV/0!</v>
      </c>
      <c r="I16" s="66">
        <f t="shared" ref="I16" si="11">F16/$F$73</f>
        <v>3.8298553974749168E-3</v>
      </c>
      <c r="J16" s="283" t="s">
        <v>237</v>
      </c>
      <c r="K16" s="40"/>
      <c r="L16" s="288">
        <f>'[3]Allegiant '!$HW$41</f>
        <v>11285</v>
      </c>
      <c r="M16" s="2">
        <f>'[3]Allegiant '!$HI$41</f>
        <v>0</v>
      </c>
      <c r="N16" s="66" t="e">
        <f t="shared" ref="N16" si="12">(L16-M16)/M16</f>
        <v>#DIV/0!</v>
      </c>
      <c r="O16" s="288">
        <f>SUM('[3]Allegiant '!$HR$41:$HW$41)</f>
        <v>70575</v>
      </c>
      <c r="P16" s="2">
        <f>SUM('[3]Allegiant '!$HD$41:$HI$41)</f>
        <v>0</v>
      </c>
      <c r="Q16" s="3" t="e">
        <f t="shared" ref="Q16" si="13">(O16-P16)/P16</f>
        <v>#DIV/0!</v>
      </c>
      <c r="R16" s="66">
        <f t="shared" ref="R16" si="14">O16/$O$73</f>
        <v>4.8181132384616174E-3</v>
      </c>
      <c r="S16" s="283" t="s">
        <v>237</v>
      </c>
      <c r="T16" s="40"/>
      <c r="U16" s="288">
        <f>'[3]Allegiant '!$HW$64</f>
        <v>0</v>
      </c>
      <c r="V16" s="2">
        <f>'[3]Allegiant '!$HI$64</f>
        <v>0</v>
      </c>
      <c r="W16" s="66" t="e">
        <f t="shared" ref="W16" si="15">(U16-V16)/V16</f>
        <v>#DIV/0!</v>
      </c>
      <c r="X16" s="288">
        <f>SUM('[3]Allegiant '!$HR$64:$HW$64)</f>
        <v>0</v>
      </c>
      <c r="Y16" s="2">
        <f>SUM('[3]Allegiant '!$HD$64:$HI$64)</f>
        <v>0</v>
      </c>
      <c r="Z16" s="3" t="e">
        <f t="shared" ref="Z16" si="16">(X16-Y16)/Y16</f>
        <v>#DIV/0!</v>
      </c>
      <c r="AA16" s="66">
        <f t="shared" ref="AA16" si="17">X16/$X$73</f>
        <v>0</v>
      </c>
    </row>
    <row r="17" spans="1:27" ht="14.1" customHeight="1" x14ac:dyDescent="0.2">
      <c r="A17" s="283"/>
      <c r="B17" s="40"/>
      <c r="C17" s="284"/>
      <c r="D17" s="286"/>
      <c r="E17" s="287"/>
      <c r="F17" s="286"/>
      <c r="G17" s="286"/>
      <c r="H17" s="285"/>
      <c r="I17" s="287"/>
      <c r="J17" s="283"/>
      <c r="K17" s="40"/>
      <c r="L17" s="288"/>
      <c r="N17" s="66"/>
      <c r="O17" s="288"/>
      <c r="P17" s="2"/>
      <c r="Q17" s="3"/>
      <c r="R17" s="66"/>
      <c r="S17" s="283"/>
      <c r="T17" s="40"/>
      <c r="U17" s="288"/>
      <c r="V17" s="2"/>
      <c r="W17" s="66"/>
      <c r="X17" s="288"/>
      <c r="Y17" s="2"/>
      <c r="Z17" s="3"/>
      <c r="AA17" s="66"/>
    </row>
    <row r="18" spans="1:27" ht="14.1" customHeight="1" x14ac:dyDescent="0.2">
      <c r="A18" s="283" t="s">
        <v>128</v>
      </c>
      <c r="B18" s="40"/>
      <c r="C18" s="284">
        <f>SUM(C19:C21)</f>
        <v>163</v>
      </c>
      <c r="D18" s="286">
        <f>SUM(D19:D21)</f>
        <v>188</v>
      </c>
      <c r="E18" s="287">
        <f>(C18-D18)/D18</f>
        <v>-0.13297872340425532</v>
      </c>
      <c r="F18" s="286">
        <f>SUM(F19:F21)</f>
        <v>846</v>
      </c>
      <c r="G18" s="286">
        <f>SUM(G19:G21)</f>
        <v>803</v>
      </c>
      <c r="H18" s="285">
        <f>(F18-G18)/G18</f>
        <v>5.3549190535491904E-2</v>
      </c>
      <c r="I18" s="287">
        <f>F18/$F$73</f>
        <v>6.1598054491706833E-3</v>
      </c>
      <c r="J18" s="283" t="s">
        <v>128</v>
      </c>
      <c r="K18" s="40"/>
      <c r="L18" s="284">
        <f>SUM(L19:L21)</f>
        <v>25599</v>
      </c>
      <c r="M18" s="286">
        <f>SUM(M19:M21)</f>
        <v>29457</v>
      </c>
      <c r="N18" s="287">
        <f>(L18-M18)/M18</f>
        <v>-0.13097056726754253</v>
      </c>
      <c r="O18" s="284">
        <f>SUM(O19:O21)</f>
        <v>108114</v>
      </c>
      <c r="P18" s="286">
        <f>SUM(P19:P21)</f>
        <v>91232</v>
      </c>
      <c r="Q18" s="285">
        <f>(O18-P18)/P18</f>
        <v>0.18504472115047352</v>
      </c>
      <c r="R18" s="287">
        <f>O18/$O$73</f>
        <v>7.3808784224305953E-3</v>
      </c>
      <c r="S18" s="283" t="s">
        <v>128</v>
      </c>
      <c r="T18" s="40"/>
      <c r="U18" s="284">
        <f>SUM(U19:U21)</f>
        <v>29106</v>
      </c>
      <c r="V18" s="286">
        <f>SUM(V19:V21)</f>
        <v>33287</v>
      </c>
      <c r="W18" s="287">
        <f>(U18-V18)/V18</f>
        <v>-0.12560459038062907</v>
      </c>
      <c r="X18" s="284">
        <f>SUM(X19:X21)</f>
        <v>138458</v>
      </c>
      <c r="Y18" s="286">
        <f>SUM(Y19:Y21)</f>
        <v>190111</v>
      </c>
      <c r="Z18" s="285">
        <f>(X18-Y18)/Y18</f>
        <v>-0.27169916522452675</v>
      </c>
      <c r="AA18" s="287">
        <f>X18/$X$73</f>
        <v>2.9352987984526575E-3</v>
      </c>
    </row>
    <row r="19" spans="1:27" ht="14.1" customHeight="1" x14ac:dyDescent="0.2">
      <c r="A19" s="283"/>
      <c r="B19" s="343" t="s">
        <v>128</v>
      </c>
      <c r="C19" s="347">
        <f>[3]Alaska!$HW$19</f>
        <v>163</v>
      </c>
      <c r="D19" s="231">
        <f>[3]Alaska!$HI$19</f>
        <v>128</v>
      </c>
      <c r="E19" s="349">
        <f>(C19-D19)/D19</f>
        <v>0.2734375</v>
      </c>
      <c r="F19" s="231">
        <f>SUM([3]Alaska!$HR$19:$HW$19)</f>
        <v>754</v>
      </c>
      <c r="G19" s="231">
        <f>SUM([3]Alaska!$HD$19:$HI$19)</f>
        <v>629</v>
      </c>
      <c r="H19" s="348">
        <f>(F19-G19)/G19</f>
        <v>0.1987281399046105</v>
      </c>
      <c r="I19" s="349">
        <f>F19/$F$73</f>
        <v>5.4899448093081501E-3</v>
      </c>
      <c r="J19" s="283"/>
      <c r="K19" s="343" t="s">
        <v>128</v>
      </c>
      <c r="L19" s="347">
        <f>[3]Alaska!$HW$41</f>
        <v>25599</v>
      </c>
      <c r="M19" s="231">
        <f>[3]Alaska!$HI$41</f>
        <v>20585</v>
      </c>
      <c r="N19" s="349">
        <f>(L19-M19)/M19</f>
        <v>0.2435754189944134</v>
      </c>
      <c r="O19" s="347">
        <f>SUM([3]Alaska!$HR$41:$HW$41)</f>
        <v>102743</v>
      </c>
      <c r="P19" s="231">
        <f>SUM([3]Alaska!$HD$41:$HI$41)</f>
        <v>74835</v>
      </c>
      <c r="Q19" s="348">
        <f>(O19-P19)/P19</f>
        <v>0.37292710630052783</v>
      </c>
      <c r="R19" s="349">
        <f>O19/$O$73</f>
        <v>7.0142034496530207E-3</v>
      </c>
      <c r="S19" s="283"/>
      <c r="T19" s="343" t="s">
        <v>128</v>
      </c>
      <c r="U19" s="347">
        <f>[3]Alaska!$HW$64</f>
        <v>29106</v>
      </c>
      <c r="V19" s="231">
        <f>[3]Alaska!$HI$64</f>
        <v>28413</v>
      </c>
      <c r="W19" s="349">
        <f>(U19-V19)/V19</f>
        <v>2.4390243902439025E-2</v>
      </c>
      <c r="X19" s="347">
        <f>SUM([3]Alaska!$HR$64:$HW$64)</f>
        <v>130859</v>
      </c>
      <c r="Y19" s="231">
        <f>SUM([3]Alaska!$HD$64:$HI$64)</f>
        <v>178257</v>
      </c>
      <c r="Z19" s="348">
        <f>(X19-Y19)/Y19</f>
        <v>-0.26589699142249673</v>
      </c>
      <c r="AA19" s="349">
        <f>X19/$X$73</f>
        <v>2.7742005912747281E-3</v>
      </c>
    </row>
    <row r="20" spans="1:27" ht="14.1" customHeight="1" x14ac:dyDescent="0.2">
      <c r="A20" s="283"/>
      <c r="B20" s="343" t="s">
        <v>97</v>
      </c>
      <c r="C20" s="288">
        <f>'[3]Sky West_AS'!$HW$19</f>
        <v>0</v>
      </c>
      <c r="D20" s="2">
        <f>'[3]Sky West_AS'!$HI$19</f>
        <v>0</v>
      </c>
      <c r="E20" s="66" t="e">
        <f>(C20-D20)/D20</f>
        <v>#DIV/0!</v>
      </c>
      <c r="F20" s="2">
        <f>SUM('[3]Sky West_AS'!$HR$19:$HW$19)</f>
        <v>54</v>
      </c>
      <c r="G20" s="2">
        <f>SUM('[3]Sky West_AS'!$HD$19:$HI$19)</f>
        <v>0</v>
      </c>
      <c r="H20" s="3" t="e">
        <f>(F20-G20)/G20</f>
        <v>#DIV/0!</v>
      </c>
      <c r="I20" s="66">
        <f>F20/$F$73</f>
        <v>3.9317907122366066E-4</v>
      </c>
      <c r="J20" s="283"/>
      <c r="K20" s="343" t="s">
        <v>97</v>
      </c>
      <c r="L20" s="288">
        <f>'[3]Sky West_AS'!$HW$41</f>
        <v>0</v>
      </c>
      <c r="M20" s="2">
        <f>'[3]Sky West_AS'!$HI$41</f>
        <v>0</v>
      </c>
      <c r="N20" s="66" t="e">
        <f>(L20-M20)/M20</f>
        <v>#DIV/0!</v>
      </c>
      <c r="O20" s="288">
        <f>SUM('[3]Sky West_AS'!$HR$41:$HW$41)</f>
        <v>2767</v>
      </c>
      <c r="P20" s="2">
        <f>SUM('[3]Sky West_AS'!$HD$41:$HI$41)</f>
        <v>0</v>
      </c>
      <c r="Q20" s="3" t="e">
        <f>(O20-P20)/P20</f>
        <v>#DIV/0!</v>
      </c>
      <c r="R20" s="349">
        <f>O20/$O$73</f>
        <v>1.8890144287386887E-4</v>
      </c>
      <c r="S20" s="283"/>
      <c r="T20" s="343" t="s">
        <v>97</v>
      </c>
      <c r="U20" s="288">
        <f>'[3]Sky West_AS'!$HW$64</f>
        <v>0</v>
      </c>
      <c r="V20" s="2">
        <f>'[3]Sky West_AS'!$HI$64</f>
        <v>0</v>
      </c>
      <c r="W20" s="66" t="e">
        <f>(U20-V20)/V20</f>
        <v>#DIV/0!</v>
      </c>
      <c r="X20" s="288">
        <f>SUM('[3]Sky West_AS'!$HR$64:$HW$64)</f>
        <v>4924</v>
      </c>
      <c r="Y20" s="2">
        <f>SUM('[3]Sky West_AS'!$HD$64:$HI$64)</f>
        <v>0</v>
      </c>
      <c r="Z20" s="3" t="e">
        <f>(X20-Y20)/Y20</f>
        <v>#DIV/0!</v>
      </c>
      <c r="AA20" s="349">
        <f>X20/$X$73</f>
        <v>1.0438841586315624E-4</v>
      </c>
    </row>
    <row r="21" spans="1:27" ht="14.1" customHeight="1" x14ac:dyDescent="0.2">
      <c r="A21" s="283"/>
      <c r="B21" s="343" t="s">
        <v>193</v>
      </c>
      <c r="C21" s="288">
        <f>[3]Horizon_AS!$HW$19</f>
        <v>0</v>
      </c>
      <c r="D21" s="2">
        <f>[3]Horizon_AS!$HI$19</f>
        <v>60</v>
      </c>
      <c r="E21" s="66">
        <f>(C21-D21)/D21</f>
        <v>-1</v>
      </c>
      <c r="F21" s="2">
        <f>SUM([3]Horizon_AS!$HR$19:$HW$19)</f>
        <v>38</v>
      </c>
      <c r="G21" s="2">
        <f>SUM([3]Horizon_AS!$HD$19:$HI$19)</f>
        <v>174</v>
      </c>
      <c r="H21" s="3">
        <f>(F21-G21)/G21</f>
        <v>-0.7816091954022989</v>
      </c>
      <c r="I21" s="66">
        <f>F21/$F$73</f>
        <v>2.7668156863887229E-4</v>
      </c>
      <c r="J21" s="283"/>
      <c r="K21" s="343" t="s">
        <v>193</v>
      </c>
      <c r="L21" s="288">
        <f>[3]Horizon_AS!$HW$41</f>
        <v>0</v>
      </c>
      <c r="M21" s="2">
        <f>[3]Horizon_AS!$HI$41</f>
        <v>8872</v>
      </c>
      <c r="N21" s="66">
        <f>(L21-M21)/M21</f>
        <v>-1</v>
      </c>
      <c r="O21" s="288">
        <f>SUM([3]Horizon_AS!$HR$41:$HW$41)</f>
        <v>2604</v>
      </c>
      <c r="P21" s="2">
        <f>SUM([3]Horizon_AS!$HD$41:$HI$41)</f>
        <v>16397</v>
      </c>
      <c r="Q21" s="3">
        <f>(O21-P21)/P21</f>
        <v>-0.8411904616698177</v>
      </c>
      <c r="R21" s="349">
        <f>O21/$O$73</f>
        <v>1.77773529903706E-4</v>
      </c>
      <c r="S21" s="283"/>
      <c r="T21" s="343" t="s">
        <v>193</v>
      </c>
      <c r="U21" s="288">
        <f>[3]Horizon_AS!$HW$64</f>
        <v>0</v>
      </c>
      <c r="V21" s="2">
        <f>[3]Horizon_AS!$HI$64</f>
        <v>4874</v>
      </c>
      <c r="W21" s="66">
        <f>(U21-V21)/V21</f>
        <v>-1</v>
      </c>
      <c r="X21" s="288">
        <f>SUM([3]Horizon_AS!$HR$64:$HW$64)</f>
        <v>2675</v>
      </c>
      <c r="Y21" s="2">
        <f>SUM([3]Horizon_AS!$HD$64:$HI$64)</f>
        <v>11854</v>
      </c>
      <c r="Z21" s="3">
        <f>(X21-Y21)/Y21</f>
        <v>-0.77433777627804956</v>
      </c>
      <c r="AA21" s="349">
        <f>X21/$X$73</f>
        <v>5.6709791314773136E-5</v>
      </c>
    </row>
    <row r="22" spans="1:27" ht="14.1" customHeight="1" x14ac:dyDescent="0.2">
      <c r="A22" s="283"/>
      <c r="B22" s="40"/>
      <c r="C22" s="284"/>
      <c r="D22" s="289"/>
      <c r="E22" s="287"/>
      <c r="F22" s="289"/>
      <c r="G22" s="289"/>
      <c r="H22" s="285"/>
      <c r="I22" s="287"/>
      <c r="J22" s="283"/>
      <c r="K22" s="40"/>
      <c r="L22" s="140"/>
      <c r="M22" s="96"/>
      <c r="N22" s="66"/>
      <c r="O22" s="140"/>
      <c r="P22" s="96"/>
      <c r="Q22" s="3"/>
      <c r="R22" s="66"/>
      <c r="S22" s="283"/>
      <c r="T22" s="40"/>
      <c r="U22" s="140"/>
      <c r="V22" s="96"/>
      <c r="W22" s="66"/>
      <c r="X22" s="140"/>
      <c r="Y22" s="96"/>
      <c r="Z22" s="3"/>
      <c r="AA22" s="66"/>
    </row>
    <row r="23" spans="1:27" ht="14.1" customHeight="1" x14ac:dyDescent="0.2">
      <c r="A23" s="283" t="s">
        <v>17</v>
      </c>
      <c r="B23" s="290"/>
      <c r="C23" s="284">
        <f>SUM(C24:C30)</f>
        <v>1091</v>
      </c>
      <c r="D23" s="286">
        <f>SUM(D24:D30)</f>
        <v>1185</v>
      </c>
      <c r="E23" s="287">
        <f t="shared" ref="E23:E30" si="18">(C23-D23)/D23</f>
        <v>-7.932489451476793E-2</v>
      </c>
      <c r="F23" s="284">
        <f>SUM(F24:F30)</f>
        <v>6273</v>
      </c>
      <c r="G23" s="286">
        <f>SUM(G24:G30)</f>
        <v>5462</v>
      </c>
      <c r="H23" s="285">
        <f t="shared" ref="H23:H30" si="19">(F23-G23)/G23</f>
        <v>0.1484804101061882</v>
      </c>
      <c r="I23" s="287">
        <f t="shared" ref="I23:I30" si="20">F23/$F$73</f>
        <v>4.5674302107148575E-2</v>
      </c>
      <c r="J23" s="283" t="s">
        <v>17</v>
      </c>
      <c r="K23" s="290"/>
      <c r="L23" s="284">
        <f>SUM(L24:L30)</f>
        <v>125837</v>
      </c>
      <c r="M23" s="286">
        <f>SUM(M24:M30)</f>
        <v>129200</v>
      </c>
      <c r="N23" s="287">
        <f t="shared" ref="N23:N30" si="21">(L23-M23)/M23</f>
        <v>-2.6029411764705881E-2</v>
      </c>
      <c r="O23" s="284">
        <f>SUM(O24:O30)</f>
        <v>673204</v>
      </c>
      <c r="P23" s="286">
        <f>SUM(P24:P30)</f>
        <v>544634</v>
      </c>
      <c r="Q23" s="285">
        <f t="shared" ref="Q23:Q30" si="22">(O23-P23)/P23</f>
        <v>0.23606678980746704</v>
      </c>
      <c r="R23" s="287">
        <f t="shared" ref="R23:R30" si="23">O23/$O$73</f>
        <v>4.595923633843875E-2</v>
      </c>
      <c r="S23" s="283" t="s">
        <v>17</v>
      </c>
      <c r="T23" s="290"/>
      <c r="U23" s="284">
        <f>SUM(U24:U30)</f>
        <v>80182</v>
      </c>
      <c r="V23" s="286">
        <f>SUM(V24:V30)</f>
        <v>117444</v>
      </c>
      <c r="W23" s="287">
        <f t="shared" ref="W23:W27" si="24">(U23-V23)/V23</f>
        <v>-0.31727461598719392</v>
      </c>
      <c r="X23" s="284">
        <f>SUM(X24:X30)</f>
        <v>786988</v>
      </c>
      <c r="Y23" s="286">
        <f>SUM(Y24:Y30)</f>
        <v>945032</v>
      </c>
      <c r="Z23" s="285">
        <f t="shared" ref="Z23:Z27" si="25">(X23-Y23)/Y23</f>
        <v>-0.16723666500182005</v>
      </c>
      <c r="AA23" s="287">
        <f t="shared" ref="AA23:AA30" si="26">X23/$X$73</f>
        <v>1.6684084204572219E-2</v>
      </c>
    </row>
    <row r="24" spans="1:27" ht="14.1" customHeight="1" x14ac:dyDescent="0.2">
      <c r="A24" s="38"/>
      <c r="B24" s="40" t="s">
        <v>17</v>
      </c>
      <c r="C24" s="288">
        <f>[3]American!$HW$19</f>
        <v>617</v>
      </c>
      <c r="D24" s="2">
        <f>[3]American!$HI$19</f>
        <v>675</v>
      </c>
      <c r="E24" s="66">
        <f t="shared" si="18"/>
        <v>-8.5925925925925919E-2</v>
      </c>
      <c r="F24" s="2">
        <f>SUM([3]American!$HR$19:$HW$19)</f>
        <v>3421</v>
      </c>
      <c r="G24" s="2">
        <f>SUM([3]American!$HD$19:$HI$19)</f>
        <v>3506</v>
      </c>
      <c r="H24" s="3">
        <f t="shared" si="19"/>
        <v>-2.4244152880775811E-2</v>
      </c>
      <c r="I24" s="66">
        <f t="shared" si="20"/>
        <v>2.4908622271410056E-2</v>
      </c>
      <c r="J24" s="38"/>
      <c r="K24" s="40" t="s">
        <v>17</v>
      </c>
      <c r="L24" s="288">
        <f>[3]American!$HW$41</f>
        <v>96832</v>
      </c>
      <c r="M24" s="2">
        <f>[3]American!$HI$41</f>
        <v>95875</v>
      </c>
      <c r="N24" s="66">
        <f t="shared" si="21"/>
        <v>9.9817470664928295E-3</v>
      </c>
      <c r="O24" s="288">
        <f>SUM([3]American!$HR$41:$HW$41)</f>
        <v>510932</v>
      </c>
      <c r="P24" s="2">
        <f>SUM([3]American!$HD$41:$HI$41)</f>
        <v>425628</v>
      </c>
      <c r="Q24" s="3">
        <f t="shared" si="22"/>
        <v>0.20041914535697838</v>
      </c>
      <c r="R24" s="66">
        <f t="shared" si="23"/>
        <v>3.4881023494915633E-2</v>
      </c>
      <c r="S24" s="38"/>
      <c r="T24" s="40" t="s">
        <v>17</v>
      </c>
      <c r="U24" s="288">
        <f>[3]American!$HW$64</f>
        <v>70797</v>
      </c>
      <c r="V24" s="2">
        <f>[3]American!$HI$64</f>
        <v>113147</v>
      </c>
      <c r="W24" s="66">
        <f t="shared" si="24"/>
        <v>-0.37429185042466878</v>
      </c>
      <c r="X24" s="288">
        <f>SUM([3]American!$HR$64:$HW$64)</f>
        <v>759863</v>
      </c>
      <c r="Y24" s="2">
        <f>SUM([3]American!$HD$64:$HI$64)</f>
        <v>934865</v>
      </c>
      <c r="Z24" s="3">
        <f t="shared" si="25"/>
        <v>-0.18719494258529307</v>
      </c>
      <c r="AA24" s="66">
        <f t="shared" si="26"/>
        <v>1.6109036320679424E-2</v>
      </c>
    </row>
    <row r="25" spans="1:27" ht="14.1" customHeight="1" x14ac:dyDescent="0.2">
      <c r="A25" s="38"/>
      <c r="B25" s="343" t="s">
        <v>165</v>
      </c>
      <c r="C25" s="288">
        <f>'[3]American Eagle'!$HW$19</f>
        <v>131</v>
      </c>
      <c r="D25" s="2">
        <f>'[3]American Eagle'!$HI$19</f>
        <v>176</v>
      </c>
      <c r="E25" s="66">
        <f t="shared" si="18"/>
        <v>-0.25568181818181818</v>
      </c>
      <c r="F25" s="2">
        <f>SUM('[3]American Eagle'!$HR$19:$HW$19)</f>
        <v>520</v>
      </c>
      <c r="G25" s="2">
        <f>SUM('[3]American Eagle'!$HD$19:$HI$19)</f>
        <v>1019</v>
      </c>
      <c r="H25" s="3">
        <f t="shared" si="19"/>
        <v>-0.48969578017664378</v>
      </c>
      <c r="I25" s="66">
        <f t="shared" si="20"/>
        <v>3.786168834005621E-3</v>
      </c>
      <c r="J25" s="38"/>
      <c r="K25" s="343" t="s">
        <v>165</v>
      </c>
      <c r="L25" s="288">
        <f>'[3]American Eagle'!$HW$41</f>
        <v>6360</v>
      </c>
      <c r="M25" s="2">
        <f>'[3]American Eagle'!$HI$41</f>
        <v>11687</v>
      </c>
      <c r="N25" s="66">
        <f t="shared" si="21"/>
        <v>-0.45580559596132453</v>
      </c>
      <c r="O25" s="288">
        <f>SUM('[3]American Eagle'!$HR$41:$HW$41)</f>
        <v>26462</v>
      </c>
      <c r="P25" s="2">
        <f>SUM('[3]American Eagle'!$HD$41:$HI$41)</f>
        <v>64740</v>
      </c>
      <c r="Q25" s="3">
        <f t="shared" si="22"/>
        <v>-0.59125733704046957</v>
      </c>
      <c r="R25" s="66">
        <f t="shared" si="23"/>
        <v>1.8065449878309787E-3</v>
      </c>
      <c r="S25" s="38"/>
      <c r="T25" s="343" t="s">
        <v>165</v>
      </c>
      <c r="U25" s="288">
        <f>'[3]American Eagle'!$HW$64</f>
        <v>7463</v>
      </c>
      <c r="V25" s="2">
        <f>'[3]American Eagle'!$HI$64</f>
        <v>3429</v>
      </c>
      <c r="W25" s="66">
        <f t="shared" si="24"/>
        <v>1.1764362787984834</v>
      </c>
      <c r="X25" s="288">
        <f>SUM('[3]American Eagle'!$HR$64:$HW$64)</f>
        <v>18693</v>
      </c>
      <c r="Y25" s="2">
        <f>SUM('[3]American Eagle'!$HD$64:$HI$64)</f>
        <v>7882</v>
      </c>
      <c r="Z25" s="3">
        <f t="shared" si="25"/>
        <v>1.3716061913219995</v>
      </c>
      <c r="AA25" s="66">
        <f t="shared" si="26"/>
        <v>3.9629014169983339E-4</v>
      </c>
    </row>
    <row r="26" spans="1:27" ht="14.1" customHeight="1" x14ac:dyDescent="0.2">
      <c r="A26" s="38"/>
      <c r="B26" s="343" t="s">
        <v>52</v>
      </c>
      <c r="C26" s="288">
        <f>[3]Republic!$HW$19</f>
        <v>169</v>
      </c>
      <c r="D26" s="2">
        <f>[3]Republic!$HI$19</f>
        <v>272</v>
      </c>
      <c r="E26" s="66">
        <f t="shared" si="18"/>
        <v>-0.37867647058823528</v>
      </c>
      <c r="F26" s="2">
        <f>SUM([3]Republic!$HR$19:$HW$19)</f>
        <v>1126</v>
      </c>
      <c r="G26" s="2">
        <f>SUM([3]Republic!$HD$19:$HI$19)</f>
        <v>593</v>
      </c>
      <c r="H26" s="3">
        <f t="shared" si="19"/>
        <v>0.89881956155143339</v>
      </c>
      <c r="I26" s="66">
        <f t="shared" si="20"/>
        <v>8.1985117444044794E-3</v>
      </c>
      <c r="J26" s="38"/>
      <c r="K26" s="291" t="s">
        <v>52</v>
      </c>
      <c r="L26" s="288">
        <f>[3]Republic!$HW$41</f>
        <v>11623</v>
      </c>
      <c r="M26" s="2">
        <f>[3]Republic!$HI$41</f>
        <v>18130</v>
      </c>
      <c r="N26" s="66">
        <f t="shared" si="21"/>
        <v>-0.35890788747931607</v>
      </c>
      <c r="O26" s="288">
        <f>SUM([3]Republic!$HR$41:$HW$41)</f>
        <v>63568</v>
      </c>
      <c r="P26" s="2">
        <f>SUM([3]Republic!$HD$41:$HI$41)</f>
        <v>35405</v>
      </c>
      <c r="Q26" s="3">
        <f t="shared" si="22"/>
        <v>0.79545261968648495</v>
      </c>
      <c r="R26" s="66">
        <f t="shared" si="23"/>
        <v>4.3397495195540642E-3</v>
      </c>
      <c r="S26" s="38"/>
      <c r="T26" s="291" t="s">
        <v>52</v>
      </c>
      <c r="U26" s="288">
        <f>[3]Republic!$HW$64</f>
        <v>768</v>
      </c>
      <c r="V26" s="2">
        <f>[3]Republic!$HI$64</f>
        <v>601</v>
      </c>
      <c r="W26" s="66">
        <f t="shared" si="24"/>
        <v>0.27787021630615638</v>
      </c>
      <c r="X26" s="288">
        <f>SUM([3]Republic!$HR$64:$HW$64)</f>
        <v>4306</v>
      </c>
      <c r="Y26" s="2">
        <f>SUM([3]Republic!$HD$64:$HI$64)</f>
        <v>1157</v>
      </c>
      <c r="Z26" s="3">
        <f t="shared" si="25"/>
        <v>2.7216940363007778</v>
      </c>
      <c r="AA26" s="66">
        <f t="shared" si="26"/>
        <v>9.1286864075294625E-5</v>
      </c>
    </row>
    <row r="27" spans="1:27" ht="14.1" customHeight="1" x14ac:dyDescent="0.2">
      <c r="A27" s="38"/>
      <c r="B27" s="343" t="s">
        <v>182</v>
      </c>
      <c r="C27" s="288">
        <f>[3]PSA!$HW$19</f>
        <v>114</v>
      </c>
      <c r="D27" s="2">
        <f>[3]PSA!$HI$19</f>
        <v>6</v>
      </c>
      <c r="E27" s="66">
        <f t="shared" si="18"/>
        <v>18</v>
      </c>
      <c r="F27" s="2">
        <f>SUM([3]PSA!$HR$19:$HW$19)</f>
        <v>756</v>
      </c>
      <c r="G27" s="2">
        <f>SUM([3]PSA!$HD$19:$HI$19)</f>
        <v>114</v>
      </c>
      <c r="H27" s="3">
        <f t="shared" si="19"/>
        <v>5.6315789473684212</v>
      </c>
      <c r="I27" s="66">
        <f t="shared" si="20"/>
        <v>5.5045069971312493E-3</v>
      </c>
      <c r="J27" s="38"/>
      <c r="K27" s="343" t="s">
        <v>182</v>
      </c>
      <c r="L27" s="288">
        <f>[3]PSA!$HW$41</f>
        <v>7581</v>
      </c>
      <c r="M27" s="2">
        <f>[3]PSA!$HI$41</f>
        <v>361</v>
      </c>
      <c r="N27" s="66">
        <f t="shared" si="21"/>
        <v>20</v>
      </c>
      <c r="O27" s="288">
        <f>SUM([3]PSA!$HR$41:$HW$41)</f>
        <v>46947</v>
      </c>
      <c r="P27" s="2">
        <f>SUM([3]PSA!$HD$41:$HI$41)</f>
        <v>5776</v>
      </c>
      <c r="Q27" s="3">
        <f t="shared" si="22"/>
        <v>7.1279432132963985</v>
      </c>
      <c r="R27" s="66">
        <f t="shared" si="23"/>
        <v>3.2050437436210773E-3</v>
      </c>
      <c r="S27" s="38"/>
      <c r="T27" s="343" t="s">
        <v>182</v>
      </c>
      <c r="U27" s="288">
        <f>[3]PSA!$HW$64</f>
        <v>384</v>
      </c>
      <c r="V27" s="2">
        <f>[3]PSA!$HI$64</f>
        <v>11</v>
      </c>
      <c r="W27" s="66">
        <f t="shared" si="24"/>
        <v>33.909090909090907</v>
      </c>
      <c r="X27" s="288">
        <f>SUM([3]PSA!$HR$64:$HW$64)</f>
        <v>1426</v>
      </c>
      <c r="Y27" s="2">
        <f>SUM([3]PSA!$HD$64:$HI$64)</f>
        <v>31</v>
      </c>
      <c r="Z27" s="3">
        <f t="shared" si="25"/>
        <v>45</v>
      </c>
      <c r="AA27" s="66">
        <f t="shared" si="26"/>
        <v>3.0231088753221121E-5</v>
      </c>
    </row>
    <row r="28" spans="1:27" ht="14.1" customHeight="1" x14ac:dyDescent="0.2">
      <c r="A28" s="38"/>
      <c r="B28" s="343" t="s">
        <v>97</v>
      </c>
      <c r="C28" s="288">
        <f>'[3]Sky West_AA'!$HW$19</f>
        <v>58</v>
      </c>
      <c r="D28" s="2">
        <f>'[3]Sky West_AA'!$HI$19</f>
        <v>56</v>
      </c>
      <c r="E28" s="66">
        <f>(C28-D28)/D28</f>
        <v>3.5714285714285712E-2</v>
      </c>
      <c r="F28" s="2">
        <f>SUM('[3]Sky West_AA'!$HR$19:$HW$19)</f>
        <v>448</v>
      </c>
      <c r="G28" s="2">
        <f>SUM('[3]Sky West_AA'!$HD$19:$HI$19)</f>
        <v>230</v>
      </c>
      <c r="H28" s="3">
        <f>(F28-G28)/G28</f>
        <v>0.94782608695652171</v>
      </c>
      <c r="I28" s="66">
        <f t="shared" si="20"/>
        <v>3.2619300723740734E-3</v>
      </c>
      <c r="J28" s="38"/>
      <c r="K28" s="343" t="s">
        <v>97</v>
      </c>
      <c r="L28" s="288">
        <f>'[3]Sky West_AA'!$HW$41</f>
        <v>3397</v>
      </c>
      <c r="M28" s="2">
        <f>'[3]Sky West_AA'!$HI$41</f>
        <v>3147</v>
      </c>
      <c r="N28" s="66">
        <f>(L28-M28)/M28</f>
        <v>7.9440737210041315E-2</v>
      </c>
      <c r="O28" s="288">
        <f>SUM('[3]Sky West_AA'!$HR$41:$HW$41)</f>
        <v>25251</v>
      </c>
      <c r="P28" s="2">
        <f>SUM('[3]Sky West_AA'!$HD$41:$HI$41)</f>
        <v>13085</v>
      </c>
      <c r="Q28" s="3">
        <f>(O28-P28)/P28</f>
        <v>0.92976690867405432</v>
      </c>
      <c r="R28" s="349">
        <f t="shared" si="23"/>
        <v>1.7238707387090939E-3</v>
      </c>
      <c r="S28" s="38"/>
      <c r="T28" s="343" t="s">
        <v>97</v>
      </c>
      <c r="U28" s="288">
        <f>'[3]Sky West_AA'!$HW$64</f>
        <v>770</v>
      </c>
      <c r="V28" s="2">
        <f>'[3]Sky West_AA'!$HI$64</f>
        <v>256</v>
      </c>
      <c r="W28" s="66">
        <f>(U28-V28)/V28</f>
        <v>2.0078125</v>
      </c>
      <c r="X28" s="288">
        <f>SUM('[3]Sky West_AA'!$HR$64:$HW$64)</f>
        <v>2700</v>
      </c>
      <c r="Y28" s="2">
        <f>SUM('[3]Sky West_AA'!$HD$64:$HI$64)</f>
        <v>1097</v>
      </c>
      <c r="Z28" s="3">
        <f>(X28-Y28)/Y28</f>
        <v>1.4612579762989972</v>
      </c>
      <c r="AA28" s="349">
        <f t="shared" si="26"/>
        <v>5.7239789364443918E-5</v>
      </c>
    </row>
    <row r="29" spans="1:27" ht="14.1" customHeight="1" x14ac:dyDescent="0.2">
      <c r="A29" s="38"/>
      <c r="B29" s="343" t="s">
        <v>51</v>
      </c>
      <c r="C29" s="288">
        <f>[3]MESA!$HW$19</f>
        <v>0</v>
      </c>
      <c r="D29" s="2">
        <f>[3]MESA!$HI$19</f>
        <v>0</v>
      </c>
      <c r="E29" s="66" t="e">
        <f t="shared" si="18"/>
        <v>#DIV/0!</v>
      </c>
      <c r="F29" s="2">
        <f>SUM([3]MESA!$HR$19:$HW$19)</f>
        <v>0</v>
      </c>
      <c r="G29" s="2">
        <f>SUM([3]MESA!$HD$19:$HI$19)</f>
        <v>0</v>
      </c>
      <c r="H29" s="3" t="e">
        <f t="shared" si="19"/>
        <v>#DIV/0!</v>
      </c>
      <c r="I29" s="66">
        <f t="shared" si="20"/>
        <v>0</v>
      </c>
      <c r="J29" s="38"/>
      <c r="K29" s="343" t="s">
        <v>51</v>
      </c>
      <c r="L29" s="288">
        <f>[3]MESA!$HW$41</f>
        <v>0</v>
      </c>
      <c r="M29" s="2">
        <f>[3]MESA!$HI$41</f>
        <v>0</v>
      </c>
      <c r="N29" s="66" t="e">
        <f t="shared" si="21"/>
        <v>#DIV/0!</v>
      </c>
      <c r="O29" s="288">
        <f>SUM([3]MESA!$HR$41:$HW$41)</f>
        <v>0</v>
      </c>
      <c r="P29" s="2">
        <f>SUM([3]MESA!$HD$41:$HI$41)</f>
        <v>0</v>
      </c>
      <c r="Q29" s="3" t="e">
        <f t="shared" si="22"/>
        <v>#DIV/0!</v>
      </c>
      <c r="R29" s="66">
        <f t="shared" si="23"/>
        <v>0</v>
      </c>
      <c r="S29" s="38"/>
      <c r="T29" s="343" t="s">
        <v>51</v>
      </c>
      <c r="U29" s="288">
        <f>[3]MESA!$HW$64</f>
        <v>0</v>
      </c>
      <c r="V29" s="2">
        <f>[3]MESA!$HI$64</f>
        <v>0</v>
      </c>
      <c r="W29" s="66" t="e">
        <f t="shared" ref="W29:W30" si="27">(U29-V29)/V29</f>
        <v>#DIV/0!</v>
      </c>
      <c r="X29" s="288">
        <f>SUM([3]MESA!$HR$64:$HW$64)</f>
        <v>0</v>
      </c>
      <c r="Y29" s="2">
        <f>SUM([3]MESA!$HD$64:$HI$64)</f>
        <v>0</v>
      </c>
      <c r="Z29" s="3" t="e">
        <f t="shared" ref="Z29:Z30" si="28">(X29-Y29)/Y29</f>
        <v>#DIV/0!</v>
      </c>
      <c r="AA29" s="66">
        <f t="shared" si="26"/>
        <v>0</v>
      </c>
    </row>
    <row r="30" spans="1:27" ht="14.1" customHeight="1" x14ac:dyDescent="0.2">
      <c r="A30" s="38"/>
      <c r="B30" s="343" t="s">
        <v>50</v>
      </c>
      <c r="C30" s="288">
        <f>'[3]Air Wisconsin'!$HW$19</f>
        <v>2</v>
      </c>
      <c r="D30" s="2">
        <f>'[3]Air Wisconsin'!$HI$19</f>
        <v>0</v>
      </c>
      <c r="E30" s="66" t="e">
        <f t="shared" si="18"/>
        <v>#DIV/0!</v>
      </c>
      <c r="F30" s="2">
        <f>SUM('[3]Air Wisconsin'!$HR$19:$HW$19)</f>
        <v>2</v>
      </c>
      <c r="G30" s="2">
        <f>SUM('[3]Air Wisconsin'!$HD$19:$HI$19)</f>
        <v>0</v>
      </c>
      <c r="H30" s="379" t="e">
        <f t="shared" si="19"/>
        <v>#DIV/0!</v>
      </c>
      <c r="I30" s="66">
        <f t="shared" si="20"/>
        <v>1.4562187823098543E-5</v>
      </c>
      <c r="J30" s="38"/>
      <c r="K30" s="291" t="s">
        <v>50</v>
      </c>
      <c r="L30" s="288">
        <f>'[3]Air Wisconsin'!$HW$41</f>
        <v>44</v>
      </c>
      <c r="M30" s="2">
        <f>'[3]Air Wisconsin'!$HI$41</f>
        <v>0</v>
      </c>
      <c r="N30" s="66" t="e">
        <f t="shared" si="21"/>
        <v>#DIV/0!</v>
      </c>
      <c r="O30" s="288">
        <f>SUM('[3]Air Wisconsin'!$HR$41:$HW$41)</f>
        <v>44</v>
      </c>
      <c r="P30" s="2">
        <f>SUM('[3]Air Wisconsin'!$HD$41:$HI$41)</f>
        <v>0</v>
      </c>
      <c r="Q30" s="3" t="e">
        <f t="shared" si="22"/>
        <v>#DIV/0!</v>
      </c>
      <c r="R30" s="66">
        <f t="shared" si="23"/>
        <v>3.003853807896722E-6</v>
      </c>
      <c r="S30" s="38"/>
      <c r="T30" s="291" t="s">
        <v>50</v>
      </c>
      <c r="U30" s="288">
        <f>'[3]Air Wisconsin'!$HW$64</f>
        <v>0</v>
      </c>
      <c r="V30" s="2">
        <f>'[3]Air Wisconsin'!$HI$64</f>
        <v>0</v>
      </c>
      <c r="W30" s="66" t="e">
        <f t="shared" si="27"/>
        <v>#DIV/0!</v>
      </c>
      <c r="X30" s="288">
        <f>SUM('[3]Air Wisconsin'!$HR$64:$HW$64)</f>
        <v>0</v>
      </c>
      <c r="Y30" s="2">
        <f>SUM('[3]Air Wisconsin'!$HD$64:$HI$64)</f>
        <v>0</v>
      </c>
      <c r="Z30" s="3" t="e">
        <f t="shared" si="28"/>
        <v>#DIV/0!</v>
      </c>
      <c r="AA30" s="66">
        <f t="shared" si="26"/>
        <v>0</v>
      </c>
    </row>
    <row r="31" spans="1:27" ht="14.1" customHeight="1" x14ac:dyDescent="0.2">
      <c r="A31" s="38"/>
      <c r="B31" s="40"/>
      <c r="C31" s="288"/>
      <c r="E31" s="66"/>
      <c r="F31" s="2"/>
      <c r="I31" s="66"/>
      <c r="J31" s="38"/>
      <c r="K31" s="40"/>
      <c r="L31" s="288"/>
      <c r="N31" s="66"/>
      <c r="O31" s="288"/>
      <c r="P31" s="2"/>
      <c r="Q31" s="3"/>
      <c r="R31" s="66"/>
      <c r="S31" s="38"/>
      <c r="T31" s="40"/>
      <c r="U31" s="288"/>
      <c r="V31" s="2"/>
      <c r="W31" s="66"/>
      <c r="X31" s="288"/>
      <c r="Y31" s="2"/>
      <c r="Z31" s="3"/>
      <c r="AA31" s="66"/>
    </row>
    <row r="32" spans="1:27" ht="14.1" customHeight="1" x14ac:dyDescent="0.2">
      <c r="A32" s="283" t="s">
        <v>179</v>
      </c>
      <c r="B32" s="40"/>
      <c r="C32" s="284">
        <f>'[3]Boutique Air'!$HW$19</f>
        <v>0</v>
      </c>
      <c r="D32" s="286">
        <f>'[3]Boutique Air'!$HI$19</f>
        <v>41</v>
      </c>
      <c r="E32" s="287">
        <f>(C32-D32)/D32</f>
        <v>-1</v>
      </c>
      <c r="F32" s="286">
        <f>SUM('[3]Boutique Air'!$HR$19:$HW$19)</f>
        <v>0</v>
      </c>
      <c r="G32" s="286">
        <f>SUM('[3]Boutique Air'!$HD$19:$HI$19)</f>
        <v>267</v>
      </c>
      <c r="H32" s="285">
        <f>(F32-G32)/G32</f>
        <v>-1</v>
      </c>
      <c r="I32" s="287">
        <f>F32/$F$73</f>
        <v>0</v>
      </c>
      <c r="J32" s="283" t="s">
        <v>179</v>
      </c>
      <c r="K32" s="40"/>
      <c r="L32" s="284">
        <f>'[3]Boutique Air'!$HW$41</f>
        <v>0</v>
      </c>
      <c r="M32" s="286">
        <f>'[3]Boutique Air'!$HI$41</f>
        <v>202</v>
      </c>
      <c r="N32" s="287">
        <f>(L32-M32)/M32</f>
        <v>-1</v>
      </c>
      <c r="O32" s="284">
        <f>SUM('[3]Boutique Air'!$HR$41:$HW$41)</f>
        <v>0</v>
      </c>
      <c r="P32" s="286">
        <f>SUM('[3]Boutique Air'!$HD$41:$HI$41)</f>
        <v>1200</v>
      </c>
      <c r="Q32" s="285">
        <f>(O32-P32)/P32</f>
        <v>-1</v>
      </c>
      <c r="R32" s="287">
        <f>O32/$O$73</f>
        <v>0</v>
      </c>
      <c r="S32" s="283" t="s">
        <v>179</v>
      </c>
      <c r="T32" s="40"/>
      <c r="U32" s="284">
        <f>'[3]Boutique Air'!$HW$64</f>
        <v>0</v>
      </c>
      <c r="V32" s="286">
        <f>'[3]Boutique Air'!$HI$64</f>
        <v>0</v>
      </c>
      <c r="W32" s="287" t="e">
        <f>(U32-V32)/V32</f>
        <v>#DIV/0!</v>
      </c>
      <c r="X32" s="284">
        <f>SUM('[3]Boutique Air'!$HR$64:$HW$64)</f>
        <v>0</v>
      </c>
      <c r="Y32" s="286">
        <f>SUM('[3]Boutique Air'!$HD$64:$HI$64)</f>
        <v>0</v>
      </c>
      <c r="Z32" s="285" t="e">
        <f>(X32-Y32)/Y32</f>
        <v>#DIV/0!</v>
      </c>
      <c r="AA32" s="287">
        <f>X32/$X$73</f>
        <v>0</v>
      </c>
    </row>
    <row r="33" spans="1:27" ht="14.1" customHeight="1" x14ac:dyDescent="0.2">
      <c r="A33" s="38"/>
      <c r="B33" s="40"/>
      <c r="C33" s="288"/>
      <c r="E33" s="66"/>
      <c r="F33" s="2"/>
      <c r="I33" s="66"/>
      <c r="J33" s="38"/>
      <c r="K33" s="40"/>
      <c r="L33" s="288"/>
      <c r="N33" s="66"/>
      <c r="O33" s="288"/>
      <c r="P33" s="2"/>
      <c r="Q33" s="3"/>
      <c r="R33" s="66"/>
      <c r="S33" s="38"/>
      <c r="T33" s="40"/>
      <c r="U33" s="288"/>
      <c r="V33" s="2"/>
      <c r="W33" s="66"/>
      <c r="X33" s="288"/>
      <c r="Y33" s="2"/>
      <c r="Z33" s="3"/>
      <c r="AA33" s="66"/>
    </row>
    <row r="34" spans="1:27" ht="14.1" customHeight="1" x14ac:dyDescent="0.2">
      <c r="A34" s="283" t="s">
        <v>161</v>
      </c>
      <c r="B34" s="40"/>
      <c r="C34" s="284">
        <f>[3]Condor!$HW$19</f>
        <v>26</v>
      </c>
      <c r="D34" s="286">
        <f>[3]Condor!$HI$19</f>
        <v>0</v>
      </c>
      <c r="E34" s="287" t="e">
        <f>(C34-D34)/D34</f>
        <v>#DIV/0!</v>
      </c>
      <c r="F34" s="286">
        <f>SUM([3]Condor!$HR$19:$HW$19)</f>
        <v>28</v>
      </c>
      <c r="G34" s="286">
        <f>SUM([3]Condor!$HD$19:$HI$19)</f>
        <v>0</v>
      </c>
      <c r="H34" s="285" t="e">
        <f>(F34-G34)/G34</f>
        <v>#DIV/0!</v>
      </c>
      <c r="I34" s="287">
        <f>F34/$F$73</f>
        <v>2.0387062952337959E-4</v>
      </c>
      <c r="J34" s="283" t="s">
        <v>161</v>
      </c>
      <c r="K34" s="40"/>
      <c r="L34" s="284">
        <f>[3]Condor!$HW$41</f>
        <v>5216</v>
      </c>
      <c r="M34" s="286">
        <f>[3]Condor!$HI$41</f>
        <v>0</v>
      </c>
      <c r="N34" s="287" t="e">
        <f>(L34-M34)/M34</f>
        <v>#DIV/0!</v>
      </c>
      <c r="O34" s="284">
        <f>SUM([3]Condor!$HR$41:$HW$41)</f>
        <v>5611</v>
      </c>
      <c r="P34" s="286">
        <f>SUM([3]Condor!$HD$41:$HI$41)</f>
        <v>0</v>
      </c>
      <c r="Q34" s="285" t="e">
        <f>(O34-P34)/P34</f>
        <v>#DIV/0!</v>
      </c>
      <c r="R34" s="287">
        <f>O34/$O$73</f>
        <v>3.8305962991155699E-4</v>
      </c>
      <c r="S34" s="283" t="s">
        <v>161</v>
      </c>
      <c r="T34" s="40"/>
      <c r="U34" s="284">
        <f>[3]Condor!$HW$64</f>
        <v>229195</v>
      </c>
      <c r="V34" s="286">
        <f>[3]Condor!$HI$64</f>
        <v>0</v>
      </c>
      <c r="W34" s="287" t="e">
        <f>(U34-V34)/V34</f>
        <v>#DIV/0!</v>
      </c>
      <c r="X34" s="284">
        <f>SUM([3]Condor!$HR$64:$HW$64)</f>
        <v>229195</v>
      </c>
      <c r="Y34" s="286">
        <f>SUM([3]Condor!$HD$64:$HI$64)</f>
        <v>0</v>
      </c>
      <c r="Z34" s="285" t="e">
        <f>(X34-Y34)/Y34</f>
        <v>#DIV/0!</v>
      </c>
      <c r="AA34" s="287">
        <f>X34/$X$73</f>
        <v>4.8589161197717494E-3</v>
      </c>
    </row>
    <row r="35" spans="1:27" ht="14.1" customHeight="1" x14ac:dyDescent="0.2">
      <c r="A35" s="38"/>
      <c r="B35" s="40"/>
      <c r="C35" s="288"/>
      <c r="E35" s="66"/>
      <c r="F35" s="2"/>
      <c r="I35" s="66"/>
      <c r="J35" s="38"/>
      <c r="K35" s="40"/>
      <c r="L35" s="288"/>
      <c r="N35" s="66"/>
      <c r="O35" s="288"/>
      <c r="P35" s="2"/>
      <c r="Q35" s="3"/>
      <c r="R35" s="66"/>
      <c r="S35" s="38"/>
      <c r="T35" s="40"/>
      <c r="U35" s="288"/>
      <c r="V35" s="2"/>
      <c r="W35" s="66"/>
      <c r="X35" s="288"/>
      <c r="Y35" s="2"/>
      <c r="Z35" s="3"/>
      <c r="AA35" s="66"/>
    </row>
    <row r="36" spans="1:27" ht="14.1" customHeight="1" x14ac:dyDescent="0.2">
      <c r="A36" s="283" t="s">
        <v>229</v>
      </c>
      <c r="B36" s="40"/>
      <c r="C36" s="284">
        <f>'[3]Denver Air'!$HW$19</f>
        <v>156</v>
      </c>
      <c r="D36" s="286">
        <f>'[3]Denver Air'!$HI$19</f>
        <v>104</v>
      </c>
      <c r="E36" s="287">
        <f>(C36-D36)/D36</f>
        <v>0.5</v>
      </c>
      <c r="F36" s="286">
        <f>SUM('[3]Denver Air'!$HR$19:$HW$19)</f>
        <v>940</v>
      </c>
      <c r="G36" s="286">
        <f>SUM('[3]Denver Air'!$HD$19:$HI$19)</f>
        <v>654</v>
      </c>
      <c r="H36" s="285">
        <f>(F36-G36)/G36</f>
        <v>0.43730886850152906</v>
      </c>
      <c r="I36" s="287">
        <f>F36/$F$73</f>
        <v>6.8442282768563147E-3</v>
      </c>
      <c r="J36" s="283" t="s">
        <v>229</v>
      </c>
      <c r="K36" s="40"/>
      <c r="L36" s="284">
        <f>'[3]Denver Air'!$HW$41</f>
        <v>1923</v>
      </c>
      <c r="M36" s="286">
        <f>'[3]Denver Air'!$HI$41</f>
        <v>847</v>
      </c>
      <c r="N36" s="287">
        <f>(L36-M36)/M36</f>
        <v>1.2703659976387249</v>
      </c>
      <c r="O36" s="284">
        <f>SUM('[3]Denver Air'!$HR$41:$HW$41)</f>
        <v>9817</v>
      </c>
      <c r="P36" s="286">
        <f>SUM('[3]Denver Air'!$HD$41:$HI$41)</f>
        <v>3281</v>
      </c>
      <c r="Q36" s="285">
        <f>(O36-P36)/P36</f>
        <v>1.9920755867113684</v>
      </c>
      <c r="R36" s="287">
        <f>O36/$O$73</f>
        <v>6.7020074618459363E-4</v>
      </c>
      <c r="S36" s="283" t="s">
        <v>229</v>
      </c>
      <c r="T36" s="40"/>
      <c r="U36" s="284">
        <f>'[3]Denver Air'!$HW$64</f>
        <v>0</v>
      </c>
      <c r="V36" s="286">
        <f>'[3]Denver Air'!$HI$64</f>
        <v>0</v>
      </c>
      <c r="W36" s="287" t="e">
        <f>(U36-V36)/V36</f>
        <v>#DIV/0!</v>
      </c>
      <c r="X36" s="284">
        <f>SUM('[3]Denver Air'!$HR$64:$HW$64)</f>
        <v>0</v>
      </c>
      <c r="Y36" s="286">
        <f>SUM('[3]Denver Air'!$HD$64:$HI$64)</f>
        <v>0</v>
      </c>
      <c r="Z36" s="285" t="e">
        <f>(X36-Y36)/Y36</f>
        <v>#DIV/0!</v>
      </c>
      <c r="AA36" s="287">
        <f>X36/$X$71</f>
        <v>0</v>
      </c>
    </row>
    <row r="37" spans="1:27" ht="14.1" customHeight="1" x14ac:dyDescent="0.2">
      <c r="A37" s="38"/>
      <c r="B37" s="40"/>
      <c r="C37" s="288"/>
      <c r="E37" s="66"/>
      <c r="F37" s="2"/>
      <c r="I37" s="66"/>
      <c r="J37" s="38"/>
      <c r="K37" s="40"/>
      <c r="L37" s="288"/>
      <c r="N37" s="66"/>
      <c r="O37" s="288"/>
      <c r="P37" s="2"/>
      <c r="Q37" s="3"/>
      <c r="R37" s="66"/>
      <c r="S37" s="38"/>
      <c r="T37" s="40"/>
      <c r="U37" s="288"/>
      <c r="V37" s="2"/>
      <c r="W37" s="66"/>
      <c r="X37" s="288"/>
      <c r="Y37" s="2"/>
      <c r="Z37" s="3"/>
      <c r="AA37" s="66"/>
    </row>
    <row r="38" spans="1:27" ht="14.1" customHeight="1" x14ac:dyDescent="0.2">
      <c r="A38" s="283" t="s">
        <v>18</v>
      </c>
      <c r="B38" s="290"/>
      <c r="C38" s="284">
        <f>SUM(C39:C45)</f>
        <v>17809</v>
      </c>
      <c r="D38" s="286">
        <f>SUM(D39:D45)</f>
        <v>19108</v>
      </c>
      <c r="E38" s="287">
        <f t="shared" ref="E38:E45" si="29">(C38-D38)/D38</f>
        <v>-6.7981997069290354E-2</v>
      </c>
      <c r="F38" s="289">
        <f>SUM(F39:F45)</f>
        <v>102888</v>
      </c>
      <c r="G38" s="289">
        <f>SUM(G39:G45)</f>
        <v>97062</v>
      </c>
      <c r="H38" s="285">
        <f>(F38-G38)/G38</f>
        <v>6.0023490140322683E-2</v>
      </c>
      <c r="I38" s="287">
        <f t="shared" ref="I38:I45" si="30">F38/$F$73</f>
        <v>0.74913719037148141</v>
      </c>
      <c r="J38" s="283" t="s">
        <v>18</v>
      </c>
      <c r="K38" s="290"/>
      <c r="L38" s="284">
        <f>SUM(L39:L45)</f>
        <v>1974414</v>
      </c>
      <c r="M38" s="286">
        <f>SUM(M39:M45)</f>
        <v>1730867</v>
      </c>
      <c r="N38" s="287">
        <f t="shared" ref="N38:N45" si="31">(L38-M38)/M38</f>
        <v>0.14070809600044371</v>
      </c>
      <c r="O38" s="284">
        <f>SUM(O39:O45)</f>
        <v>10452498</v>
      </c>
      <c r="P38" s="286">
        <f>SUM(P39:P45)</f>
        <v>6864108</v>
      </c>
      <c r="Q38" s="285">
        <f t="shared" ref="Q38:Q45" si="32">(O38-P38)/P38</f>
        <v>0.522775865414705</v>
      </c>
      <c r="R38" s="287">
        <f t="shared" ref="R38:R45" si="33">O38/$O$73</f>
        <v>0.7135858163484744</v>
      </c>
      <c r="S38" s="283" t="s">
        <v>18</v>
      </c>
      <c r="T38" s="290"/>
      <c r="U38" s="284">
        <f>SUM(U39:U45)</f>
        <v>7854616</v>
      </c>
      <c r="V38" s="286">
        <f>SUM(V39:V45)</f>
        <v>3926176</v>
      </c>
      <c r="W38" s="287">
        <f t="shared" ref="W38:W45" si="34">(U38-V38)/V38</f>
        <v>1.0005766425142428</v>
      </c>
      <c r="X38" s="284">
        <f>SUM(X39:X45)</f>
        <v>37169223</v>
      </c>
      <c r="Y38" s="286">
        <f>SUM(Y39:Y45)</f>
        <v>19525341</v>
      </c>
      <c r="Z38" s="285">
        <f t="shared" ref="Z38:Z41" si="35">(X38-Y38)/Y38</f>
        <v>0.90364014641280788</v>
      </c>
      <c r="AA38" s="287">
        <f t="shared" ref="AA38:AA45" si="36">X38/$X$73</f>
        <v>0.78798462791112744</v>
      </c>
    </row>
    <row r="39" spans="1:27" ht="14.1" customHeight="1" x14ac:dyDescent="0.2">
      <c r="A39" s="38"/>
      <c r="B39" s="40" t="s">
        <v>18</v>
      </c>
      <c r="C39" s="288">
        <f>[3]Delta!$HW$19</f>
        <v>10362</v>
      </c>
      <c r="D39" s="2">
        <f>[3]Delta!$HI$19</f>
        <v>8651</v>
      </c>
      <c r="E39" s="66">
        <f t="shared" si="29"/>
        <v>0.19778060339845105</v>
      </c>
      <c r="F39" s="2">
        <f>SUM([3]Delta!$HR$19:$HW$19)</f>
        <v>58532</v>
      </c>
      <c r="G39" s="2">
        <f>SUM([3]Delta!$HD$19:$HI$19)</f>
        <v>43880</v>
      </c>
      <c r="H39" s="3">
        <f t="shared" ref="H39:H45" si="37">(F39-G39)/G39</f>
        <v>0.3339106654512306</v>
      </c>
      <c r="I39" s="66">
        <f t="shared" si="30"/>
        <v>0.42617698883080196</v>
      </c>
      <c r="J39" s="38"/>
      <c r="K39" s="40" t="s">
        <v>18</v>
      </c>
      <c r="L39" s="288">
        <f>[3]Delta!$HW$41</f>
        <v>1569466</v>
      </c>
      <c r="M39" s="2">
        <f>[3]Delta!$HI$41</f>
        <v>1249886</v>
      </c>
      <c r="N39" s="66">
        <f t="shared" si="31"/>
        <v>0.25568731868346395</v>
      </c>
      <c r="O39" s="288">
        <f>SUM([3]Delta!$HR$41:$HW$41)</f>
        <v>8209562</v>
      </c>
      <c r="P39" s="2">
        <f>SUM([3]Delta!$HD$41:$HI$41)</f>
        <v>4796698</v>
      </c>
      <c r="Q39" s="3">
        <f t="shared" si="32"/>
        <v>0.71150278795955046</v>
      </c>
      <c r="R39" s="66">
        <f t="shared" si="33"/>
        <v>0.56046191079236884</v>
      </c>
      <c r="S39" s="38"/>
      <c r="T39" s="40" t="s">
        <v>18</v>
      </c>
      <c r="U39" s="288">
        <f>[3]Delta!$HW$64</f>
        <v>7854616</v>
      </c>
      <c r="V39" s="2">
        <f>[3]Delta!$HI$64</f>
        <v>3926176</v>
      </c>
      <c r="W39" s="66">
        <f t="shared" si="34"/>
        <v>1.0005766425142428</v>
      </c>
      <c r="X39" s="288">
        <f>SUM([3]Delta!$HR$64:$HW$64)</f>
        <v>37169223</v>
      </c>
      <c r="Y39" s="2">
        <f>SUM([3]Delta!$HD$64:$HI$64)</f>
        <v>19525341</v>
      </c>
      <c r="Z39" s="3">
        <f t="shared" si="35"/>
        <v>0.90364014641280788</v>
      </c>
      <c r="AA39" s="66">
        <f t="shared" si="36"/>
        <v>0.78798462791112744</v>
      </c>
    </row>
    <row r="40" spans="1:27" ht="14.1" customHeight="1" x14ac:dyDescent="0.2">
      <c r="A40" s="38"/>
      <c r="B40" s="291" t="s">
        <v>117</v>
      </c>
      <c r="C40" s="288">
        <f>[3]Compass!$HW$19</f>
        <v>0</v>
      </c>
      <c r="D40" s="2">
        <f>[3]Compass!$HI$19</f>
        <v>0</v>
      </c>
      <c r="E40" s="66" t="e">
        <f t="shared" si="29"/>
        <v>#DIV/0!</v>
      </c>
      <c r="F40" s="2">
        <f>SUM([3]Compass!$HR$19:$HW$19)</f>
        <v>0</v>
      </c>
      <c r="G40" s="2">
        <f>SUM([3]Compass!$HD$19:$HI$19)</f>
        <v>0</v>
      </c>
      <c r="H40" s="3" t="e">
        <f t="shared" si="37"/>
        <v>#DIV/0!</v>
      </c>
      <c r="I40" s="66">
        <f t="shared" si="30"/>
        <v>0</v>
      </c>
      <c r="J40" s="38"/>
      <c r="K40" s="291" t="s">
        <v>117</v>
      </c>
      <c r="L40" s="288">
        <f>[3]Compass!$HW$41</f>
        <v>0</v>
      </c>
      <c r="M40" s="2">
        <f>[3]Compass!$HI$41</f>
        <v>0</v>
      </c>
      <c r="N40" s="66" t="e">
        <f t="shared" si="31"/>
        <v>#DIV/0!</v>
      </c>
      <c r="O40" s="288">
        <f>SUM([3]Compass!$HR$41:$HW$41)</f>
        <v>0</v>
      </c>
      <c r="P40" s="2">
        <f>SUM([3]Compass!$HD$41:$HI$41)</f>
        <v>0</v>
      </c>
      <c r="Q40" s="3" t="e">
        <f t="shared" si="32"/>
        <v>#DIV/0!</v>
      </c>
      <c r="R40" s="66">
        <f t="shared" si="33"/>
        <v>0</v>
      </c>
      <c r="S40" s="38"/>
      <c r="T40" s="291" t="s">
        <v>117</v>
      </c>
      <c r="U40" s="288">
        <f>[3]Compass!$HW$64</f>
        <v>0</v>
      </c>
      <c r="V40" s="2">
        <f>[3]Compass!$HI$64</f>
        <v>0</v>
      </c>
      <c r="W40" s="66" t="e">
        <f t="shared" si="34"/>
        <v>#DIV/0!</v>
      </c>
      <c r="X40" s="288">
        <f>SUM([3]Compass!$HR$64:$HW$64)</f>
        <v>0</v>
      </c>
      <c r="Y40" s="2">
        <f>SUM([3]Compass!$HD$64:$HI$64)</f>
        <v>0</v>
      </c>
      <c r="Z40" s="3" t="e">
        <f t="shared" si="35"/>
        <v>#DIV/0!</v>
      </c>
      <c r="AA40" s="66">
        <f t="shared" si="36"/>
        <v>0</v>
      </c>
    </row>
    <row r="41" spans="1:27" ht="14.1" customHeight="1" x14ac:dyDescent="0.2">
      <c r="A41" s="38"/>
      <c r="B41" s="40" t="s">
        <v>158</v>
      </c>
      <c r="C41" s="288">
        <f>[3]Pinnacle!$HW$19</f>
        <v>1223</v>
      </c>
      <c r="D41" s="2">
        <f>[3]Pinnacle!$HI$19</f>
        <v>4169</v>
      </c>
      <c r="E41" s="66">
        <f t="shared" si="29"/>
        <v>-0.70664427920364592</v>
      </c>
      <c r="F41" s="2">
        <f>SUM([3]Pinnacle!$HR$19:$HW$19)</f>
        <v>9506</v>
      </c>
      <c r="G41" s="2">
        <f>SUM([3]Pinnacle!$HD$19:$HI$19)</f>
        <v>19912</v>
      </c>
      <c r="H41" s="3">
        <f t="shared" si="37"/>
        <v>-0.52259943752511051</v>
      </c>
      <c r="I41" s="66">
        <f t="shared" si="30"/>
        <v>6.9214078723187369E-2</v>
      </c>
      <c r="J41" s="38"/>
      <c r="K41" s="40" t="s">
        <v>158</v>
      </c>
      <c r="L41" s="288">
        <f>[3]Pinnacle!$HW$41</f>
        <v>72357</v>
      </c>
      <c r="M41" s="2">
        <f>[3]Pinnacle!$HI$41</f>
        <v>198917</v>
      </c>
      <c r="N41" s="66">
        <f t="shared" si="31"/>
        <v>-0.63624526812690718</v>
      </c>
      <c r="O41" s="288">
        <f>SUM([3]Pinnacle!$HR$41:$HW$41)</f>
        <v>460775</v>
      </c>
      <c r="P41" s="2">
        <f>SUM([3]Pinnacle!$HD$41:$HI$41)</f>
        <v>767946</v>
      </c>
      <c r="Q41" s="3">
        <f t="shared" si="32"/>
        <v>-0.39999036390579545</v>
      </c>
      <c r="R41" s="66">
        <f t="shared" si="33"/>
        <v>3.1456834962127547E-2</v>
      </c>
      <c r="S41" s="38"/>
      <c r="T41" s="40" t="s">
        <v>158</v>
      </c>
      <c r="U41" s="288">
        <f>[3]Pinnacle!$HW$64</f>
        <v>0</v>
      </c>
      <c r="V41" s="2">
        <f>[3]Pinnacle!$HI$64</f>
        <v>0</v>
      </c>
      <c r="W41" s="66" t="e">
        <f t="shared" si="34"/>
        <v>#DIV/0!</v>
      </c>
      <c r="X41" s="288">
        <f>SUM([3]Pinnacle!$HR$64:$HW$64)</f>
        <v>0</v>
      </c>
      <c r="Y41" s="2">
        <f>SUM([3]Pinnacle!$HD$64:$HI$64)</f>
        <v>0</v>
      </c>
      <c r="Z41" s="3" t="e">
        <f t="shared" si="35"/>
        <v>#DIV/0!</v>
      </c>
      <c r="AA41" s="66">
        <f t="shared" si="36"/>
        <v>0</v>
      </c>
    </row>
    <row r="42" spans="1:27" ht="14.1" customHeight="1" x14ac:dyDescent="0.2">
      <c r="A42" s="38"/>
      <c r="B42" s="40" t="s">
        <v>154</v>
      </c>
      <c r="C42" s="288">
        <f>'[3]Go Jet'!$HW$19</f>
        <v>0</v>
      </c>
      <c r="D42" s="2">
        <f>'[3]Go Jet'!$HI$19</f>
        <v>0</v>
      </c>
      <c r="E42" s="66" t="e">
        <f t="shared" si="29"/>
        <v>#DIV/0!</v>
      </c>
      <c r="F42" s="2">
        <f>SUM('[3]Go Jet'!$HR$19:$HW$19)</f>
        <v>0</v>
      </c>
      <c r="G42" s="2">
        <f>SUM('[3]Go Jet'!$HD$19:$HI$19)</f>
        <v>0</v>
      </c>
      <c r="H42" s="3" t="e">
        <f>(F42-G42)/G42</f>
        <v>#DIV/0!</v>
      </c>
      <c r="I42" s="66">
        <f t="shared" si="30"/>
        <v>0</v>
      </c>
      <c r="J42" s="38"/>
      <c r="K42" s="40" t="s">
        <v>154</v>
      </c>
      <c r="L42" s="288">
        <f>'[3]Go Jet'!$HW$41</f>
        <v>0</v>
      </c>
      <c r="M42" s="2">
        <f>'[3]Go Jet'!$HI$41</f>
        <v>0</v>
      </c>
      <c r="N42" s="66" t="e">
        <f t="shared" si="31"/>
        <v>#DIV/0!</v>
      </c>
      <c r="O42" s="288">
        <f>SUM('[3]Go Jet'!$HR$41:$HW$41)</f>
        <v>0</v>
      </c>
      <c r="P42" s="2">
        <f>SUM('[3]Go Jet'!$HD$41:$HI$41)</f>
        <v>0</v>
      </c>
      <c r="Q42" s="3" t="e">
        <f>(O42-P42)/P42</f>
        <v>#DIV/0!</v>
      </c>
      <c r="R42" s="66">
        <f t="shared" si="33"/>
        <v>0</v>
      </c>
      <c r="S42" s="38"/>
      <c r="T42" s="40" t="s">
        <v>154</v>
      </c>
      <c r="U42" s="288">
        <f>'[3]Go Jet'!$HW$64</f>
        <v>0</v>
      </c>
      <c r="V42" s="2">
        <f>'[3]Go Jet'!$HI$64</f>
        <v>0</v>
      </c>
      <c r="W42" s="66" t="e">
        <f t="shared" si="34"/>
        <v>#DIV/0!</v>
      </c>
      <c r="X42" s="288">
        <f>SUM('[3]Go Jet'!$HR$64:$HW$64)</f>
        <v>0</v>
      </c>
      <c r="Y42" s="2">
        <f>SUM('[3]Go Jet'!$HD$64:$HI$64)</f>
        <v>0</v>
      </c>
      <c r="Z42" s="3" t="e">
        <f>(X42-Y42)/Y42</f>
        <v>#DIV/0!</v>
      </c>
      <c r="AA42" s="66">
        <f t="shared" si="36"/>
        <v>0</v>
      </c>
    </row>
    <row r="43" spans="1:27" ht="14.1" customHeight="1" x14ac:dyDescent="0.2">
      <c r="A43" s="38"/>
      <c r="B43" s="40" t="s">
        <v>97</v>
      </c>
      <c r="C43" s="288">
        <f>'[3]Sky West'!$HW$19</f>
        <v>6224</v>
      </c>
      <c r="D43" s="2">
        <f>'[3]Sky West'!$HI$19</f>
        <v>6288</v>
      </c>
      <c r="E43" s="66">
        <f t="shared" si="29"/>
        <v>-1.0178117048346057E-2</v>
      </c>
      <c r="F43" s="2">
        <f>SUM('[3]Sky West'!$HR$19:$HW$19)</f>
        <v>34850</v>
      </c>
      <c r="G43" s="2">
        <f>SUM('[3]Sky West'!$HD$19:$HI$19)</f>
        <v>33270</v>
      </c>
      <c r="H43" s="3">
        <f t="shared" si="37"/>
        <v>4.7490231439735499E-2</v>
      </c>
      <c r="I43" s="66">
        <f t="shared" si="30"/>
        <v>0.25374612281749209</v>
      </c>
      <c r="J43" s="38"/>
      <c r="K43" s="40" t="s">
        <v>97</v>
      </c>
      <c r="L43" s="288">
        <f>'[3]Sky West'!$HW$41</f>
        <v>332591</v>
      </c>
      <c r="M43" s="2">
        <f>'[3]Sky West'!$HI$41</f>
        <v>282064</v>
      </c>
      <c r="N43" s="66">
        <f t="shared" si="31"/>
        <v>0.17913310454364967</v>
      </c>
      <c r="O43" s="288">
        <f>SUM('[3]Sky West'!$HR$41:$HW$41)</f>
        <v>1782161</v>
      </c>
      <c r="P43" s="2">
        <f>SUM('[3]Sky West'!$HD$41:$HI$41)</f>
        <v>1299464</v>
      </c>
      <c r="Q43" s="3">
        <f t="shared" si="32"/>
        <v>0.37145853982872939</v>
      </c>
      <c r="R43" s="66">
        <f t="shared" si="33"/>
        <v>0.12166707059397795</v>
      </c>
      <c r="S43" s="38"/>
      <c r="T43" s="40" t="s">
        <v>97</v>
      </c>
      <c r="U43" s="288">
        <f>'[3]Sky West'!$HW$64</f>
        <v>0</v>
      </c>
      <c r="V43" s="2">
        <f>'[3]Sky West'!$HI$64</f>
        <v>0</v>
      </c>
      <c r="W43" s="66" t="e">
        <f t="shared" si="34"/>
        <v>#DIV/0!</v>
      </c>
      <c r="X43" s="288">
        <f>SUM('[3]Sky West'!$HR$64:$HW$64)</f>
        <v>0</v>
      </c>
      <c r="Y43" s="2">
        <f>SUM('[3]Sky West'!$HD$64:$HI$64)</f>
        <v>0</v>
      </c>
      <c r="Z43" s="3" t="e">
        <f t="shared" ref="Z43:Z45" si="38">(X43-Y43)/Y43</f>
        <v>#DIV/0!</v>
      </c>
      <c r="AA43" s="66">
        <f t="shared" si="36"/>
        <v>0</v>
      </c>
    </row>
    <row r="44" spans="1:27" ht="14.1" customHeight="1" x14ac:dyDescent="0.2">
      <c r="A44" s="38"/>
      <c r="B44" s="40" t="s">
        <v>131</v>
      </c>
      <c r="C44" s="288">
        <f>'[3]Shuttle America_Delta'!$HW$19</f>
        <v>0</v>
      </c>
      <c r="D44" s="2">
        <f>'[3]Shuttle America_Delta'!$HI$19</f>
        <v>0</v>
      </c>
      <c r="E44" s="66" t="e">
        <f t="shared" si="29"/>
        <v>#DIV/0!</v>
      </c>
      <c r="F44" s="2">
        <f>SUM('[3]Shuttle America_Delta'!$HR$19:$HW$19)</f>
        <v>0</v>
      </c>
      <c r="G44" s="2">
        <f>SUM('[3]Shuttle America_Delta'!$HD$19:$HI$19)</f>
        <v>0</v>
      </c>
      <c r="H44" s="3" t="e">
        <f t="shared" si="37"/>
        <v>#DIV/0!</v>
      </c>
      <c r="I44" s="66">
        <f t="shared" si="30"/>
        <v>0</v>
      </c>
      <c r="J44" s="38"/>
      <c r="K44" s="40" t="s">
        <v>131</v>
      </c>
      <c r="L44" s="288">
        <f>'[3]Shuttle America_Delta'!$HW$41</f>
        <v>0</v>
      </c>
      <c r="M44" s="2">
        <f>'[3]Shuttle America_Delta'!$HI$41</f>
        <v>0</v>
      </c>
      <c r="N44" s="66" t="e">
        <f t="shared" si="31"/>
        <v>#DIV/0!</v>
      </c>
      <c r="O44" s="288">
        <f>SUM('[3]Shuttle America_Delta'!$HR$41:$HW$41)</f>
        <v>0</v>
      </c>
      <c r="P44" s="2">
        <f>SUM('[3]Shuttle America_Delta'!$HD$41:$HI$41)</f>
        <v>0</v>
      </c>
      <c r="Q44" s="3" t="e">
        <f t="shared" si="32"/>
        <v>#DIV/0!</v>
      </c>
      <c r="R44" s="66">
        <f t="shared" si="33"/>
        <v>0</v>
      </c>
      <c r="S44" s="38"/>
      <c r="T44" s="40" t="s">
        <v>131</v>
      </c>
      <c r="U44" s="288">
        <f>'[3]Shuttle America_Delta'!$HW$64</f>
        <v>0</v>
      </c>
      <c r="V44" s="2">
        <f>'[3]Shuttle America_Delta'!$HI$64</f>
        <v>0</v>
      </c>
      <c r="W44" s="66" t="e">
        <f t="shared" si="34"/>
        <v>#DIV/0!</v>
      </c>
      <c r="X44" s="288">
        <f>SUM('[3]Shuttle America_Delta'!$HR$64:$HW$64)</f>
        <v>0</v>
      </c>
      <c r="Y44" s="2">
        <f>SUM('[3]Shuttle America_Delta'!$HD$64:$HI$64)</f>
        <v>0</v>
      </c>
      <c r="Z44" s="3" t="e">
        <f t="shared" si="38"/>
        <v>#DIV/0!</v>
      </c>
      <c r="AA44" s="66">
        <f t="shared" si="36"/>
        <v>0</v>
      </c>
    </row>
    <row r="45" spans="1:27" ht="14.1" customHeight="1" x14ac:dyDescent="0.2">
      <c r="A45" s="38"/>
      <c r="B45" s="343" t="s">
        <v>166</v>
      </c>
      <c r="C45" s="288">
        <f>'[3]Atlantic Southeast'!$HW$19</f>
        <v>0</v>
      </c>
      <c r="D45" s="2">
        <f>'[3]Atlantic Southeast'!$HI$19</f>
        <v>0</v>
      </c>
      <c r="E45" s="66" t="e">
        <f t="shared" si="29"/>
        <v>#DIV/0!</v>
      </c>
      <c r="F45" s="2">
        <f>SUM('[3]Atlantic Southeast'!$HR$19:$HW$19)</f>
        <v>0</v>
      </c>
      <c r="G45" s="2">
        <f>SUM('[3]Atlantic Southeast'!$HD$19:$HI$19)</f>
        <v>0</v>
      </c>
      <c r="H45" s="3" t="e">
        <f t="shared" si="37"/>
        <v>#DIV/0!</v>
      </c>
      <c r="I45" s="66">
        <f t="shared" si="30"/>
        <v>0</v>
      </c>
      <c r="J45" s="38"/>
      <c r="K45" s="343" t="s">
        <v>166</v>
      </c>
      <c r="L45" s="288">
        <f>'[3]Atlantic Southeast'!$HW$41</f>
        <v>0</v>
      </c>
      <c r="M45" s="2">
        <f>'[3]Atlantic Southeast'!$HI$41</f>
        <v>0</v>
      </c>
      <c r="N45" s="66" t="e">
        <f t="shared" si="31"/>
        <v>#DIV/0!</v>
      </c>
      <c r="O45" s="288">
        <f>SUM('[3]Atlantic Southeast'!$HR$41:$HW$41)</f>
        <v>0</v>
      </c>
      <c r="P45" s="2">
        <f>SUM('[3]Atlantic Southeast'!$HD$41:$HI$41)</f>
        <v>0</v>
      </c>
      <c r="Q45" s="3" t="e">
        <f t="shared" si="32"/>
        <v>#DIV/0!</v>
      </c>
      <c r="R45" s="66">
        <f t="shared" si="33"/>
        <v>0</v>
      </c>
      <c r="S45" s="38"/>
      <c r="T45" s="343" t="s">
        <v>166</v>
      </c>
      <c r="U45" s="288">
        <f>'[3]Atlantic Southeast'!$HW$64</f>
        <v>0</v>
      </c>
      <c r="V45" s="2">
        <f>'[3]Atlantic Southeast'!$HI$64</f>
        <v>0</v>
      </c>
      <c r="W45" s="66" t="e">
        <f t="shared" si="34"/>
        <v>#DIV/0!</v>
      </c>
      <c r="X45" s="288">
        <f>SUM('[3]Atlantic Southeast'!$HR$64:$HW$64)</f>
        <v>0</v>
      </c>
      <c r="Y45" s="2">
        <f>SUM('[3]Atlantic Southeast'!$HD$64:$HI$64)</f>
        <v>0</v>
      </c>
      <c r="Z45" s="3" t="e">
        <f t="shared" si="38"/>
        <v>#DIV/0!</v>
      </c>
      <c r="AA45" s="66">
        <f t="shared" si="36"/>
        <v>0</v>
      </c>
    </row>
    <row r="46" spans="1:27" ht="14.1" customHeight="1" x14ac:dyDescent="0.2">
      <c r="A46" s="38"/>
      <c r="B46" s="343"/>
      <c r="C46" s="288"/>
      <c r="E46" s="66"/>
      <c r="F46" s="2"/>
      <c r="I46" s="66"/>
      <c r="J46" s="38"/>
      <c r="K46" s="343"/>
      <c r="L46" s="288"/>
      <c r="N46" s="66"/>
      <c r="O46" s="288"/>
      <c r="P46" s="2"/>
      <c r="Q46" s="3"/>
      <c r="R46" s="66"/>
      <c r="S46" s="38"/>
      <c r="T46" s="343"/>
      <c r="U46" s="288"/>
      <c r="V46" s="2"/>
      <c r="W46" s="66"/>
      <c r="X46" s="288"/>
      <c r="Y46" s="2"/>
      <c r="Z46" s="3"/>
      <c r="AA46" s="66"/>
    </row>
    <row r="47" spans="1:27" ht="14.1" customHeight="1" x14ac:dyDescent="0.2">
      <c r="A47" s="283" t="s">
        <v>47</v>
      </c>
      <c r="B47" s="40"/>
      <c r="C47" s="284">
        <f>[3]Frontier!$HW$19</f>
        <v>60</v>
      </c>
      <c r="D47" s="286">
        <f>[3]Frontier!$HI$19</f>
        <v>93</v>
      </c>
      <c r="E47" s="287">
        <f>(C47-D47)/D47</f>
        <v>-0.35483870967741937</v>
      </c>
      <c r="F47" s="286">
        <f>SUM([3]Frontier!$HR$19:$HW$19)</f>
        <v>748</v>
      </c>
      <c r="G47" s="286">
        <f>SUM([3]Frontier!$HD$19:$HI$19)</f>
        <v>559</v>
      </c>
      <c r="H47" s="285">
        <f>(F47-G47)/G47</f>
        <v>0.33810375670840787</v>
      </c>
      <c r="I47" s="287">
        <f>F47/$F$73</f>
        <v>5.4462582458388552E-3</v>
      </c>
      <c r="J47" s="283" t="s">
        <v>47</v>
      </c>
      <c r="K47" s="40"/>
      <c r="L47" s="284">
        <f>[3]Frontier!$HW$41</f>
        <v>10112</v>
      </c>
      <c r="M47" s="286">
        <f>[3]Frontier!$HI$41</f>
        <v>15606</v>
      </c>
      <c r="N47" s="287">
        <f>(L47-M47)/M47</f>
        <v>-0.35204408560809947</v>
      </c>
      <c r="O47" s="284">
        <f>SUM([3]Frontier!$HR$41:$HW$41)</f>
        <v>103811</v>
      </c>
      <c r="P47" s="286">
        <f>SUM([3]Frontier!$HD$41:$HI$41)</f>
        <v>84626</v>
      </c>
      <c r="Q47" s="285">
        <f>(O47-P47)/P47</f>
        <v>0.22670337721267694</v>
      </c>
      <c r="R47" s="287">
        <f>O47/$O$73</f>
        <v>7.0871151738992411E-3</v>
      </c>
      <c r="S47" s="283" t="s">
        <v>47</v>
      </c>
      <c r="T47" s="40"/>
      <c r="U47" s="284">
        <f>[3]Frontier!$HW$64</f>
        <v>0</v>
      </c>
      <c r="V47" s="286">
        <f>[3]Frontier!$HI$64</f>
        <v>0</v>
      </c>
      <c r="W47" s="287" t="e">
        <f>(U47-V47)/V47</f>
        <v>#DIV/0!</v>
      </c>
      <c r="X47" s="284">
        <f>SUM([3]Frontier!$HR$64:$HW$64)</f>
        <v>0</v>
      </c>
      <c r="Y47" s="286">
        <f>SUM([3]Frontier!$HD$64:$HI$64)</f>
        <v>0</v>
      </c>
      <c r="Z47" s="285" t="e">
        <f>(X47-Y47)/Y47</f>
        <v>#DIV/0!</v>
      </c>
      <c r="AA47" s="287">
        <f>X47/$X$73</f>
        <v>0</v>
      </c>
    </row>
    <row r="48" spans="1:27" ht="14.1" customHeight="1" x14ac:dyDescent="0.2">
      <c r="A48" s="283"/>
      <c r="B48" s="40"/>
      <c r="C48" s="284"/>
      <c r="D48" s="286"/>
      <c r="E48" s="287"/>
      <c r="F48" s="286"/>
      <c r="G48" s="286"/>
      <c r="H48" s="285"/>
      <c r="I48" s="287"/>
      <c r="J48" s="283"/>
      <c r="K48" s="40"/>
      <c r="L48" s="288"/>
      <c r="N48" s="66"/>
      <c r="O48" s="288"/>
      <c r="P48" s="2"/>
      <c r="Q48" s="3"/>
      <c r="R48" s="66"/>
      <c r="S48" s="283"/>
      <c r="T48" s="40"/>
      <c r="U48" s="288"/>
      <c r="V48" s="2"/>
      <c r="W48" s="66"/>
      <c r="X48" s="288"/>
      <c r="Y48" s="2"/>
      <c r="Z48" s="3"/>
      <c r="AA48" s="66"/>
    </row>
    <row r="49" spans="1:27" ht="14.1" customHeight="1" x14ac:dyDescent="0.2">
      <c r="A49" s="283" t="s">
        <v>48</v>
      </c>
      <c r="B49" s="40"/>
      <c r="C49" s="284">
        <f>[3]Icelandair!$HW$19</f>
        <v>54</v>
      </c>
      <c r="D49" s="286">
        <f>[3]Icelandair!$HI$19</f>
        <v>12</v>
      </c>
      <c r="E49" s="287">
        <f>(C49-D49)/D49</f>
        <v>3.5</v>
      </c>
      <c r="F49" s="286">
        <f>SUM([3]Icelandair!$HR$19:$HW$19)</f>
        <v>114</v>
      </c>
      <c r="G49" s="286">
        <f>SUM([3]Icelandair!$HD$19:$HI$19)</f>
        <v>12</v>
      </c>
      <c r="H49" s="285">
        <f>(F49-G49)/G49</f>
        <v>8.5</v>
      </c>
      <c r="I49" s="287">
        <f>F49/$F$73</f>
        <v>8.3004470591661688E-4</v>
      </c>
      <c r="J49" s="283" t="s">
        <v>48</v>
      </c>
      <c r="K49" s="40"/>
      <c r="L49" s="284">
        <f>[3]Icelandair!$HW$41</f>
        <v>8659</v>
      </c>
      <c r="M49" s="286">
        <f>[3]Icelandair!$HI$41</f>
        <v>872</v>
      </c>
      <c r="N49" s="287">
        <f>(L49-M49)/M49</f>
        <v>8.9300458715596331</v>
      </c>
      <c r="O49" s="284">
        <f>SUM([3]Icelandair!$HR$41:$HW$41)</f>
        <v>15635</v>
      </c>
      <c r="P49" s="286">
        <f>SUM([3]Icelandair!$HD$41:$HI$41)</f>
        <v>872</v>
      </c>
      <c r="Q49" s="285">
        <f>(O49-P49)/P49</f>
        <v>16.930045871559631</v>
      </c>
      <c r="R49" s="287">
        <f>O49/$O$73</f>
        <v>1.0673921428742102E-3</v>
      </c>
      <c r="S49" s="283" t="s">
        <v>48</v>
      </c>
      <c r="T49" s="40"/>
      <c r="U49" s="284">
        <f>[3]Icelandair!$HW$64</f>
        <v>43520</v>
      </c>
      <c r="V49" s="286">
        <f>[3]Icelandair!$HI$64</f>
        <v>348</v>
      </c>
      <c r="W49" s="287">
        <f>(U49-V49)/V49</f>
        <v>124.05747126436782</v>
      </c>
      <c r="X49" s="284">
        <f>SUM([3]Icelandair!$HR$64:$HW$64)</f>
        <v>51894</v>
      </c>
      <c r="Y49" s="286">
        <f>SUM([3]Icelandair!$HD$64:$HI$64)</f>
        <v>348</v>
      </c>
      <c r="Z49" s="285">
        <f>(X49-Y49)/Y49</f>
        <v>148.12068965517241</v>
      </c>
      <c r="AA49" s="287">
        <f>X49/$X$73</f>
        <v>1.100148751584612E-3</v>
      </c>
    </row>
    <row r="50" spans="1:27" ht="14.1" customHeight="1" x14ac:dyDescent="0.2">
      <c r="A50" s="283"/>
      <c r="B50" s="40"/>
      <c r="C50" s="284"/>
      <c r="D50" s="286"/>
      <c r="E50" s="287"/>
      <c r="F50" s="286"/>
      <c r="G50" s="286"/>
      <c r="H50" s="285"/>
      <c r="I50" s="287"/>
      <c r="J50" s="283"/>
      <c r="K50" s="40"/>
      <c r="L50" s="288"/>
      <c r="N50" s="66"/>
      <c r="O50" s="288"/>
      <c r="P50" s="2"/>
      <c r="Q50" s="3"/>
      <c r="R50" s="66"/>
      <c r="S50" s="283"/>
      <c r="T50" s="40"/>
      <c r="U50" s="288"/>
      <c r="V50" s="2"/>
      <c r="W50" s="66"/>
      <c r="X50" s="288"/>
      <c r="Y50" s="2"/>
      <c r="Z50" s="3"/>
      <c r="AA50" s="66"/>
    </row>
    <row r="51" spans="1:27" ht="14.1" customHeight="1" x14ac:dyDescent="0.2">
      <c r="A51" s="283" t="s">
        <v>199</v>
      </c>
      <c r="B51" s="40"/>
      <c r="C51" s="284">
        <f>'[3]Jet Blue'!$HW$19</f>
        <v>172</v>
      </c>
      <c r="D51" s="286">
        <f>'[3]Jet Blue'!$HI$19</f>
        <v>94</v>
      </c>
      <c r="E51" s="287">
        <f>(C51-D51)/D51</f>
        <v>0.82978723404255317</v>
      </c>
      <c r="F51" s="286">
        <f>SUM('[3]Jet Blue'!$HR$19:$HW$19)</f>
        <v>780</v>
      </c>
      <c r="G51" s="286">
        <f>SUM('[3]Jet Blue'!$HD$19:$HI$19)</f>
        <v>178</v>
      </c>
      <c r="H51" s="285">
        <f>(F51-G51)/G51</f>
        <v>3.3820224719101124</v>
      </c>
      <c r="I51" s="287">
        <f>F51/$F$73</f>
        <v>5.6792532510084315E-3</v>
      </c>
      <c r="J51" s="283" t="s">
        <v>199</v>
      </c>
      <c r="K51" s="40"/>
      <c r="L51" s="284">
        <f>'[3]Jet Blue'!$HW$41</f>
        <v>18279</v>
      </c>
      <c r="M51" s="286">
        <f>'[3]Jet Blue'!$HI$41</f>
        <v>6769</v>
      </c>
      <c r="N51" s="287">
        <f>(L51-M51)/M51</f>
        <v>1.7003988772344512</v>
      </c>
      <c r="O51" s="284">
        <f>SUM('[3]Jet Blue'!$HR$41:$HW$41)</f>
        <v>66945</v>
      </c>
      <c r="P51" s="286">
        <f>SUM('[3]Jet Blue'!$HD$41:$HI$41)</f>
        <v>12060</v>
      </c>
      <c r="Q51" s="285">
        <f>(O51-P51)/P51</f>
        <v>4.5509950248756219</v>
      </c>
      <c r="R51" s="287">
        <f>O51/$O$73</f>
        <v>4.5702952993101377E-3</v>
      </c>
      <c r="S51" s="283" t="s">
        <v>199</v>
      </c>
      <c r="T51" s="40"/>
      <c r="U51" s="284">
        <f>'[3]Jet Blue'!$HW$64</f>
        <v>0</v>
      </c>
      <c r="V51" s="286">
        <f>'[3]Jet Blue'!$HI$64</f>
        <v>0</v>
      </c>
      <c r="W51" s="287" t="e">
        <f>(U51-V51)/V51</f>
        <v>#DIV/0!</v>
      </c>
      <c r="X51" s="284">
        <f>SUM('[3]Jet Blue'!$HR$64:$HW$64)</f>
        <v>0</v>
      </c>
      <c r="Y51" s="286">
        <f>SUM('[3]Jet Blue'!$HD$64:$HI$64)</f>
        <v>0</v>
      </c>
      <c r="Z51" s="285" t="e">
        <f>(X51-Y51)/Y51</f>
        <v>#DIV/0!</v>
      </c>
      <c r="AA51" s="287">
        <f>X51/$X$73</f>
        <v>0</v>
      </c>
    </row>
    <row r="52" spans="1:27" ht="14.1" customHeight="1" x14ac:dyDescent="0.2">
      <c r="A52" s="283"/>
      <c r="B52" s="40"/>
      <c r="C52" s="284"/>
      <c r="D52" s="286"/>
      <c r="E52" s="287"/>
      <c r="F52" s="286"/>
      <c r="G52" s="286"/>
      <c r="H52" s="285"/>
      <c r="I52" s="287"/>
      <c r="J52" s="283"/>
      <c r="K52" s="40"/>
      <c r="L52" s="288"/>
      <c r="N52" s="66"/>
      <c r="O52" s="288"/>
      <c r="P52" s="2"/>
      <c r="Q52" s="3"/>
      <c r="R52" s="66"/>
      <c r="S52" s="283"/>
      <c r="T52" s="40"/>
      <c r="U52" s="288"/>
      <c r="V52" s="2"/>
      <c r="W52" s="66"/>
      <c r="X52" s="288"/>
      <c r="Y52" s="2"/>
      <c r="Z52" s="3"/>
      <c r="AA52" s="66"/>
    </row>
    <row r="53" spans="1:27" ht="14.1" customHeight="1" x14ac:dyDescent="0.2">
      <c r="A53" s="283" t="s">
        <v>194</v>
      </c>
      <c r="B53" s="40"/>
      <c r="C53" s="284">
        <f>[3]KLM!$HW$19</f>
        <v>34</v>
      </c>
      <c r="D53" s="286">
        <f>[3]KLM!$HI$19</f>
        <v>0</v>
      </c>
      <c r="E53" s="287" t="e">
        <f>(C53-D53)/D53</f>
        <v>#DIV/0!</v>
      </c>
      <c r="F53" s="286">
        <f>SUM([3]KLM!$HR$19:$HW$19)</f>
        <v>182</v>
      </c>
      <c r="G53" s="286">
        <f>SUM([3]KLM!$HD$19:$HI$19)</f>
        <v>0</v>
      </c>
      <c r="H53" s="285" t="e">
        <f>(F53-G53)/G53</f>
        <v>#DIV/0!</v>
      </c>
      <c r="I53" s="287">
        <f>F53/$F$73</f>
        <v>1.3251590919019674E-3</v>
      </c>
      <c r="J53" s="283" t="s">
        <v>194</v>
      </c>
      <c r="K53" s="40"/>
      <c r="L53" s="284">
        <f>[3]KLM!$HW$41</f>
        <v>8500</v>
      </c>
      <c r="M53" s="286">
        <f>[3]KLM!$HI$41</f>
        <v>0</v>
      </c>
      <c r="N53" s="287" t="e">
        <f>(L53-M53)/M53</f>
        <v>#DIV/0!</v>
      </c>
      <c r="O53" s="284">
        <f>SUM([3]KLM!$HR$41:$HW$41)</f>
        <v>35973</v>
      </c>
      <c r="P53" s="286">
        <f>SUM([3]KLM!$HD$41:$HI$41)</f>
        <v>0</v>
      </c>
      <c r="Q53" s="285" t="e">
        <f>(O53-P53)/P53</f>
        <v>#DIV/0!</v>
      </c>
      <c r="R53" s="287">
        <f>O53/$O$73</f>
        <v>2.4558552961697453E-3</v>
      </c>
      <c r="S53" s="283" t="s">
        <v>194</v>
      </c>
      <c r="T53" s="40"/>
      <c r="U53" s="284">
        <f>[3]KLM!$HW$64</f>
        <v>354277</v>
      </c>
      <c r="V53" s="286">
        <f>[3]KLM!$HI$64</f>
        <v>0</v>
      </c>
      <c r="W53" s="287" t="e">
        <f>(U53-V53)/V53</f>
        <v>#DIV/0!</v>
      </c>
      <c r="X53" s="284">
        <f>SUM([3]KLM!$HR$64:$HW$64)</f>
        <v>3227231</v>
      </c>
      <c r="Y53" s="286">
        <f>SUM([3]KLM!$HD$64:$HI$64)</f>
        <v>0</v>
      </c>
      <c r="Z53" s="285" t="e">
        <f>(X53-Y53)/Y53</f>
        <v>#DIV/0!</v>
      </c>
      <c r="AA53" s="287">
        <f>X53/$X$73</f>
        <v>6.8417045433482856E-2</v>
      </c>
    </row>
    <row r="54" spans="1:27" ht="14.1" customHeight="1" x14ac:dyDescent="0.2">
      <c r="A54" s="283"/>
      <c r="B54" s="40"/>
      <c r="C54" s="284"/>
      <c r="D54" s="286"/>
      <c r="E54" s="287"/>
      <c r="F54" s="286"/>
      <c r="G54" s="286"/>
      <c r="H54" s="285"/>
      <c r="I54" s="287"/>
      <c r="J54" s="283"/>
      <c r="K54" s="40"/>
      <c r="L54" s="288"/>
      <c r="N54" s="66"/>
      <c r="O54" s="288"/>
      <c r="P54" s="2"/>
      <c r="Q54" s="3"/>
      <c r="R54" s="66"/>
      <c r="S54" s="283"/>
      <c r="T54" s="40"/>
      <c r="U54" s="288"/>
      <c r="V54" s="2"/>
      <c r="W54" s="66"/>
      <c r="X54" s="288"/>
      <c r="Y54" s="2"/>
      <c r="Z54" s="3"/>
      <c r="AA54" s="66"/>
    </row>
    <row r="55" spans="1:27" ht="14.1" customHeight="1" x14ac:dyDescent="0.2">
      <c r="A55" s="283" t="s">
        <v>129</v>
      </c>
      <c r="B55" s="40"/>
      <c r="C55" s="284">
        <f>[3]Southwest!$HW$19</f>
        <v>1093</v>
      </c>
      <c r="D55" s="286">
        <f>[3]Southwest!$HI$19</f>
        <v>937</v>
      </c>
      <c r="E55" s="287">
        <f>(C55-D55)/D55</f>
        <v>0.16648879402347919</v>
      </c>
      <c r="F55" s="286">
        <f>SUM([3]Southwest!$HR$19:$HW$19)</f>
        <v>4633</v>
      </c>
      <c r="G55" s="286">
        <f>SUM([3]Southwest!$HD$19:$HI$19)</f>
        <v>4158</v>
      </c>
      <c r="H55" s="285">
        <f>(F55-G55)/G55</f>
        <v>0.11423761423761424</v>
      </c>
      <c r="I55" s="287">
        <f>F55/$F$73</f>
        <v>3.3733308092207773E-2</v>
      </c>
      <c r="J55" s="283" t="s">
        <v>129</v>
      </c>
      <c r="K55" s="40"/>
      <c r="L55" s="284">
        <f>[3]Southwest!$HW$41</f>
        <v>142909</v>
      </c>
      <c r="M55" s="286">
        <f>[3]Southwest!$HI$41</f>
        <v>116184</v>
      </c>
      <c r="N55" s="287">
        <f>(L55-M55)/M55</f>
        <v>0.2300230668594643</v>
      </c>
      <c r="O55" s="284">
        <f>SUM([3]Southwest!$HR$41:$HW$41)</f>
        <v>581256</v>
      </c>
      <c r="P55" s="286">
        <f>SUM([3]Southwest!$HD$41:$HI$41)</f>
        <v>491121</v>
      </c>
      <c r="Q55" s="285">
        <f>(O55-P55)/P55</f>
        <v>0.18352910993421173</v>
      </c>
      <c r="R55" s="287">
        <f>O55/$O$73</f>
        <v>3.9682001112791299E-2</v>
      </c>
      <c r="S55" s="283" t="s">
        <v>129</v>
      </c>
      <c r="T55" s="40"/>
      <c r="U55" s="284">
        <f>[3]Southwest!$HW$64</f>
        <v>238160</v>
      </c>
      <c r="V55" s="286">
        <f>[3]Southwest!$HI$64</f>
        <v>387964</v>
      </c>
      <c r="W55" s="287">
        <f>(U55-V55)/V55</f>
        <v>-0.38612860987101894</v>
      </c>
      <c r="X55" s="284">
        <f>SUM([3]Southwest!$HR$64:$HW$64)</f>
        <v>1245778</v>
      </c>
      <c r="Y55" s="286">
        <f>SUM([3]Southwest!$HD$64:$HI$64)</f>
        <v>1795562</v>
      </c>
      <c r="Z55" s="285">
        <f>(X55-Y55)/Y55</f>
        <v>-0.30619048520741693</v>
      </c>
      <c r="AA55" s="287">
        <f>X55/$X$73</f>
        <v>2.6410396412910448E-2</v>
      </c>
    </row>
    <row r="56" spans="1:27" ht="14.1" customHeight="1" x14ac:dyDescent="0.2">
      <c r="A56" s="283"/>
      <c r="B56" s="40"/>
      <c r="C56" s="284"/>
      <c r="D56" s="286"/>
      <c r="E56" s="287"/>
      <c r="F56" s="286"/>
      <c r="G56" s="286"/>
      <c r="H56" s="285"/>
      <c r="I56" s="287"/>
      <c r="J56" s="283"/>
      <c r="K56" s="40"/>
      <c r="L56" s="288"/>
      <c r="N56" s="66"/>
      <c r="O56" s="288"/>
      <c r="P56" s="2"/>
      <c r="Q56" s="3"/>
      <c r="R56" s="66"/>
      <c r="S56" s="283"/>
      <c r="T56" s="40"/>
      <c r="U56" s="288"/>
      <c r="V56" s="2"/>
      <c r="W56" s="66"/>
      <c r="X56" s="288"/>
      <c r="Y56" s="2"/>
      <c r="Z56" s="3"/>
      <c r="AA56" s="66"/>
    </row>
    <row r="57" spans="1:27" ht="14.1" customHeight="1" x14ac:dyDescent="0.2">
      <c r="A57" s="283" t="s">
        <v>155</v>
      </c>
      <c r="B57" s="40"/>
      <c r="C57" s="284">
        <f>[3]Spirit!$HW$19</f>
        <v>178</v>
      </c>
      <c r="D57" s="286">
        <f>[3]Spirit!$HI$19</f>
        <v>294</v>
      </c>
      <c r="E57" s="287">
        <f>(C57-D57)/D57</f>
        <v>-0.39455782312925169</v>
      </c>
      <c r="F57" s="286">
        <f>SUM([3]Spirit!$HR$19:$HW$19)</f>
        <v>1662</v>
      </c>
      <c r="G57" s="286">
        <f>SUM([3]Spirit!$HD$19:$HI$19)</f>
        <v>1852</v>
      </c>
      <c r="H57" s="285">
        <f>(F57-G57)/G57</f>
        <v>-0.10259179265658748</v>
      </c>
      <c r="I57" s="287">
        <f>F57/$F$73</f>
        <v>1.2101178080994889E-2</v>
      </c>
      <c r="J57" s="283" t="s">
        <v>155</v>
      </c>
      <c r="K57" s="40"/>
      <c r="L57" s="284">
        <f>[3]Spirit!$HW$41</f>
        <v>28408</v>
      </c>
      <c r="M57" s="286">
        <f>[3]Spirit!$HI$41</f>
        <v>45154</v>
      </c>
      <c r="N57" s="287">
        <f>(L57-M57)/M57</f>
        <v>-0.37086415378482529</v>
      </c>
      <c r="O57" s="284">
        <f>SUM([3]Spirit!$HR$41:$HW$41)</f>
        <v>243572</v>
      </c>
      <c r="P57" s="286">
        <f>SUM([3]Spirit!$HD$41:$HI$41)</f>
        <v>268094</v>
      </c>
      <c r="Q57" s="285">
        <f>(O57-P57)/P57</f>
        <v>-9.1467917969070556E-2</v>
      </c>
      <c r="R57" s="287">
        <f>O57/$O$73</f>
        <v>1.6628515447659555E-2</v>
      </c>
      <c r="S57" s="283" t="s">
        <v>155</v>
      </c>
      <c r="T57" s="40"/>
      <c r="U57" s="284">
        <f>[3]Spirit!$HW$64</f>
        <v>0</v>
      </c>
      <c r="V57" s="286">
        <f>[3]Spirit!$HI$64</f>
        <v>0</v>
      </c>
      <c r="W57" s="287" t="e">
        <f>(U57-V57)/V57</f>
        <v>#DIV/0!</v>
      </c>
      <c r="X57" s="284">
        <f>SUM([3]Spirit!$HR$64:$HW$64)</f>
        <v>0</v>
      </c>
      <c r="Y57" s="286">
        <f>SUM([3]Spirit!$HD$64:$HI$64)</f>
        <v>0</v>
      </c>
      <c r="Z57" s="285" t="e">
        <f>(X57-Y57)/Y57</f>
        <v>#DIV/0!</v>
      </c>
      <c r="AA57" s="287">
        <f>X57/$X$73</f>
        <v>0</v>
      </c>
    </row>
    <row r="58" spans="1:27" ht="14.1" customHeight="1" x14ac:dyDescent="0.2">
      <c r="A58" s="283"/>
      <c r="B58" s="40"/>
      <c r="C58" s="284"/>
      <c r="D58" s="286"/>
      <c r="E58" s="287"/>
      <c r="F58" s="286"/>
      <c r="G58" s="286"/>
      <c r="H58" s="285"/>
      <c r="I58" s="287"/>
      <c r="J58" s="283"/>
      <c r="K58" s="40"/>
      <c r="L58" s="288"/>
      <c r="N58" s="66"/>
      <c r="O58" s="288"/>
      <c r="P58" s="2"/>
      <c r="Q58" s="3"/>
      <c r="R58" s="66">
        <f>O58/$O$73</f>
        <v>0</v>
      </c>
      <c r="S58" s="283"/>
      <c r="T58" s="40"/>
      <c r="U58" s="288"/>
      <c r="V58" s="2"/>
      <c r="W58" s="66"/>
      <c r="X58" s="288"/>
      <c r="Y58" s="2"/>
      <c r="Z58" s="3"/>
      <c r="AA58" s="66">
        <f>X58/$X$73</f>
        <v>0</v>
      </c>
    </row>
    <row r="59" spans="1:27" ht="14.1" customHeight="1" x14ac:dyDescent="0.2">
      <c r="A59" s="283" t="s">
        <v>49</v>
      </c>
      <c r="B59" s="40"/>
      <c r="C59" s="284">
        <f>'[3]Sun Country'!$HW$19</f>
        <v>1853</v>
      </c>
      <c r="D59" s="286">
        <f>'[3]Sun Country'!$HI$19</f>
        <v>1680</v>
      </c>
      <c r="E59" s="287">
        <f>(C59-D59)/D59</f>
        <v>0.10297619047619047</v>
      </c>
      <c r="F59" s="286">
        <f>SUM('[3]Sun Country'!$HR$19:$HW$19)</f>
        <v>11572</v>
      </c>
      <c r="G59" s="286">
        <f>SUM('[3]Sun Country'!$HD$19:$HI$19)</f>
        <v>9247</v>
      </c>
      <c r="H59" s="285">
        <f>(F59-G59)/G59</f>
        <v>0.25143289715583433</v>
      </c>
      <c r="I59" s="287">
        <f>F59/$F$73</f>
        <v>8.4256818744448167E-2</v>
      </c>
      <c r="J59" s="283" t="s">
        <v>49</v>
      </c>
      <c r="K59" s="40"/>
      <c r="L59" s="284">
        <f>'[3]Sun Country'!$HW$41</f>
        <v>284987</v>
      </c>
      <c r="M59" s="286">
        <f>'[3]Sun Country'!$HI$41</f>
        <v>218626</v>
      </c>
      <c r="N59" s="287">
        <f>(L59-M59)/M59</f>
        <v>0.30353663333729747</v>
      </c>
      <c r="O59" s="284">
        <f>SUM('[3]Sun Country'!$HR$41:$HW$41)</f>
        <v>1643562</v>
      </c>
      <c r="P59" s="286">
        <f>SUM('[3]Sun Country'!$HD$41:$HI$41)</f>
        <v>1124429</v>
      </c>
      <c r="Q59" s="285">
        <f>(O59-P59)/P59</f>
        <v>0.46168588679231859</v>
      </c>
      <c r="R59" s="287">
        <f>O59/$O$73</f>
        <v>0.112204999368508</v>
      </c>
      <c r="S59" s="283" t="s">
        <v>49</v>
      </c>
      <c r="T59" s="40"/>
      <c r="U59" s="284">
        <f>'[3]Sun Country'!$HW$64</f>
        <v>1695937</v>
      </c>
      <c r="V59" s="286">
        <f>'[3]Sun Country'!$HI$64</f>
        <v>442306</v>
      </c>
      <c r="W59" s="287">
        <f>(U59-V59)/V59</f>
        <v>2.8343070182181567</v>
      </c>
      <c r="X59" s="284">
        <f>SUM('[3]Sun Country'!$HR$64:$HW$64)</f>
        <v>2836383</v>
      </c>
      <c r="Y59" s="286">
        <f>SUM('[3]Sun Country'!$HD$64:$HI$64)</f>
        <v>2511523</v>
      </c>
      <c r="Z59" s="285">
        <f>(X59-Y59)/Y59</f>
        <v>0.1293478100738078</v>
      </c>
      <c r="AA59" s="287">
        <f>X59/$X$73</f>
        <v>6.0131098324773896E-2</v>
      </c>
    </row>
    <row r="60" spans="1:27" ht="14.1" customHeight="1" x14ac:dyDescent="0.2">
      <c r="A60" s="283"/>
      <c r="B60" s="40"/>
      <c r="C60" s="284"/>
      <c r="D60" s="286"/>
      <c r="E60" s="287"/>
      <c r="F60" s="286"/>
      <c r="G60" s="286"/>
      <c r="H60" s="285"/>
      <c r="I60" s="287"/>
      <c r="J60" s="283"/>
      <c r="K60" s="40"/>
      <c r="L60" s="288"/>
      <c r="N60" s="66"/>
      <c r="O60" s="288"/>
      <c r="P60" s="2"/>
      <c r="Q60" s="3"/>
      <c r="R60" s="66"/>
      <c r="S60" s="283"/>
      <c r="T60" s="40"/>
      <c r="U60" s="288"/>
      <c r="V60" s="2"/>
      <c r="W60" s="66"/>
      <c r="X60" s="288"/>
      <c r="Y60" s="2"/>
      <c r="Z60" s="3"/>
      <c r="AA60" s="66"/>
    </row>
    <row r="61" spans="1:27" ht="14.1" customHeight="1" x14ac:dyDescent="0.2">
      <c r="A61" s="283" t="s">
        <v>19</v>
      </c>
      <c r="B61" s="290"/>
      <c r="C61" s="284">
        <f>SUM(C62:C68)</f>
        <v>855</v>
      </c>
      <c r="D61" s="286">
        <f>SUM(D62:D68)</f>
        <v>696</v>
      </c>
      <c r="E61" s="287">
        <f t="shared" ref="E61:E68" si="39">(C61-D61)/D61</f>
        <v>0.22844827586206898</v>
      </c>
      <c r="F61" s="286">
        <f>SUM(F62:F68)</f>
        <v>5434</v>
      </c>
      <c r="G61" s="286">
        <f>SUM(G62:G68)</f>
        <v>3555</v>
      </c>
      <c r="H61" s="285">
        <f t="shared" ref="H61:H68" si="40">(F61-G61)/G61</f>
        <v>0.52855133614627281</v>
      </c>
      <c r="I61" s="287">
        <f t="shared" ref="I61:I68" si="41">F61/$F$73</f>
        <v>3.9565464315358741E-2</v>
      </c>
      <c r="J61" s="283" t="s">
        <v>19</v>
      </c>
      <c r="K61" s="290"/>
      <c r="L61" s="284">
        <f>SUM(L62:L68)</f>
        <v>103854</v>
      </c>
      <c r="M61" s="286">
        <f>SUM(M62:M68)</f>
        <v>68851</v>
      </c>
      <c r="N61" s="287">
        <f t="shared" ref="N61:N68" si="42">(L61-M61)/M61</f>
        <v>0.50838767773888538</v>
      </c>
      <c r="O61" s="284">
        <f>SUM(O62:O68)</f>
        <v>587204</v>
      </c>
      <c r="P61" s="286">
        <f>SUM(P62:P68)</f>
        <v>321243</v>
      </c>
      <c r="Q61" s="285">
        <f t="shared" ref="Q61:Q68" si="43">(O61-P61)/P61</f>
        <v>0.8279122035343961</v>
      </c>
      <c r="R61" s="287">
        <f t="shared" ref="R61:R68" si="44">O61/$O$73</f>
        <v>4.0088067532095151E-2</v>
      </c>
      <c r="S61" s="283" t="s">
        <v>19</v>
      </c>
      <c r="T61" s="290"/>
      <c r="U61" s="284">
        <f>SUM(U62:U68)</f>
        <v>119791</v>
      </c>
      <c r="V61" s="286">
        <f>SUM(V62:V68)</f>
        <v>163351</v>
      </c>
      <c r="W61" s="287">
        <f t="shared" ref="W61:W68" si="45">(U61-V61)/V61</f>
        <v>-0.26666503419017945</v>
      </c>
      <c r="X61" s="284">
        <f>SUM(X62:X68)</f>
        <v>666507</v>
      </c>
      <c r="Y61" s="286">
        <f>SUM(Y62:Y68)</f>
        <v>668677</v>
      </c>
      <c r="Z61" s="285">
        <f t="shared" ref="Z61:Z68" si="46">(X61-Y61)/Y61</f>
        <v>-3.2452140570110831E-3</v>
      </c>
      <c r="AA61" s="287">
        <f t="shared" ref="AA61:AA68" si="47">X61/$X$73</f>
        <v>1.4129896403676822E-2</v>
      </c>
    </row>
    <row r="62" spans="1:27" ht="14.1" customHeight="1" x14ac:dyDescent="0.2">
      <c r="A62" s="38"/>
      <c r="B62" s="343" t="s">
        <v>19</v>
      </c>
      <c r="C62" s="288">
        <f>[3]United!$HW$19</f>
        <v>688</v>
      </c>
      <c r="D62" s="2">
        <f>[3]United!$HI$19+[3]Continental!$HI$19</f>
        <v>364</v>
      </c>
      <c r="E62" s="66">
        <f t="shared" si="39"/>
        <v>0.89010989010989006</v>
      </c>
      <c r="F62" s="2">
        <f>SUM([3]United!$HR$19:$HW$19)</f>
        <v>3728</v>
      </c>
      <c r="G62" s="2">
        <f>SUM([3]United!$HD$19:$HI$19)+SUM([3]Continental!$HD$19:$HI$19)</f>
        <v>1920</v>
      </c>
      <c r="H62" s="3">
        <f t="shared" si="40"/>
        <v>0.94166666666666665</v>
      </c>
      <c r="I62" s="66">
        <f t="shared" si="41"/>
        <v>2.7143918102255683E-2</v>
      </c>
      <c r="J62" s="38"/>
      <c r="K62" s="343" t="s">
        <v>19</v>
      </c>
      <c r="L62" s="288">
        <f>[3]United!$HW$41</f>
        <v>92730</v>
      </c>
      <c r="M62" s="2">
        <f>[3]United!$HI$41+[3]Continental!$HI$41</f>
        <v>47468</v>
      </c>
      <c r="N62" s="66">
        <f t="shared" si="42"/>
        <v>0.95352658633184462</v>
      </c>
      <c r="O62" s="288">
        <f>SUM([3]United!$HR$41:$HW$41)</f>
        <v>479295</v>
      </c>
      <c r="P62" s="2">
        <f>SUM([3]United!$HD$41:$HI$41)+SUM([3]Continental!$HD$41:$HI$41)</f>
        <v>229086</v>
      </c>
      <c r="Q62" s="3">
        <f t="shared" si="43"/>
        <v>1.0922055472617271</v>
      </c>
      <c r="R62" s="66">
        <f t="shared" si="44"/>
        <v>3.2721184337633165E-2</v>
      </c>
      <c r="S62" s="38"/>
      <c r="T62" s="343" t="s">
        <v>19</v>
      </c>
      <c r="U62" s="288">
        <f>[3]United!$HW$64</f>
        <v>119791</v>
      </c>
      <c r="V62" s="2">
        <f>[3]United!$HI$64+[3]Continental!$HI$64</f>
        <v>163351</v>
      </c>
      <c r="W62" s="66">
        <f t="shared" si="45"/>
        <v>-0.26666503419017945</v>
      </c>
      <c r="X62" s="288">
        <f>SUM([3]United!$HR$64:$HW$64)</f>
        <v>666507</v>
      </c>
      <c r="Y62" s="2">
        <f>SUM([3]United!$HD$64:$HI$64)+SUM([3]Continental!$HD$64:$HI$64)</f>
        <v>668677</v>
      </c>
      <c r="Z62" s="3">
        <f t="shared" si="46"/>
        <v>-3.2452140570110831E-3</v>
      </c>
      <c r="AA62" s="66">
        <f t="shared" si="47"/>
        <v>1.4129896403676822E-2</v>
      </c>
    </row>
    <row r="63" spans="1:27" ht="14.1" customHeight="1" x14ac:dyDescent="0.2">
      <c r="A63" s="38"/>
      <c r="B63" s="343" t="s">
        <v>166</v>
      </c>
      <c r="C63" s="288">
        <f>'[3]Continental Express'!$HW$19</f>
        <v>0</v>
      </c>
      <c r="D63" s="2">
        <f>'[3]Continental Express'!$HI$19</f>
        <v>0</v>
      </c>
      <c r="E63" s="66" t="e">
        <f t="shared" si="39"/>
        <v>#DIV/0!</v>
      </c>
      <c r="F63" s="2">
        <f>SUM('[3]Continental Express'!$HR$19:$HW$19)</f>
        <v>0</v>
      </c>
      <c r="G63" s="2">
        <f>SUM('[3]Continental Express'!$HD$19:$HI$19)</f>
        <v>0</v>
      </c>
      <c r="H63" s="3" t="e">
        <f t="shared" si="40"/>
        <v>#DIV/0!</v>
      </c>
      <c r="I63" s="66">
        <f t="shared" si="41"/>
        <v>0</v>
      </c>
      <c r="J63" s="38"/>
      <c r="K63" s="343" t="s">
        <v>166</v>
      </c>
      <c r="L63" s="288">
        <f>'[3]Continental Express'!$HW$41</f>
        <v>0</v>
      </c>
      <c r="M63" s="2">
        <f>'[3]Continental Express'!$HI$41</f>
        <v>0</v>
      </c>
      <c r="N63" s="66" t="e">
        <f t="shared" si="42"/>
        <v>#DIV/0!</v>
      </c>
      <c r="O63" s="288">
        <f>SUM('[3]Continental Express'!$HR$41:$HW$41)</f>
        <v>0</v>
      </c>
      <c r="P63" s="2">
        <f>SUM('[3]Continental Express'!$HD$41:$HI$41)</f>
        <v>0</v>
      </c>
      <c r="Q63" s="3" t="e">
        <f t="shared" si="43"/>
        <v>#DIV/0!</v>
      </c>
      <c r="R63" s="66">
        <f t="shared" si="44"/>
        <v>0</v>
      </c>
      <c r="S63" s="38"/>
      <c r="T63" s="343" t="s">
        <v>166</v>
      </c>
      <c r="U63" s="288">
        <f>'[3]Continental Express'!$HW$64</f>
        <v>0</v>
      </c>
      <c r="V63" s="2">
        <f>'[3]Continental Express'!$HI$64</f>
        <v>0</v>
      </c>
      <c r="W63" s="66" t="e">
        <f t="shared" si="45"/>
        <v>#DIV/0!</v>
      </c>
      <c r="X63" s="288">
        <f>SUM('[3]Continental Express'!$HR$64:$HW$64)</f>
        <v>0</v>
      </c>
      <c r="Y63" s="2">
        <f>SUM('[3]Continental Express'!$HD$64:$HI$64)</f>
        <v>0</v>
      </c>
      <c r="Z63" s="3" t="e">
        <f t="shared" si="46"/>
        <v>#DIV/0!</v>
      </c>
      <c r="AA63" s="66">
        <f t="shared" si="47"/>
        <v>0</v>
      </c>
    </row>
    <row r="64" spans="1:27" ht="14.1" customHeight="1" x14ac:dyDescent="0.2">
      <c r="A64" s="38"/>
      <c r="B64" s="40" t="s">
        <v>154</v>
      </c>
      <c r="C64" s="288">
        <f>'[3]Go Jet_UA'!$HW$19</f>
        <v>0</v>
      </c>
      <c r="D64" s="2">
        <f>'[3]Go Jet_UA'!$HI$19</f>
        <v>2</v>
      </c>
      <c r="E64" s="66">
        <f t="shared" si="39"/>
        <v>-1</v>
      </c>
      <c r="F64" s="2">
        <f>SUM('[3]Go Jet_UA'!$HR$19:$HW$19)</f>
        <v>0</v>
      </c>
      <c r="G64" s="2">
        <f>SUM('[3]Go Jet_UA'!$HD$19:$HI$19)</f>
        <v>2</v>
      </c>
      <c r="H64" s="3">
        <f t="shared" si="40"/>
        <v>-1</v>
      </c>
      <c r="I64" s="66">
        <f t="shared" si="41"/>
        <v>0</v>
      </c>
      <c r="J64" s="38"/>
      <c r="K64" s="40" t="s">
        <v>154</v>
      </c>
      <c r="L64" s="288">
        <f>'[3]Go Jet_UA'!$HW$41</f>
        <v>0</v>
      </c>
      <c r="M64" s="2">
        <f>'[3]Go Jet_UA'!$HI$41</f>
        <v>0</v>
      </c>
      <c r="N64" s="66" t="e">
        <f t="shared" si="42"/>
        <v>#DIV/0!</v>
      </c>
      <c r="O64" s="288">
        <f>SUM('[3]Go Jet_UA'!$HR$41:$HW$41)</f>
        <v>0</v>
      </c>
      <c r="P64" s="2">
        <f>SUM('[3]Go Jet_UA'!$HD$41:$HI$41)</f>
        <v>0</v>
      </c>
      <c r="Q64" s="3" t="e">
        <f t="shared" si="43"/>
        <v>#DIV/0!</v>
      </c>
      <c r="R64" s="66">
        <f t="shared" si="44"/>
        <v>0</v>
      </c>
      <c r="S64" s="38"/>
      <c r="T64" s="40" t="s">
        <v>154</v>
      </c>
      <c r="U64" s="288">
        <f>'[3]Go Jet_UA'!$HW$64</f>
        <v>0</v>
      </c>
      <c r="V64" s="2">
        <f>'[3]Go Jet_UA'!$HI$64</f>
        <v>0</v>
      </c>
      <c r="W64" s="66" t="e">
        <f t="shared" si="45"/>
        <v>#DIV/0!</v>
      </c>
      <c r="X64" s="288">
        <f>SUM('[3]Go Jet_UA'!$HR$64:$HW$64)</f>
        <v>0</v>
      </c>
      <c r="Y64" s="2">
        <f>SUM('[3]Go Jet_UA'!$HD$64:$HI$64)</f>
        <v>0</v>
      </c>
      <c r="Z64" s="3" t="e">
        <f t="shared" si="46"/>
        <v>#DIV/0!</v>
      </c>
      <c r="AA64" s="66">
        <f t="shared" si="47"/>
        <v>0</v>
      </c>
    </row>
    <row r="65" spans="1:27" ht="14.1" customHeight="1" x14ac:dyDescent="0.2">
      <c r="A65" s="38"/>
      <c r="B65" s="40" t="s">
        <v>51</v>
      </c>
      <c r="C65" s="288">
        <f>[3]MESA_UA!$HW$19</f>
        <v>108</v>
      </c>
      <c r="D65" s="2">
        <f>[3]MESA_UA!$HI$19</f>
        <v>60</v>
      </c>
      <c r="E65" s="66">
        <f t="shared" si="39"/>
        <v>0.8</v>
      </c>
      <c r="F65" s="2">
        <f>SUM([3]MESA_UA!$HR$19:$HW$19)</f>
        <v>612</v>
      </c>
      <c r="G65" s="2">
        <f>SUM([3]MESA_UA!$HD$19:$HI$19)</f>
        <v>445</v>
      </c>
      <c r="H65" s="3">
        <f>(F65-G65)/G65</f>
        <v>0.37528089887640448</v>
      </c>
      <c r="I65" s="66">
        <f t="shared" si="41"/>
        <v>4.4560294738681542E-3</v>
      </c>
      <c r="J65" s="38"/>
      <c r="K65" s="40" t="s">
        <v>51</v>
      </c>
      <c r="L65" s="288">
        <f>[3]MESA_UA!$HW$41</f>
        <v>7613</v>
      </c>
      <c r="M65" s="2">
        <f>[3]MESA_UA!$HI$41</f>
        <v>4078</v>
      </c>
      <c r="N65" s="66">
        <f t="shared" si="42"/>
        <v>0.86684649337910735</v>
      </c>
      <c r="O65" s="288">
        <f>SUM([3]MESA_UA!$HR$41:$HW$41)</f>
        <v>40603</v>
      </c>
      <c r="P65" s="2">
        <f>SUM([3]MESA_UA!$HD$41:$HI$41)</f>
        <v>24735</v>
      </c>
      <c r="Q65" s="3">
        <f t="shared" si="43"/>
        <v>0.6415201131999192</v>
      </c>
      <c r="R65" s="66">
        <f t="shared" si="44"/>
        <v>2.7719426400461501E-3</v>
      </c>
      <c r="S65" s="38"/>
      <c r="T65" s="40" t="s">
        <v>51</v>
      </c>
      <c r="U65" s="288">
        <f>[3]MESA_UA!$HW$64</f>
        <v>0</v>
      </c>
      <c r="V65" s="2">
        <f>[3]MESA_UA!$HI$64</f>
        <v>0</v>
      </c>
      <c r="W65" s="66" t="e">
        <f t="shared" si="45"/>
        <v>#DIV/0!</v>
      </c>
      <c r="X65" s="288">
        <f>SUM([3]MESA_UA!$HR$64:$HW$64)</f>
        <v>0</v>
      </c>
      <c r="Y65" s="2">
        <f>SUM([3]MESA_UA!$HD$64:$HI$64)</f>
        <v>0</v>
      </c>
      <c r="Z65" s="3" t="e">
        <f t="shared" si="46"/>
        <v>#DIV/0!</v>
      </c>
      <c r="AA65" s="66">
        <f t="shared" si="47"/>
        <v>0</v>
      </c>
    </row>
    <row r="66" spans="1:27" ht="14.1" customHeight="1" x14ac:dyDescent="0.2">
      <c r="A66" s="38"/>
      <c r="B66" s="343" t="s">
        <v>52</v>
      </c>
      <c r="C66" s="288">
        <f>[3]Republic_UA!$HW$19</f>
        <v>42</v>
      </c>
      <c r="D66" s="2">
        <f>[3]Republic_UA!$HI$19</f>
        <v>168</v>
      </c>
      <c r="E66" s="66">
        <f t="shared" si="39"/>
        <v>-0.75</v>
      </c>
      <c r="F66" s="2">
        <f>SUM([3]Republic_UA!$HR$19:$HW$19)</f>
        <v>791</v>
      </c>
      <c r="G66" s="2">
        <f>SUM([3]Republic_UA!$HD$19:$HI$19)</f>
        <v>821</v>
      </c>
      <c r="H66" s="3">
        <f t="shared" ref="H66" si="48">(F66-G66)/G66</f>
        <v>-3.6540803897685749E-2</v>
      </c>
      <c r="I66" s="66">
        <f t="shared" si="41"/>
        <v>5.7593452840354739E-3</v>
      </c>
      <c r="J66" s="38"/>
      <c r="K66" s="343" t="s">
        <v>52</v>
      </c>
      <c r="L66" s="288">
        <f>[3]Republic_UA!$HW$41</f>
        <v>2548</v>
      </c>
      <c r="M66" s="2">
        <f>[3]Republic_UA!$HI$41</f>
        <v>10767</v>
      </c>
      <c r="N66" s="66">
        <f t="shared" si="42"/>
        <v>-0.76335097984582523</v>
      </c>
      <c r="O66" s="288">
        <f>SUM([3]Republic_UA!$HR$41:$HW$41)</f>
        <v>48025</v>
      </c>
      <c r="P66" s="2">
        <f>SUM([3]Republic_UA!$HD$41:$HI$41)</f>
        <v>45823</v>
      </c>
      <c r="Q66" s="3">
        <f t="shared" si="43"/>
        <v>4.8054470462431532E-2</v>
      </c>
      <c r="R66" s="66">
        <f t="shared" si="44"/>
        <v>3.2786381619145473E-3</v>
      </c>
      <c r="S66" s="38"/>
      <c r="T66" s="343" t="s">
        <v>52</v>
      </c>
      <c r="U66" s="288">
        <f>[3]Republic_UA!$HW$64</f>
        <v>0</v>
      </c>
      <c r="V66" s="2">
        <f>[3]Republic_UA!$HI$64</f>
        <v>0</v>
      </c>
      <c r="W66" s="66" t="e">
        <f t="shared" si="45"/>
        <v>#DIV/0!</v>
      </c>
      <c r="X66" s="288">
        <f>SUM([3]Republic_UA!$HR$64:$HW$64)</f>
        <v>0</v>
      </c>
      <c r="Y66" s="2">
        <f>SUM([3]Republic_UA!$HD$64:$HI$64)</f>
        <v>0</v>
      </c>
      <c r="Z66" s="3" t="e">
        <f t="shared" si="46"/>
        <v>#DIV/0!</v>
      </c>
      <c r="AA66" s="66">
        <f t="shared" si="47"/>
        <v>0</v>
      </c>
    </row>
    <row r="67" spans="1:27" ht="14.1" customHeight="1" x14ac:dyDescent="0.2">
      <c r="A67" s="38"/>
      <c r="B67" s="40" t="s">
        <v>97</v>
      </c>
      <c r="C67" s="288">
        <f>'[3]Sky West_UA'!$HW$19</f>
        <v>17</v>
      </c>
      <c r="D67" s="2">
        <f>'[3]Sky West_UA'!$HI$19+'[3]Sky West_CO'!$HI$19</f>
        <v>102</v>
      </c>
      <c r="E67" s="66">
        <f t="shared" si="39"/>
        <v>-0.83333333333333337</v>
      </c>
      <c r="F67" s="2">
        <f>SUM('[3]Sky West_UA'!$HR$19:$HW$19)</f>
        <v>303</v>
      </c>
      <c r="G67" s="2">
        <f>SUM('[3]Sky West_UA'!$HD$19:$HI$19)+SUM('[3]Sky West_CO'!$HD$19:$HI$19)</f>
        <v>367</v>
      </c>
      <c r="H67" s="3">
        <f t="shared" si="40"/>
        <v>-0.17438692098092642</v>
      </c>
      <c r="I67" s="66">
        <f t="shared" si="41"/>
        <v>2.2061714551994292E-3</v>
      </c>
      <c r="J67" s="38"/>
      <c r="K67" s="40" t="s">
        <v>97</v>
      </c>
      <c r="L67" s="288">
        <f>'[3]Sky West_UA'!$HW$41</f>
        <v>963</v>
      </c>
      <c r="M67" s="2">
        <f>'[3]Sky West_UA'!$HI$41+'[3]Sky West_CO'!$HI$41</f>
        <v>6538</v>
      </c>
      <c r="N67" s="66">
        <f t="shared" si="42"/>
        <v>-0.85270724992352398</v>
      </c>
      <c r="O67" s="288">
        <f>SUM('[3]Sky West_UA'!$HR$41:$HW$41)</f>
        <v>19281</v>
      </c>
      <c r="P67" s="2">
        <f>SUM('[3]Sky West_UA'!$HD$41:$HI$41)+SUM('[3]Sky West_CO'!$HD$41:$HI$41)</f>
        <v>21599</v>
      </c>
      <c r="Q67" s="3">
        <f t="shared" si="43"/>
        <v>-0.107319783323302</v>
      </c>
      <c r="R67" s="66">
        <f t="shared" si="44"/>
        <v>1.3163023925012885E-3</v>
      </c>
      <c r="S67" s="38"/>
      <c r="T67" s="40" t="s">
        <v>97</v>
      </c>
      <c r="U67" s="288">
        <f>'[3]Sky West_UA'!$HW$64</f>
        <v>0</v>
      </c>
      <c r="V67" s="2">
        <f>'[3]Sky West_UA'!$HI$64+'[3]Sky West_CO'!$HI$64</f>
        <v>0</v>
      </c>
      <c r="W67" s="66" t="e">
        <f t="shared" si="45"/>
        <v>#DIV/0!</v>
      </c>
      <c r="X67" s="288">
        <f>SUM('[3]Sky West_UA'!$HR$64:$HW$64)</f>
        <v>0</v>
      </c>
      <c r="Y67" s="2">
        <f>SUM('[3]Sky West_UA'!$HD$64:$HI$64)+SUM('[3]Sky West_CO'!$HD$64:$HI$64)</f>
        <v>0</v>
      </c>
      <c r="Z67" s="3" t="e">
        <f t="shared" si="46"/>
        <v>#DIV/0!</v>
      </c>
      <c r="AA67" s="66">
        <f t="shared" si="47"/>
        <v>0</v>
      </c>
    </row>
    <row r="68" spans="1:27" ht="14.1" customHeight="1" x14ac:dyDescent="0.2">
      <c r="A68" s="38"/>
      <c r="B68" s="291" t="s">
        <v>131</v>
      </c>
      <c r="C68" s="288">
        <f>'[3]Shuttle America'!$HW$19</f>
        <v>0</v>
      </c>
      <c r="D68" s="2">
        <f>'[3]Shuttle America'!$HI$19</f>
        <v>0</v>
      </c>
      <c r="E68" s="66" t="e">
        <f t="shared" si="39"/>
        <v>#DIV/0!</v>
      </c>
      <c r="F68" s="2">
        <f>SUM('[3]Shuttle America'!$HR$19:$HW$19)</f>
        <v>0</v>
      </c>
      <c r="G68" s="2">
        <f>SUM('[3]Shuttle America'!$HD$19:$HI$19)</f>
        <v>0</v>
      </c>
      <c r="H68" s="3" t="e">
        <f t="shared" si="40"/>
        <v>#DIV/0!</v>
      </c>
      <c r="I68" s="66">
        <f t="shared" si="41"/>
        <v>0</v>
      </c>
      <c r="J68" s="38"/>
      <c r="K68" s="291" t="s">
        <v>131</v>
      </c>
      <c r="L68" s="288">
        <f>'[3]Shuttle America'!$HW$41</f>
        <v>0</v>
      </c>
      <c r="M68" s="2">
        <f>'[3]Shuttle America'!$HI$41</f>
        <v>0</v>
      </c>
      <c r="N68" s="66" t="e">
        <f t="shared" si="42"/>
        <v>#DIV/0!</v>
      </c>
      <c r="O68" s="288">
        <f>SUM('[3]Shuttle America'!$HR$41:$HW$41)</f>
        <v>0</v>
      </c>
      <c r="P68" s="2">
        <f>SUM('[3]Shuttle America'!$HD$41:$HI$41)</f>
        <v>0</v>
      </c>
      <c r="Q68" s="3" t="e">
        <f t="shared" si="43"/>
        <v>#DIV/0!</v>
      </c>
      <c r="R68" s="66">
        <f t="shared" si="44"/>
        <v>0</v>
      </c>
      <c r="S68" s="38"/>
      <c r="T68" s="291" t="s">
        <v>131</v>
      </c>
      <c r="U68" s="288">
        <f>'[3]Shuttle America'!$HW$64</f>
        <v>0</v>
      </c>
      <c r="V68" s="2">
        <f>'[3]Shuttle America'!$HI$64</f>
        <v>0</v>
      </c>
      <c r="W68" s="66" t="e">
        <f t="shared" si="45"/>
        <v>#DIV/0!</v>
      </c>
      <c r="X68" s="288">
        <f>SUM('[3]Shuttle America'!$HR$64:$HW$64)</f>
        <v>0</v>
      </c>
      <c r="Y68" s="2">
        <f>SUM('[3]Shuttle America'!$HD$64:$HI$64)</f>
        <v>0</v>
      </c>
      <c r="Z68" s="3" t="e">
        <f t="shared" si="46"/>
        <v>#DIV/0!</v>
      </c>
      <c r="AA68" s="66">
        <f t="shared" si="47"/>
        <v>0</v>
      </c>
    </row>
    <row r="69" spans="1:27" ht="14.1" customHeight="1" thickBot="1" x14ac:dyDescent="0.25">
      <c r="A69" s="345"/>
      <c r="B69" s="346"/>
      <c r="C69" s="292"/>
      <c r="D69" s="294"/>
      <c r="E69" s="295"/>
      <c r="F69" s="294"/>
      <c r="G69" s="294"/>
      <c r="H69" s="293"/>
      <c r="I69" s="295"/>
      <c r="J69" s="345"/>
      <c r="K69" s="346"/>
      <c r="L69" s="292"/>
      <c r="M69" s="294"/>
      <c r="N69" s="295"/>
      <c r="O69" s="292"/>
      <c r="P69" s="294"/>
      <c r="Q69" s="293"/>
      <c r="R69" s="372"/>
      <c r="S69" s="345"/>
      <c r="T69" s="346"/>
      <c r="U69" s="292"/>
      <c r="V69" s="294"/>
      <c r="W69" s="295"/>
      <c r="X69" s="292"/>
      <c r="Y69" s="294"/>
      <c r="Z69" s="293"/>
      <c r="AA69" s="372"/>
    </row>
    <row r="70" spans="1:27" s="171" customFormat="1" ht="14.1" customHeight="1" thickBot="1" x14ac:dyDescent="0.25">
      <c r="B70" s="170"/>
      <c r="C70" s="286"/>
      <c r="D70" s="286"/>
      <c r="E70" s="285"/>
      <c r="F70" s="344"/>
      <c r="G70" s="286"/>
      <c r="H70" s="285"/>
      <c r="I70" s="285"/>
      <c r="J70" s="296"/>
      <c r="K70" s="170"/>
      <c r="L70" s="297"/>
      <c r="M70" s="298"/>
      <c r="N70" s="296"/>
      <c r="S70" s="296"/>
      <c r="T70" s="170"/>
      <c r="U70" s="297"/>
      <c r="V70" s="298"/>
      <c r="W70" s="296"/>
    </row>
    <row r="71" spans="1:27" ht="14.1" customHeight="1" x14ac:dyDescent="0.2">
      <c r="B71" s="299" t="s">
        <v>133</v>
      </c>
      <c r="C71" s="353">
        <f>+C73-C72</f>
        <v>15564</v>
      </c>
      <c r="D71" s="353">
        <f>+D73-D72</f>
        <v>13093</v>
      </c>
      <c r="E71" s="354">
        <f>(C71-D71)/D71</f>
        <v>0.18872680058046284</v>
      </c>
      <c r="F71" s="353">
        <f>+F73-F72</f>
        <v>87690</v>
      </c>
      <c r="G71" s="353">
        <f>+G73-G72</f>
        <v>67146</v>
      </c>
      <c r="H71" s="354">
        <f>(F71-G71)/G71</f>
        <v>0.30596014654633186</v>
      </c>
      <c r="I71" s="386">
        <f>F71/$F$73</f>
        <v>0.6384791251037556</v>
      </c>
      <c r="K71" s="299" t="s">
        <v>133</v>
      </c>
      <c r="L71" s="353">
        <f>+L73-L72</f>
        <v>2315839</v>
      </c>
      <c r="M71" s="353">
        <f>+M73-M72</f>
        <v>1820740</v>
      </c>
      <c r="N71" s="354">
        <f>(L71-M71)/M71</f>
        <v>0.27192185594868018</v>
      </c>
      <c r="O71" s="353">
        <f>+O73-O72</f>
        <v>12097165</v>
      </c>
      <c r="P71" s="353">
        <f>+P73-P72</f>
        <v>7515067</v>
      </c>
      <c r="Q71" s="382">
        <f>(O71-P71)/P71</f>
        <v>0.60972151013424103</v>
      </c>
      <c r="R71" s="444">
        <f>+O71/O73</f>
        <v>0.82586625340920339</v>
      </c>
      <c r="S71" s="3"/>
      <c r="T71" s="299" t="s">
        <v>133</v>
      </c>
      <c r="U71" s="353">
        <f>+U73-U72</f>
        <v>11107769</v>
      </c>
      <c r="V71" s="353">
        <f>+V73-V72</f>
        <v>5530952</v>
      </c>
      <c r="W71" s="354">
        <f>(U71-V71)/V71</f>
        <v>1.0082924241613378</v>
      </c>
      <c r="X71" s="353">
        <f>+X73-X72</f>
        <v>47123981</v>
      </c>
      <c r="Y71" s="353">
        <f>+Y73-Y72</f>
        <v>26083820</v>
      </c>
      <c r="Z71" s="382">
        <f>(X71-Y71)/Y71</f>
        <v>0.80663648959393219</v>
      </c>
      <c r="AA71" s="444">
        <f>+X71/X73</f>
        <v>0.99902472090891004</v>
      </c>
    </row>
    <row r="72" spans="1:27" ht="14.1" customHeight="1" x14ac:dyDescent="0.2">
      <c r="B72" s="170" t="s">
        <v>134</v>
      </c>
      <c r="C72" s="355">
        <f>C68+C45+C43+C41+C40+C44+C25+C67+C64+C42+C63+C65+C30+C29+C26+C20+C8+C66+C27+C28+C10+C21+C9</f>
        <v>8285</v>
      </c>
      <c r="D72" s="355">
        <f>D68+D45+D43+D41+D40+D44+D25+D67+D64+D42+D63+D65+D30+D29+D26+D20+D8+D66+D27+D28+D10+D21+D9</f>
        <v>11359</v>
      </c>
      <c r="E72" s="300">
        <f>(C72-D72)/D72</f>
        <v>-0.27062241394488951</v>
      </c>
      <c r="F72" s="355">
        <f>F68+F45+F43+F41+F40+F44+F25+F67+F64+F42+F63+F65+F30+F29+F26+F20+F8+F66+F27+F28+F10+F21+F9</f>
        <v>49652</v>
      </c>
      <c r="G72" s="355">
        <f>G68+G45+G43+G41+G40+G44+G25+G67+G64+G42+G63+G65+G30+G29+G26+G20+G8+G66+G27+G28+G10+G21+G9</f>
        <v>56947</v>
      </c>
      <c r="H72" s="300">
        <f>(F72-G72)/G72</f>
        <v>-0.12810156812474757</v>
      </c>
      <c r="I72" s="387">
        <f>F72/$F$73</f>
        <v>0.3615208748962444</v>
      </c>
      <c r="K72" s="170" t="s">
        <v>134</v>
      </c>
      <c r="L72" s="355">
        <f>L68+L45+L43+L41+L40+L44+L25+L67+L64+L42+L63+L65+L30+L29+L26+L20+L8+L66+L27+L28+L10+L21+L9</f>
        <v>457068</v>
      </c>
      <c r="M72" s="355">
        <f>M68+M45+M43+M41+M40+M44+M25+M67+M64+M42+M63+M65+M30+M29+M26+M20+M8+M66+M27+M28+M10+M21+M9</f>
        <v>544561</v>
      </c>
      <c r="N72" s="300">
        <f>(L72-M72)/M72</f>
        <v>-0.16066703271075233</v>
      </c>
      <c r="O72" s="355">
        <f>O68+O45+O43+O41+O40+O44+O25+O67+O64+O42+O63+O65+O30+O29+O26+O20+O8+O66+O27+O28+O10+O21+O9</f>
        <v>2550685</v>
      </c>
      <c r="P72" s="355">
        <f>P68+P45+P43+P41+P40+P44+P25+P67+P64+P42+P63+P65+P30+P29+P26+P20+P8+P66+P27+P28+P10+P21+P9</f>
        <v>2294970</v>
      </c>
      <c r="Q72" s="380">
        <f>(O72-P72)/P72</f>
        <v>0.11142411447644196</v>
      </c>
      <c r="R72" s="445">
        <f>+O72/O73</f>
        <v>0.17413374659079661</v>
      </c>
      <c r="S72" s="3"/>
      <c r="T72" s="170" t="s">
        <v>134</v>
      </c>
      <c r="U72" s="355">
        <f>U68+U45+U43+U41+U40+U44+U25+U67+U64+U42+U63+U65+U30+U29+U26+U20+U8+U66+U27+U28+U10+U21+U9</f>
        <v>10516.1</v>
      </c>
      <c r="V72" s="355">
        <f>V68+V45+V43+V41+V40+V44+V25+V67+V64+V42+V63+V65+V30+V29+V26+V20+V8+V66+V27+V28+V10+V21+V9</f>
        <v>9171</v>
      </c>
      <c r="W72" s="300">
        <f>(U72-V72)/V72</f>
        <v>0.14666884745393091</v>
      </c>
      <c r="X72" s="355">
        <f>X68+X45+X43+X41+X40+X44+X25+X67+X64+X42+X63+X65+X30+X29+X26+X20+X8+X66+X27+X28+X10+X21+X9</f>
        <v>46003.9</v>
      </c>
      <c r="Y72" s="355">
        <f>Y68+Y45+Y43+Y41+Y40+Y44+Y25+Y67+Y64+Y42+Y63+Y65+Y30+Y29+Y26+Y20+Y8+Y66+Y27+Y28+Y10+Y21+Y9</f>
        <v>22021</v>
      </c>
      <c r="Z72" s="380">
        <f>(X72-Y72)/Y72</f>
        <v>1.0890922301439536</v>
      </c>
      <c r="AA72" s="445">
        <f>+X72/X73</f>
        <v>9.7527909108997834E-4</v>
      </c>
    </row>
    <row r="73" spans="1:27" ht="14.1" customHeight="1" thickBot="1" x14ac:dyDescent="0.25">
      <c r="B73" s="170" t="s">
        <v>135</v>
      </c>
      <c r="C73" s="356">
        <f>C61+C59+C55+C49+C47+C38+C23+C18+C6+C57+C34+C32+C12+C53+C14+C51+C4+C36+C16</f>
        <v>23849</v>
      </c>
      <c r="D73" s="356">
        <f>D61+D59+D55+D49+D47+D38+D23+D18+D6+D57+D34+D32+D12+D53+D14+D51+D4+D36+D16</f>
        <v>24452</v>
      </c>
      <c r="E73" s="357">
        <f>(C73-D73)/D73</f>
        <v>-2.4660559463438574E-2</v>
      </c>
      <c r="F73" s="356">
        <f>F61+F59+F55+F49+F47+F38+F23+F18+F6+F57+F34+F32+F12+F53+F14+F51+F4+F36+F16</f>
        <v>137342</v>
      </c>
      <c r="G73" s="356">
        <f>G61+G59+G55+G49+G47+G38+G23+G18+G6+G57+G34+G32+G12+G53+G14+G51+G4+G36+G16</f>
        <v>124093</v>
      </c>
      <c r="H73" s="357">
        <f>(F73-G73)/G73</f>
        <v>0.1067666991691715</v>
      </c>
      <c r="I73" s="388">
        <f>+H73/H73</f>
        <v>1</v>
      </c>
      <c r="K73" s="170" t="s">
        <v>135</v>
      </c>
      <c r="L73" s="356">
        <f>L61+L59+L55+L49+L47+L38+L23+L18+L6+L57+L34+L32+L12+L53+L14+L51+L4+L36+L16</f>
        <v>2772907</v>
      </c>
      <c r="M73" s="356">
        <f>M61+M59+M55+M49+M47+M38+M23+M18+M6+M57+M34+M32+M12+M53+M14+M51+M4+M36+M16</f>
        <v>2365301</v>
      </c>
      <c r="N73" s="357">
        <f>(L73-M73)/M73</f>
        <v>0.17232732747333215</v>
      </c>
      <c r="O73" s="356">
        <f>O61+O59+O55+O49+O47+O38+O23+O18+O6+O57+O34+O32+O12+O53+O14+O51+O4+O36+O16</f>
        <v>14647850</v>
      </c>
      <c r="P73" s="356">
        <f>P61+P59+P55+P49+P47+P38+P23+P18+P6+P57+P34+P32+P12+P53+P14+P51+P4+P36+P16</f>
        <v>9810037</v>
      </c>
      <c r="Q73" s="443">
        <f>(O73-P73)/P73</f>
        <v>0.49314931228088132</v>
      </c>
      <c r="R73" s="388">
        <f>+Q73/Q73</f>
        <v>1</v>
      </c>
      <c r="S73" s="3"/>
      <c r="T73" s="170" t="s">
        <v>135</v>
      </c>
      <c r="U73" s="356">
        <f>U61+U59+U55+U49+U47+U38+U23+U18+U6+U57+U34+U32+U12+U53+U14+U51+U4+U36+U16</f>
        <v>11118285.1</v>
      </c>
      <c r="V73" s="356">
        <f>V61+V59+V55+V49+V47+V38+V23+V18+V6+V57+V34+V32+V12+V53+V14+V51+V4+V36+V16</f>
        <v>5540123</v>
      </c>
      <c r="W73" s="357">
        <f>(U73-V73)/V73</f>
        <v>1.0068661110953674</v>
      </c>
      <c r="X73" s="356">
        <f>X61+X59+X55+X49+X47+X38+X23+X18+X6+X57+X34+X32+X12+X53+X14+X51+X4+X36+X16</f>
        <v>47169984.899999999</v>
      </c>
      <c r="Y73" s="356">
        <f>Y61+Y59+Y55+Y49+Y47+Y38+Y23+Y18+Y6+Y57+Y34+Y32+Y12+Y53+Y14+Y51+Y4+Y36+Y16</f>
        <v>26105841</v>
      </c>
      <c r="Z73" s="443">
        <f>(X73-Y73)/Y73</f>
        <v>0.80687474883494459</v>
      </c>
      <c r="AA73" s="388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96"/>
      <c r="V75" s="96"/>
      <c r="W75" s="96"/>
    </row>
    <row r="76" spans="1:27" x14ac:dyDescent="0.2">
      <c r="E76"/>
      <c r="F76" s="2"/>
      <c r="H76"/>
      <c r="I76"/>
      <c r="J76"/>
      <c r="K76"/>
      <c r="N76"/>
      <c r="O76" s="2"/>
      <c r="P76" s="2"/>
      <c r="U76" s="96"/>
      <c r="V76" s="96"/>
      <c r="W76" s="96"/>
    </row>
    <row r="77" spans="1:27" x14ac:dyDescent="0.2">
      <c r="E77"/>
      <c r="F77" s="2"/>
      <c r="H77"/>
      <c r="I77"/>
      <c r="J77"/>
      <c r="K77"/>
      <c r="N77"/>
      <c r="O77" s="2"/>
      <c r="P77" s="2"/>
      <c r="U77" s="96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4666" spans="6:11" x14ac:dyDescent="0.2">
      <c r="F4666" s="172"/>
      <c r="K4666"/>
    </row>
    <row r="4667" spans="6:11" x14ac:dyDescent="0.2">
      <c r="F4667" s="172"/>
      <c r="K4667"/>
    </row>
    <row r="4668" spans="6:11" x14ac:dyDescent="0.2">
      <c r="F4668" s="172"/>
      <c r="K4668"/>
    </row>
    <row r="4669" spans="6:11" x14ac:dyDescent="0.2">
      <c r="F4669" s="172"/>
      <c r="K4669"/>
    </row>
    <row r="4670" spans="6:11" x14ac:dyDescent="0.2">
      <c r="F4670" s="172"/>
      <c r="K4670"/>
    </row>
    <row r="4671" spans="6:11" x14ac:dyDescent="0.2">
      <c r="F4671" s="172"/>
      <c r="K4671"/>
    </row>
    <row r="4672" spans="6:11" x14ac:dyDescent="0.2">
      <c r="F4672" s="172"/>
      <c r="K4672"/>
    </row>
    <row r="4673" spans="6:11" x14ac:dyDescent="0.2">
      <c r="F4673" s="172"/>
      <c r="K4673"/>
    </row>
    <row r="4674" spans="6:11" x14ac:dyDescent="0.2">
      <c r="F4674" s="172"/>
      <c r="K4674"/>
    </row>
    <row r="4675" spans="6:11" x14ac:dyDescent="0.2">
      <c r="F4675" s="172"/>
      <c r="K4675"/>
    </row>
    <row r="4676" spans="6:11" x14ac:dyDescent="0.2">
      <c r="F4676" s="172"/>
      <c r="K4676"/>
    </row>
    <row r="4677" spans="6:11" x14ac:dyDescent="0.2">
      <c r="F4677" s="172"/>
      <c r="K4677"/>
    </row>
    <row r="4678" spans="6:11" x14ac:dyDescent="0.2">
      <c r="F4678" s="172"/>
      <c r="K4678"/>
    </row>
    <row r="4679" spans="6:11" x14ac:dyDescent="0.2">
      <c r="F4679" s="172"/>
      <c r="K4679"/>
    </row>
    <row r="4680" spans="6:11" x14ac:dyDescent="0.2">
      <c r="F4680" s="172"/>
      <c r="K4680"/>
    </row>
    <row r="4681" spans="6:11" x14ac:dyDescent="0.2">
      <c r="F4681" s="172"/>
      <c r="K4681"/>
    </row>
    <row r="4682" spans="6:11" x14ac:dyDescent="0.2">
      <c r="F4682" s="172"/>
      <c r="K4682"/>
    </row>
    <row r="4683" spans="6:11" x14ac:dyDescent="0.2">
      <c r="F4683" s="172"/>
      <c r="K4683"/>
    </row>
    <row r="4684" spans="6:11" x14ac:dyDescent="0.2">
      <c r="F4684" s="172"/>
      <c r="K4684"/>
    </row>
    <row r="4685" spans="6:11" x14ac:dyDescent="0.2">
      <c r="F4685" s="172"/>
      <c r="K4685"/>
    </row>
    <row r="4686" spans="6:11" x14ac:dyDescent="0.2">
      <c r="F4686" s="172"/>
      <c r="K4686"/>
    </row>
    <row r="4687" spans="6:11" x14ac:dyDescent="0.2">
      <c r="F4687" s="172"/>
      <c r="K4687"/>
    </row>
    <row r="4688" spans="6:11" x14ac:dyDescent="0.2">
      <c r="F4688" s="172"/>
      <c r="K4688"/>
    </row>
    <row r="4689" spans="6:11" x14ac:dyDescent="0.2">
      <c r="F4689" s="172"/>
      <c r="K4689"/>
    </row>
    <row r="4690" spans="6:11" x14ac:dyDescent="0.2">
      <c r="F4690" s="172"/>
      <c r="K4690"/>
    </row>
    <row r="4691" spans="6:11" x14ac:dyDescent="0.2">
      <c r="F4691" s="172"/>
      <c r="K4691"/>
    </row>
    <row r="4692" spans="6:11" x14ac:dyDescent="0.2">
      <c r="F4692" s="172"/>
      <c r="K4692"/>
    </row>
    <row r="4693" spans="6:11" x14ac:dyDescent="0.2">
      <c r="F4693" s="172"/>
      <c r="K4693"/>
    </row>
    <row r="4694" spans="6:11" x14ac:dyDescent="0.2">
      <c r="F4694" s="172"/>
      <c r="K4694"/>
    </row>
    <row r="4695" spans="6:11" x14ac:dyDescent="0.2">
      <c r="F4695" s="172"/>
      <c r="K4695"/>
    </row>
    <row r="4696" spans="6:11" x14ac:dyDescent="0.2">
      <c r="F4696" s="172"/>
      <c r="K4696"/>
    </row>
    <row r="4697" spans="6:11" x14ac:dyDescent="0.2">
      <c r="F4697" s="172"/>
      <c r="K4697"/>
    </row>
    <row r="4698" spans="6:11" x14ac:dyDescent="0.2">
      <c r="F4698" s="172"/>
      <c r="K4698"/>
    </row>
    <row r="4699" spans="6:11" x14ac:dyDescent="0.2">
      <c r="F4699" s="172"/>
      <c r="K4699"/>
    </row>
    <row r="4700" spans="6:11" x14ac:dyDescent="0.2">
      <c r="F4700" s="172"/>
      <c r="K4700"/>
    </row>
    <row r="4701" spans="6:11" x14ac:dyDescent="0.2">
      <c r="F4701" s="172"/>
      <c r="K4701"/>
    </row>
    <row r="4702" spans="6:11" x14ac:dyDescent="0.2">
      <c r="F4702" s="172"/>
      <c r="K4702"/>
    </row>
    <row r="4703" spans="6:11" x14ac:dyDescent="0.2">
      <c r="F4703" s="172"/>
      <c r="K4703"/>
    </row>
    <row r="4704" spans="6:11" x14ac:dyDescent="0.2">
      <c r="F4704" s="172"/>
      <c r="K4704"/>
    </row>
    <row r="4705" spans="6:11" x14ac:dyDescent="0.2">
      <c r="F4705" s="172"/>
      <c r="K4705"/>
    </row>
    <row r="4706" spans="6:11" x14ac:dyDescent="0.2">
      <c r="F4706" s="172"/>
      <c r="K4706"/>
    </row>
    <row r="4707" spans="6:11" x14ac:dyDescent="0.2">
      <c r="F4707" s="172"/>
      <c r="K4707"/>
    </row>
    <row r="4708" spans="6:11" x14ac:dyDescent="0.2">
      <c r="F4708" s="172"/>
      <c r="K4708"/>
    </row>
    <row r="4709" spans="6:11" x14ac:dyDescent="0.2">
      <c r="F4709" s="172"/>
      <c r="K4709"/>
    </row>
    <row r="4710" spans="6:11" x14ac:dyDescent="0.2">
      <c r="F4710" s="172"/>
      <c r="K4710"/>
    </row>
    <row r="4711" spans="6:11" x14ac:dyDescent="0.2">
      <c r="F4711" s="172"/>
      <c r="K4711"/>
    </row>
    <row r="4712" spans="6:11" x14ac:dyDescent="0.2">
      <c r="F4712" s="172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1" fitToWidth="2" orientation="portrait" r:id="rId1"/>
  <headerFooter alignWithMargins="0">
    <oddHeader>&amp;L
Schedule 10
&amp;CMinneapolis-St. Paul International Airport
&amp;"Arial,Bold"&amp;A
June 2022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B3" sqref="B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442">
        <v>44713</v>
      </c>
      <c r="B1" s="352" t="s">
        <v>17</v>
      </c>
      <c r="C1" s="352" t="s">
        <v>18</v>
      </c>
      <c r="D1" s="352" t="s">
        <v>19</v>
      </c>
      <c r="E1" s="352" t="s">
        <v>155</v>
      </c>
      <c r="F1" s="352" t="s">
        <v>161</v>
      </c>
      <c r="G1" s="352" t="s">
        <v>156</v>
      </c>
      <c r="H1" s="390" t="s">
        <v>199</v>
      </c>
      <c r="I1" s="390" t="s">
        <v>194</v>
      </c>
      <c r="J1" s="352" t="s">
        <v>20</v>
      </c>
      <c r="K1" s="351" t="s">
        <v>21</v>
      </c>
    </row>
    <row r="2" spans="1:20" ht="15" x14ac:dyDescent="0.25">
      <c r="A2" s="48" t="s">
        <v>3</v>
      </c>
      <c r="B2" s="42"/>
      <c r="C2" s="42"/>
      <c r="D2" s="42"/>
      <c r="E2" s="42"/>
      <c r="F2" s="42"/>
      <c r="G2" s="42"/>
      <c r="H2" s="389"/>
      <c r="I2" s="389"/>
      <c r="J2" s="42"/>
      <c r="K2" s="218"/>
    </row>
    <row r="3" spans="1:20" x14ac:dyDescent="0.2">
      <c r="A3" s="46" t="s">
        <v>29</v>
      </c>
      <c r="K3" s="40"/>
    </row>
    <row r="4" spans="1:20" x14ac:dyDescent="0.2">
      <c r="A4" s="46" t="s">
        <v>30</v>
      </c>
      <c r="B4" s="13">
        <f>[3]American!$HW$22</f>
        <v>49032</v>
      </c>
      <c r="C4" s="13">
        <f>[3]Delta!$HW$22+[3]Delta!$HW$32</f>
        <v>789149</v>
      </c>
      <c r="D4" s="13">
        <f>[3]United!$HW$22</f>
        <v>46115</v>
      </c>
      <c r="E4" s="13">
        <f>[3]Spirit!$HW$22</f>
        <v>14516</v>
      </c>
      <c r="F4" s="13">
        <f>[3]Condor!$HW$32</f>
        <v>2383</v>
      </c>
      <c r="G4" s="13">
        <f>'[3]Air France'!$HW$32</f>
        <v>5298</v>
      </c>
      <c r="H4" s="13">
        <f>'[3]Jet Blue'!$HW$22</f>
        <v>9188</v>
      </c>
      <c r="I4" s="13">
        <f>[3]KLM!$HW$22+[3]KLM!$HW$32</f>
        <v>4142</v>
      </c>
      <c r="J4" s="13">
        <f>'Other Major Airline Stats'!K5</f>
        <v>245462</v>
      </c>
      <c r="K4" s="219">
        <f>SUM(B4:J4)</f>
        <v>1165285</v>
      </c>
    </row>
    <row r="5" spans="1:20" x14ac:dyDescent="0.2">
      <c r="A5" s="46" t="s">
        <v>31</v>
      </c>
      <c r="B5" s="7">
        <f>[3]American!$HW$23</f>
        <v>47800</v>
      </c>
      <c r="C5" s="7">
        <f>[3]Delta!$HW$23+[3]Delta!$HW$33</f>
        <v>780317</v>
      </c>
      <c r="D5" s="7">
        <f>[3]United!$HW$23</f>
        <v>46615</v>
      </c>
      <c r="E5" s="7">
        <f>[3]Spirit!$HW$23</f>
        <v>13892</v>
      </c>
      <c r="F5" s="7">
        <f>[3]Condor!$HW$33</f>
        <v>2833</v>
      </c>
      <c r="G5" s="7">
        <f>'[3]Air France'!$HW$33</f>
        <v>5636</v>
      </c>
      <c r="H5" s="7">
        <f>'[3]Jet Blue'!$HW$23</f>
        <v>9091</v>
      </c>
      <c r="I5" s="7">
        <f>[3]KLM!$HW$23+[3]KLM!$HW$33</f>
        <v>4358</v>
      </c>
      <c r="J5" s="7">
        <f>'Other Major Airline Stats'!K6</f>
        <v>240012</v>
      </c>
      <c r="K5" s="220">
        <f>SUM(B5:J5)</f>
        <v>1150554</v>
      </c>
      <c r="M5" s="244"/>
      <c r="N5" s="244"/>
      <c r="O5" s="244"/>
      <c r="P5" s="244"/>
      <c r="Q5" s="244"/>
      <c r="R5" s="244"/>
      <c r="S5" s="244"/>
      <c r="T5" s="244"/>
    </row>
    <row r="6" spans="1:20" ht="15" x14ac:dyDescent="0.25">
      <c r="A6" s="44" t="s">
        <v>7</v>
      </c>
      <c r="B6" s="25">
        <f t="shared" ref="B6:E6" si="0">SUM(B4:B5)</f>
        <v>96832</v>
      </c>
      <c r="C6" s="25">
        <f t="shared" si="0"/>
        <v>1569466</v>
      </c>
      <c r="D6" s="25">
        <f t="shared" si="0"/>
        <v>92730</v>
      </c>
      <c r="E6" s="25">
        <f t="shared" si="0"/>
        <v>28408</v>
      </c>
      <c r="F6" s="25">
        <f t="shared" ref="F6:I6" si="1">SUM(F4:F5)</f>
        <v>5216</v>
      </c>
      <c r="G6" s="25">
        <f t="shared" si="1"/>
        <v>10934</v>
      </c>
      <c r="H6" s="25">
        <f t="shared" ref="H6" si="2">SUM(H4:H5)</f>
        <v>18279</v>
      </c>
      <c r="I6" s="25">
        <f t="shared" si="1"/>
        <v>8500</v>
      </c>
      <c r="J6" s="25">
        <f>SUM(J4:J5)</f>
        <v>485474</v>
      </c>
      <c r="K6" s="221">
        <f>SUM(B6:J6)</f>
        <v>2315839</v>
      </c>
    </row>
    <row r="7" spans="1:20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219"/>
    </row>
    <row r="8" spans="1:20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19">
        <f>SUM(B8:J8)</f>
        <v>0</v>
      </c>
    </row>
    <row r="9" spans="1:20" x14ac:dyDescent="0.2">
      <c r="A9" s="46" t="s">
        <v>30</v>
      </c>
      <c r="B9" s="13">
        <f>[3]American!$HW$27</f>
        <v>1264</v>
      </c>
      <c r="C9" s="13">
        <f>[3]Delta!$HW$27+[3]Delta!$HW$37</f>
        <v>22723</v>
      </c>
      <c r="D9" s="13">
        <f>[3]United!$HW$27</f>
        <v>1521</v>
      </c>
      <c r="E9" s="13">
        <f>[3]Spirit!$HW$27</f>
        <v>110</v>
      </c>
      <c r="F9" s="13">
        <f>[3]Condor!$HW$37</f>
        <v>3</v>
      </c>
      <c r="G9" s="13">
        <f>'[3]Air France'!$HW$37</f>
        <v>10</v>
      </c>
      <c r="H9" s="13">
        <f>'[3]Jet Blue'!$HW$27</f>
        <v>199</v>
      </c>
      <c r="I9" s="13">
        <f>[3]KLM!$HW$27+[3]KLM!$HW$37</f>
        <v>14</v>
      </c>
      <c r="J9" s="13">
        <f>'Other Major Airline Stats'!K10</f>
        <v>4050</v>
      </c>
      <c r="K9" s="219">
        <f>SUM(B9:J9)</f>
        <v>29894</v>
      </c>
      <c r="N9" s="244"/>
    </row>
    <row r="10" spans="1:20" x14ac:dyDescent="0.2">
      <c r="A10" s="46" t="s">
        <v>33</v>
      </c>
      <c r="B10" s="7">
        <f>[3]American!$HW$28</f>
        <v>1487</v>
      </c>
      <c r="C10" s="7">
        <f>[3]Delta!$HW$28+[3]Delta!$HW$38</f>
        <v>22763</v>
      </c>
      <c r="D10" s="7">
        <f>[3]United!$HW$28</f>
        <v>1357</v>
      </c>
      <c r="E10" s="7">
        <f>[3]Spirit!$HW$28</f>
        <v>139</v>
      </c>
      <c r="F10" s="7">
        <f>[3]Condor!$HW$38</f>
        <v>11</v>
      </c>
      <c r="G10" s="7">
        <f>'[3]Air France'!$HW$38</f>
        <v>6</v>
      </c>
      <c r="H10" s="7">
        <f>'[3]Jet Blue'!$HW$28</f>
        <v>208</v>
      </c>
      <c r="I10" s="7">
        <f>[3]KLM!$HW$28+[3]KLM!$HW$38</f>
        <v>4</v>
      </c>
      <c r="J10" s="7">
        <f>'Other Major Airline Stats'!K11</f>
        <v>4213</v>
      </c>
      <c r="K10" s="220">
        <f>SUM(B10:J10)</f>
        <v>30188</v>
      </c>
    </row>
    <row r="11" spans="1:20" ht="15.75" thickBot="1" x14ac:dyDescent="0.3">
      <c r="A11" s="47" t="s">
        <v>34</v>
      </c>
      <c r="B11" s="222">
        <f t="shared" ref="B11:J11" si="3">SUM(B9:B10)</f>
        <v>2751</v>
      </c>
      <c r="C11" s="222">
        <f t="shared" si="3"/>
        <v>45486</v>
      </c>
      <c r="D11" s="222">
        <f t="shared" si="3"/>
        <v>2878</v>
      </c>
      <c r="E11" s="222">
        <f t="shared" si="3"/>
        <v>249</v>
      </c>
      <c r="F11" s="222">
        <f t="shared" ref="F11:I11" si="4">SUM(F9:F10)</f>
        <v>14</v>
      </c>
      <c r="G11" s="222">
        <f t="shared" si="4"/>
        <v>16</v>
      </c>
      <c r="H11" s="222">
        <f t="shared" ref="H11" si="5">SUM(H9:H10)</f>
        <v>407</v>
      </c>
      <c r="I11" s="222">
        <f t="shared" si="4"/>
        <v>18</v>
      </c>
      <c r="J11" s="222">
        <f t="shared" si="3"/>
        <v>8263</v>
      </c>
      <c r="K11" s="223">
        <f>SUM(B11:J11)</f>
        <v>60082</v>
      </c>
    </row>
    <row r="13" spans="1:20" ht="13.5" thickBot="1" x14ac:dyDescent="0.25"/>
    <row r="14" spans="1:20" ht="15.75" thickTop="1" x14ac:dyDescent="0.25">
      <c r="A14" s="4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6" t="s">
        <v>22</v>
      </c>
      <c r="B15" s="13">
        <f>[3]American!$HW$4</f>
        <v>309</v>
      </c>
      <c r="C15" s="13">
        <f>[3]Delta!$HW$4+[3]Delta!$HW$15</f>
        <v>5175</v>
      </c>
      <c r="D15" s="13">
        <f>[3]United!$HW$4</f>
        <v>342</v>
      </c>
      <c r="E15" s="13">
        <f>[3]Spirit!$HW$4</f>
        <v>89</v>
      </c>
      <c r="F15" s="13">
        <f>[3]Condor!$HW$15</f>
        <v>13</v>
      </c>
      <c r="G15" s="13">
        <f>'[3]Air France'!$HW$15</f>
        <v>19</v>
      </c>
      <c r="H15" s="13">
        <f>'[3]Jet Blue'!$HW$4</f>
        <v>86</v>
      </c>
      <c r="I15" s="13">
        <f>[3]KLM!$HW$4+[3]KLM!$HW$15</f>
        <v>17</v>
      </c>
      <c r="J15" s="13">
        <f>'Other Major Airline Stats'!K16</f>
        <v>1689</v>
      </c>
      <c r="K15" s="18">
        <f>SUM(B15:J15)</f>
        <v>7739</v>
      </c>
    </row>
    <row r="16" spans="1:20" x14ac:dyDescent="0.2">
      <c r="A16" s="46" t="s">
        <v>23</v>
      </c>
      <c r="B16" s="7">
        <f>[3]American!$HW$5</f>
        <v>308</v>
      </c>
      <c r="C16" s="7">
        <f>[3]Delta!$HW$5+[3]Delta!$HW$16</f>
        <v>5167</v>
      </c>
      <c r="D16" s="7">
        <f>[3]United!$HW$5</f>
        <v>340</v>
      </c>
      <c r="E16" s="7">
        <f>[3]Spirit!$HW$5</f>
        <v>89</v>
      </c>
      <c r="F16" s="7">
        <f>[3]Condor!$HW$16</f>
        <v>13</v>
      </c>
      <c r="G16" s="7">
        <f>'[3]Air France'!$HW$16</f>
        <v>19</v>
      </c>
      <c r="H16" s="7">
        <f>'[3]Jet Blue'!$HW$5</f>
        <v>86</v>
      </c>
      <c r="I16" s="7">
        <f>[3]KLM!$HW$5+[3]KLM!$HW$16</f>
        <v>17</v>
      </c>
      <c r="J16" s="7">
        <f>'Other Major Airline Stats'!K17</f>
        <v>1684</v>
      </c>
      <c r="K16" s="24">
        <f>SUM(B16:J16)</f>
        <v>7723</v>
      </c>
    </row>
    <row r="17" spans="1:11" x14ac:dyDescent="0.2">
      <c r="A17" s="46" t="s">
        <v>24</v>
      </c>
      <c r="B17" s="226">
        <f t="shared" ref="B17:J17" si="6">SUM(B15:B16)</f>
        <v>617</v>
      </c>
      <c r="C17" s="224">
        <f t="shared" si="6"/>
        <v>10342</v>
      </c>
      <c r="D17" s="224">
        <f t="shared" si="6"/>
        <v>682</v>
      </c>
      <c r="E17" s="224">
        <f t="shared" si="6"/>
        <v>178</v>
      </c>
      <c r="F17" s="224">
        <f t="shared" ref="F17:I17" si="7">SUM(F15:F16)</f>
        <v>26</v>
      </c>
      <c r="G17" s="224">
        <f t="shared" si="7"/>
        <v>38</v>
      </c>
      <c r="H17" s="224">
        <f t="shared" ref="H17" si="8">SUM(H15:H16)</f>
        <v>172</v>
      </c>
      <c r="I17" s="224">
        <f t="shared" si="7"/>
        <v>34</v>
      </c>
      <c r="J17" s="224">
        <f t="shared" si="6"/>
        <v>3373</v>
      </c>
      <c r="K17" s="225">
        <f>SUM(B17:J17)</f>
        <v>15462</v>
      </c>
    </row>
    <row r="18" spans="1:11" x14ac:dyDescent="0.2">
      <c r="A18" s="46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6" t="s">
        <v>25</v>
      </c>
      <c r="B19" s="13">
        <f>[3]American!$HW$8</f>
        <v>0</v>
      </c>
      <c r="C19" s="13">
        <f>[3]Delta!$HW$8</f>
        <v>4</v>
      </c>
      <c r="D19" s="13">
        <f>[3]United!$HW$8</f>
        <v>2</v>
      </c>
      <c r="E19" s="13">
        <f>[3]Spirit!$HW$8</f>
        <v>0</v>
      </c>
      <c r="F19" s="13">
        <f>[3]Condor!$HW$8</f>
        <v>0</v>
      </c>
      <c r="G19" s="13">
        <f>'[3]Air France'!$HW$8</f>
        <v>0</v>
      </c>
      <c r="H19" s="13">
        <f>'[3]Jet Blue'!$HW$8</f>
        <v>0</v>
      </c>
      <c r="I19" s="13">
        <f>[3]KLM!$HW$8</f>
        <v>0</v>
      </c>
      <c r="J19" s="13">
        <f>'Other Major Airline Stats'!K20</f>
        <v>39</v>
      </c>
      <c r="K19" s="18">
        <f>SUM(B19:J19)</f>
        <v>45</v>
      </c>
    </row>
    <row r="20" spans="1:11" x14ac:dyDescent="0.2">
      <c r="A20" s="46" t="s">
        <v>26</v>
      </c>
      <c r="B20" s="7">
        <f>[3]American!$HW$9</f>
        <v>0</v>
      </c>
      <c r="C20" s="7">
        <f>[3]Delta!$HW$9</f>
        <v>16</v>
      </c>
      <c r="D20" s="7">
        <f>[3]United!$HW$9</f>
        <v>4</v>
      </c>
      <c r="E20" s="7">
        <f>[3]Spirit!$HW$9</f>
        <v>0</v>
      </c>
      <c r="F20" s="7">
        <f>[3]Condor!$HW$9</f>
        <v>0</v>
      </c>
      <c r="G20" s="7">
        <f>'[3]Air France'!$HW$9</f>
        <v>0</v>
      </c>
      <c r="H20" s="7">
        <f>'[3]Jet Blue'!$HW$9</f>
        <v>0</v>
      </c>
      <c r="I20" s="7">
        <f>[3]KLM!$HW$9</f>
        <v>0</v>
      </c>
      <c r="J20" s="7">
        <f>'Other Major Airline Stats'!K21</f>
        <v>37</v>
      </c>
      <c r="K20" s="24">
        <f>SUM(B20:J20)</f>
        <v>57</v>
      </c>
    </row>
    <row r="21" spans="1:11" x14ac:dyDescent="0.2">
      <c r="A21" s="46" t="s">
        <v>27</v>
      </c>
      <c r="B21" s="226">
        <f t="shared" ref="B21:J21" si="9">SUM(B19:B20)</f>
        <v>0</v>
      </c>
      <c r="C21" s="224">
        <f t="shared" si="9"/>
        <v>20</v>
      </c>
      <c r="D21" s="224">
        <f t="shared" si="9"/>
        <v>6</v>
      </c>
      <c r="E21" s="224">
        <f t="shared" si="9"/>
        <v>0</v>
      </c>
      <c r="F21" s="224">
        <f t="shared" ref="F21:I21" si="10">SUM(F19:F20)</f>
        <v>0</v>
      </c>
      <c r="G21" s="224">
        <f t="shared" si="10"/>
        <v>0</v>
      </c>
      <c r="H21" s="224">
        <f t="shared" ref="H21" si="11">SUM(H19:H20)</f>
        <v>0</v>
      </c>
      <c r="I21" s="224">
        <f t="shared" si="10"/>
        <v>0</v>
      </c>
      <c r="J21" s="224">
        <f t="shared" si="9"/>
        <v>76</v>
      </c>
      <c r="K21" s="146">
        <f>SUM(B21:J21)</f>
        <v>102</v>
      </c>
    </row>
    <row r="22" spans="1:11" x14ac:dyDescent="0.2">
      <c r="A22" s="46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7" t="s">
        <v>28</v>
      </c>
      <c r="B23" s="19">
        <f t="shared" ref="B23:J23" si="12">B17+B21</f>
        <v>617</v>
      </c>
      <c r="C23" s="19">
        <f t="shared" si="12"/>
        <v>10362</v>
      </c>
      <c r="D23" s="19">
        <f t="shared" si="12"/>
        <v>688</v>
      </c>
      <c r="E23" s="19">
        <f>E17+E21</f>
        <v>178</v>
      </c>
      <c r="F23" s="19">
        <f t="shared" ref="F23:I23" si="13">F17+F21</f>
        <v>26</v>
      </c>
      <c r="G23" s="19">
        <f t="shared" si="13"/>
        <v>38</v>
      </c>
      <c r="H23" s="19">
        <f t="shared" ref="H23" si="14">H17+H21</f>
        <v>172</v>
      </c>
      <c r="I23" s="19">
        <f t="shared" si="13"/>
        <v>34</v>
      </c>
      <c r="J23" s="19">
        <f t="shared" si="12"/>
        <v>3449</v>
      </c>
      <c r="K23" s="20">
        <f>SUM(B23:J23)</f>
        <v>15564</v>
      </c>
    </row>
    <row r="25" spans="1:11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</row>
    <row r="26" spans="1:11" ht="15.75" thickTop="1" x14ac:dyDescent="0.25">
      <c r="A26" s="49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6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6" t="s">
        <v>37</v>
      </c>
      <c r="B28" s="13">
        <f>[3]American!$HW$47</f>
        <v>31448</v>
      </c>
      <c r="C28" s="13">
        <f>[3]Delta!$HW$47</f>
        <v>2475571</v>
      </c>
      <c r="D28" s="13">
        <f>[3]United!$HW$47</f>
        <v>59239</v>
      </c>
      <c r="E28" s="13">
        <f>[3]Spirit!$HW$47</f>
        <v>0</v>
      </c>
      <c r="F28" s="13">
        <f>[3]Condor!$HW$47</f>
        <v>145970</v>
      </c>
      <c r="G28" s="13">
        <f>'[3]Air France'!$HW$47</f>
        <v>362757</v>
      </c>
      <c r="H28" s="13">
        <f>'[3]Jet Blue'!$HW$47</f>
        <v>0</v>
      </c>
      <c r="I28" s="13">
        <f>[3]KLM!$HW$47</f>
        <v>321960</v>
      </c>
      <c r="J28" s="13">
        <f>'Other Major Airline Stats'!K28</f>
        <v>1078148</v>
      </c>
      <c r="K28" s="18">
        <f>SUM(B28:J28)</f>
        <v>4475093</v>
      </c>
    </row>
    <row r="29" spans="1:11" x14ac:dyDescent="0.2">
      <c r="A29" s="46" t="s">
        <v>38</v>
      </c>
      <c r="B29" s="7">
        <f>[3]American!$HW$48</f>
        <v>27459</v>
      </c>
      <c r="C29" s="7">
        <f>[3]Delta!$HW$48</f>
        <v>1997620</v>
      </c>
      <c r="D29" s="7">
        <f>[3]United!$HW$48</f>
        <v>22349</v>
      </c>
      <c r="E29" s="7">
        <f>[3]Spirit!$HW$48</f>
        <v>0</v>
      </c>
      <c r="F29" s="7">
        <f>[3]Condor!$HW$48</f>
        <v>0</v>
      </c>
      <c r="G29" s="7">
        <f>'[3]Air France'!$HW$48</f>
        <v>0</v>
      </c>
      <c r="H29" s="7">
        <f>'[3]Jet Blue'!$HW$48</f>
        <v>0</v>
      </c>
      <c r="I29" s="7">
        <f>[3]KLM!$HW$48</f>
        <v>0</v>
      </c>
      <c r="J29" s="7">
        <f>'Other Major Airline Stats'!K29</f>
        <v>0</v>
      </c>
      <c r="K29" s="24">
        <f>SUM(B29:J29)</f>
        <v>2047428</v>
      </c>
    </row>
    <row r="30" spans="1:11" x14ac:dyDescent="0.2">
      <c r="A30" s="50" t="s">
        <v>39</v>
      </c>
      <c r="B30" s="226">
        <f t="shared" ref="B30:J30" si="15">SUM(B28:B29)</f>
        <v>58907</v>
      </c>
      <c r="C30" s="226">
        <f t="shared" si="15"/>
        <v>4473191</v>
      </c>
      <c r="D30" s="226">
        <f t="shared" si="15"/>
        <v>81588</v>
      </c>
      <c r="E30" s="226">
        <f t="shared" si="15"/>
        <v>0</v>
      </c>
      <c r="F30" s="226">
        <f t="shared" ref="F30:I30" si="16">SUM(F28:F29)</f>
        <v>145970</v>
      </c>
      <c r="G30" s="226">
        <f t="shared" si="16"/>
        <v>362757</v>
      </c>
      <c r="H30" s="226">
        <f t="shared" ref="H30" si="17">SUM(H28:H29)</f>
        <v>0</v>
      </c>
      <c r="I30" s="226">
        <f t="shared" si="16"/>
        <v>321960</v>
      </c>
      <c r="J30" s="226">
        <f t="shared" si="15"/>
        <v>1078148</v>
      </c>
      <c r="K30" s="18">
        <f>SUM(B30:J30)</f>
        <v>6522521</v>
      </c>
    </row>
    <row r="31" spans="1:11" x14ac:dyDescent="0.2">
      <c r="A31" s="46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6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6" t="s">
        <v>37</v>
      </c>
      <c r="B33" s="13">
        <f>[3]American!$HW$52</f>
        <v>4347</v>
      </c>
      <c r="C33" s="13">
        <f>[3]Delta!$HW$52</f>
        <v>1665519</v>
      </c>
      <c r="D33" s="13">
        <f>[3]United!$HW$52</f>
        <v>27914</v>
      </c>
      <c r="E33" s="13">
        <f>[3]Spirit!$HW$52</f>
        <v>0</v>
      </c>
      <c r="F33" s="13">
        <f>[3]Condor!$HW$52</f>
        <v>83225</v>
      </c>
      <c r="G33" s="13">
        <f>'[3]Air France'!$HW$52</f>
        <v>109613</v>
      </c>
      <c r="H33" s="13">
        <f>'[3]Jet Blue'!$HW$52</f>
        <v>0</v>
      </c>
      <c r="I33" s="13">
        <f>[3]KLM!$HW$52</f>
        <v>32317</v>
      </c>
      <c r="J33" s="13">
        <f>'Other Major Airline Stats'!K33</f>
        <v>928348</v>
      </c>
      <c r="K33" s="18">
        <f t="shared" si="18"/>
        <v>2851283</v>
      </c>
    </row>
    <row r="34" spans="1:11" x14ac:dyDescent="0.2">
      <c r="A34" s="46" t="s">
        <v>38</v>
      </c>
      <c r="B34" s="7">
        <f>[3]American!$HW$53</f>
        <v>7543</v>
      </c>
      <c r="C34" s="7">
        <f>[3]Delta!$HW$53</f>
        <v>1715906</v>
      </c>
      <c r="D34" s="7">
        <f>[3]United!$HW$53</f>
        <v>10289</v>
      </c>
      <c r="E34" s="7">
        <f>[3]Spirit!$HW$53</f>
        <v>0</v>
      </c>
      <c r="F34" s="7">
        <f>[3]Condor!$HW$53</f>
        <v>0</v>
      </c>
      <c r="G34" s="7">
        <f>'[3]Air France'!$HW$53</f>
        <v>0</v>
      </c>
      <c r="H34" s="7">
        <f>'[3]Jet Blue'!$HW$53</f>
        <v>0</v>
      </c>
      <c r="I34" s="7">
        <f>[3]KLM!$HW$53</f>
        <v>0</v>
      </c>
      <c r="J34" s="7">
        <f>'Other Major Airline Stats'!K34</f>
        <v>227</v>
      </c>
      <c r="K34" s="24">
        <f t="shared" si="18"/>
        <v>1733965</v>
      </c>
    </row>
    <row r="35" spans="1:11" x14ac:dyDescent="0.2">
      <c r="A35" s="50" t="s">
        <v>41</v>
      </c>
      <c r="B35" s="226">
        <f t="shared" ref="B35:J35" si="19">SUM(B33:B34)</f>
        <v>11890</v>
      </c>
      <c r="C35" s="226">
        <f t="shared" si="19"/>
        <v>3381425</v>
      </c>
      <c r="D35" s="226">
        <f t="shared" si="19"/>
        <v>38203</v>
      </c>
      <c r="E35" s="226">
        <f t="shared" si="19"/>
        <v>0</v>
      </c>
      <c r="F35" s="226">
        <f t="shared" ref="F35:I35" si="20">SUM(F33:F34)</f>
        <v>83225</v>
      </c>
      <c r="G35" s="226">
        <f t="shared" si="20"/>
        <v>109613</v>
      </c>
      <c r="H35" s="226">
        <f t="shared" ref="H35" si="21">SUM(H33:H34)</f>
        <v>0</v>
      </c>
      <c r="I35" s="226">
        <f t="shared" si="20"/>
        <v>32317</v>
      </c>
      <c r="J35" s="226">
        <f t="shared" si="19"/>
        <v>928575</v>
      </c>
      <c r="K35" s="18">
        <f t="shared" si="18"/>
        <v>4585248</v>
      </c>
    </row>
    <row r="36" spans="1:11" hidden="1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6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6" t="s">
        <v>37</v>
      </c>
      <c r="B38" s="13">
        <f>[3]American!$HW$57</f>
        <v>0</v>
      </c>
      <c r="C38" s="13">
        <f>[3]Delta!$HW$57</f>
        <v>0</v>
      </c>
      <c r="D38" s="13">
        <f>[3]United!$HW$57</f>
        <v>0</v>
      </c>
      <c r="E38" s="13">
        <f>[3]Spirit!$HW$57</f>
        <v>0</v>
      </c>
      <c r="F38" s="13">
        <f>[3]Condor!$HW$57</f>
        <v>0</v>
      </c>
      <c r="G38" s="13">
        <f>'[3]Air France'!$HW$57</f>
        <v>0</v>
      </c>
      <c r="H38" s="13">
        <f>'[3]Jet Blue'!$HW$57</f>
        <v>0</v>
      </c>
      <c r="I38" s="13">
        <f>[3]KLM!$HW$57</f>
        <v>0</v>
      </c>
      <c r="J38" s="13">
        <f>'Other Major Airline Stats'!K38</f>
        <v>0</v>
      </c>
      <c r="K38" s="18">
        <f t="shared" si="18"/>
        <v>0</v>
      </c>
    </row>
    <row r="39" spans="1:11" hidden="1" x14ac:dyDescent="0.2">
      <c r="A39" s="46" t="s">
        <v>38</v>
      </c>
      <c r="B39" s="7">
        <f>[3]American!$HW$58</f>
        <v>0</v>
      </c>
      <c r="C39" s="7">
        <f>[3]Delta!$HW$58</f>
        <v>0</v>
      </c>
      <c r="D39" s="7">
        <f>[3]United!$HW$58</f>
        <v>0</v>
      </c>
      <c r="E39" s="7">
        <f>[3]Spirit!$HW$58</f>
        <v>0</v>
      </c>
      <c r="F39" s="7">
        <f>[3]Condor!$HW$58</f>
        <v>0</v>
      </c>
      <c r="G39" s="7">
        <f>'[3]Air France'!$HW$58</f>
        <v>0</v>
      </c>
      <c r="H39" s="7">
        <f>'[3]Jet Blue'!$HW$58</f>
        <v>0</v>
      </c>
      <c r="I39" s="7">
        <f>[3]KLM!$HW$58</f>
        <v>0</v>
      </c>
      <c r="J39" s="7">
        <f>'Other Major Airline Stats'!K39</f>
        <v>0</v>
      </c>
      <c r="K39" s="24">
        <f t="shared" si="18"/>
        <v>0</v>
      </c>
    </row>
    <row r="40" spans="1:11" hidden="1" x14ac:dyDescent="0.2">
      <c r="A40" s="50" t="s">
        <v>43</v>
      </c>
      <c r="B40" s="226">
        <f t="shared" ref="B40:J40" si="22">SUM(B38:B39)</f>
        <v>0</v>
      </c>
      <c r="C40" s="226">
        <f t="shared" si="22"/>
        <v>0</v>
      </c>
      <c r="D40" s="226">
        <f t="shared" si="22"/>
        <v>0</v>
      </c>
      <c r="E40" s="226">
        <f t="shared" si="22"/>
        <v>0</v>
      </c>
      <c r="F40" s="226">
        <f t="shared" ref="F40:I40" si="23">SUM(F38:F39)</f>
        <v>0</v>
      </c>
      <c r="G40" s="226">
        <f t="shared" si="23"/>
        <v>0</v>
      </c>
      <c r="H40" s="226">
        <f t="shared" ref="H40" si="24">SUM(H38:H39)</f>
        <v>0</v>
      </c>
      <c r="I40" s="226">
        <f t="shared" si="23"/>
        <v>0</v>
      </c>
      <c r="J40" s="226">
        <f t="shared" si="22"/>
        <v>0</v>
      </c>
      <c r="K40" s="18">
        <f t="shared" si="18"/>
        <v>0</v>
      </c>
    </row>
    <row r="41" spans="1:11" x14ac:dyDescent="0.2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6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6" t="s">
        <v>45</v>
      </c>
      <c r="B43" s="13">
        <f t="shared" ref="B43:J44" si="25">B28+B33+B38</f>
        <v>35795</v>
      </c>
      <c r="C43" s="13">
        <f t="shared" si="25"/>
        <v>4141090</v>
      </c>
      <c r="D43" s="13">
        <f t="shared" si="25"/>
        <v>87153</v>
      </c>
      <c r="E43" s="13">
        <f>E28+E33+E38</f>
        <v>0</v>
      </c>
      <c r="F43" s="13">
        <f t="shared" ref="F43:I43" si="26">F28+F33+F38</f>
        <v>229195</v>
      </c>
      <c r="G43" s="13">
        <f t="shared" si="26"/>
        <v>472370</v>
      </c>
      <c r="H43" s="13">
        <f t="shared" ref="H43" si="27">H28+H33+H38</f>
        <v>0</v>
      </c>
      <c r="I43" s="13">
        <f t="shared" si="26"/>
        <v>354277</v>
      </c>
      <c r="J43" s="13">
        <f t="shared" si="25"/>
        <v>2006496</v>
      </c>
      <c r="K43" s="18">
        <f>SUM(B43:J43)</f>
        <v>7326376</v>
      </c>
    </row>
    <row r="44" spans="1:11" x14ac:dyDescent="0.2">
      <c r="A44" s="46" t="s">
        <v>38</v>
      </c>
      <c r="B44" s="7">
        <f t="shared" si="25"/>
        <v>35002</v>
      </c>
      <c r="C44" s="7">
        <f t="shared" si="25"/>
        <v>3713526</v>
      </c>
      <c r="D44" s="7">
        <f t="shared" si="25"/>
        <v>32638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227</v>
      </c>
      <c r="K44" s="18">
        <f>SUM(B44:J44)</f>
        <v>3781393</v>
      </c>
    </row>
    <row r="45" spans="1:11" ht="15.75" thickBot="1" x14ac:dyDescent="0.3">
      <c r="A45" s="47" t="s">
        <v>46</v>
      </c>
      <c r="B45" s="227">
        <f t="shared" ref="B45:J45" si="30">SUM(B43:B44)</f>
        <v>70797</v>
      </c>
      <c r="C45" s="227">
        <f t="shared" si="30"/>
        <v>7854616</v>
      </c>
      <c r="D45" s="227">
        <f t="shared" si="30"/>
        <v>119791</v>
      </c>
      <c r="E45" s="227">
        <f t="shared" si="30"/>
        <v>0</v>
      </c>
      <c r="F45" s="227">
        <f t="shared" ref="F45:I45" si="31">SUM(F43:F44)</f>
        <v>229195</v>
      </c>
      <c r="G45" s="227">
        <f t="shared" si="31"/>
        <v>472370</v>
      </c>
      <c r="H45" s="227">
        <f t="shared" ref="H45" si="32">SUM(H43:H44)</f>
        <v>0</v>
      </c>
      <c r="I45" s="227">
        <f t="shared" si="31"/>
        <v>354277</v>
      </c>
      <c r="J45" s="227">
        <f t="shared" si="30"/>
        <v>2006723</v>
      </c>
      <c r="K45" s="228">
        <f>SUM(B45:J45)</f>
        <v>11107769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01" t="s">
        <v>121</v>
      </c>
      <c r="C47" s="253">
        <f>[3]Delta!$HW$70+[3]Delta!$HW$73</f>
        <v>456314</v>
      </c>
      <c r="D47" s="241"/>
      <c r="E47" s="241"/>
      <c r="F47" s="241"/>
      <c r="G47" s="241"/>
      <c r="H47" s="241"/>
      <c r="I47" s="241"/>
      <c r="J47" s="241"/>
      <c r="K47" s="242">
        <f>SUM(B47:J47)</f>
        <v>456314</v>
      </c>
    </row>
    <row r="48" spans="1:11" hidden="1" x14ac:dyDescent="0.2">
      <c r="A48" s="302" t="s">
        <v>122</v>
      </c>
      <c r="C48" s="253">
        <f>[3]Delta!$HW$71+[3]Delta!$HW$74</f>
        <v>324003</v>
      </c>
      <c r="D48" s="241"/>
      <c r="E48" s="241"/>
      <c r="F48" s="241"/>
      <c r="G48" s="241"/>
      <c r="H48" s="241"/>
      <c r="I48" s="241"/>
      <c r="J48" s="241"/>
      <c r="K48" s="242">
        <f>SUM(B48:J48)</f>
        <v>324003</v>
      </c>
    </row>
    <row r="49" spans="1:11" hidden="1" x14ac:dyDescent="0.2">
      <c r="A49" s="303" t="s">
        <v>123</v>
      </c>
      <c r="C49" s="254">
        <f>SUM(C47:C48)</f>
        <v>780317</v>
      </c>
      <c r="K49" s="242">
        <f>SUM(B49:J49)</f>
        <v>780317</v>
      </c>
    </row>
    <row r="50" spans="1:11" x14ac:dyDescent="0.2">
      <c r="A50" s="301" t="s">
        <v>121</v>
      </c>
      <c r="B50" s="312"/>
      <c r="C50" s="256">
        <f>[3]Delta!$HW$70+[3]Delta!$HW$73</f>
        <v>456314</v>
      </c>
      <c r="D50" s="312"/>
      <c r="E50" s="256">
        <f>[3]Spirit!$HW$70+[3]Spirit!$HW$73</f>
        <v>0</v>
      </c>
      <c r="F50" s="312"/>
      <c r="G50" s="312"/>
      <c r="H50" s="312"/>
      <c r="I50" s="312"/>
      <c r="J50" s="255">
        <f>'Other Major Airline Stats'!K48</f>
        <v>210504</v>
      </c>
      <c r="K50" s="245">
        <f>SUM(B50:J50)</f>
        <v>666818</v>
      </c>
    </row>
    <row r="51" spans="1:11" x14ac:dyDescent="0.2">
      <c r="A51" s="314" t="s">
        <v>122</v>
      </c>
      <c r="B51" s="312"/>
      <c r="C51" s="256">
        <f>[3]Delta!$HW$71+[3]Delta!$HW$74</f>
        <v>324003</v>
      </c>
      <c r="D51" s="312"/>
      <c r="E51" s="256">
        <f>[3]Spirit!$HW$71+[3]Spirit!$HW$74</f>
        <v>0</v>
      </c>
      <c r="F51" s="312"/>
      <c r="G51" s="312"/>
      <c r="H51" s="312"/>
      <c r="I51" s="312"/>
      <c r="J51" s="255">
        <f>+'Other Major Airline Stats'!K49</f>
        <v>1191</v>
      </c>
      <c r="K51" s="245">
        <f>SUM(B51:J51)</f>
        <v>325194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June 2022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K18" sqref="K18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442">
        <v>44713</v>
      </c>
      <c r="B2" s="352" t="s">
        <v>47</v>
      </c>
      <c r="C2" s="351" t="s">
        <v>237</v>
      </c>
      <c r="D2" s="351" t="s">
        <v>203</v>
      </c>
      <c r="E2" s="351" t="s">
        <v>229</v>
      </c>
      <c r="F2" s="351" t="s">
        <v>179</v>
      </c>
      <c r="G2" s="352" t="s">
        <v>48</v>
      </c>
      <c r="H2" s="351" t="s">
        <v>129</v>
      </c>
      <c r="I2" s="351" t="s">
        <v>49</v>
      </c>
      <c r="J2" s="351" t="s">
        <v>128</v>
      </c>
      <c r="K2" s="145" t="s">
        <v>61</v>
      </c>
    </row>
    <row r="3" spans="1:14" ht="15.75" thickTop="1" x14ac:dyDescent="0.25">
      <c r="A3" s="48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24"/>
    </row>
    <row r="4" spans="1:14" x14ac:dyDescent="0.2">
      <c r="A4" s="46" t="s">
        <v>29</v>
      </c>
      <c r="B4" s="96"/>
      <c r="C4" s="96"/>
      <c r="D4" s="96"/>
      <c r="E4" s="96"/>
      <c r="F4" s="96"/>
      <c r="G4" s="96"/>
      <c r="H4" s="96"/>
      <c r="I4" s="96"/>
      <c r="J4" s="96"/>
      <c r="K4" s="125"/>
    </row>
    <row r="5" spans="1:14" x14ac:dyDescent="0.2">
      <c r="A5" s="46" t="s">
        <v>30</v>
      </c>
      <c r="B5" s="96">
        <f>[3]Frontier!$HW$22+[3]Frontier!$HW$32</f>
        <v>5362</v>
      </c>
      <c r="C5" s="96">
        <f>'[3]Allegiant '!$HW$22</f>
        <v>5774</v>
      </c>
      <c r="D5" s="96">
        <f>'[3]Aer Lingus'!$HW$22+'[3]Aer Lingus'!$HW$32</f>
        <v>0</v>
      </c>
      <c r="E5" s="96">
        <f>'[3]Denver Air'!$HW$22+'[3]Denver Air'!$HW$32</f>
        <v>998</v>
      </c>
      <c r="F5" s="96">
        <f>'[3]Boutique Air'!$HW$22</f>
        <v>0</v>
      </c>
      <c r="G5" s="96">
        <f>[3]Icelandair!$HW$32</f>
        <v>4186</v>
      </c>
      <c r="H5" s="96">
        <f>[3]Southwest!$HW$22</f>
        <v>72396</v>
      </c>
      <c r="I5" s="96">
        <f>'[3]Sun Country'!$HW$22+'[3]Sun Country'!$HW$32</f>
        <v>143805</v>
      </c>
      <c r="J5" s="96">
        <f>[3]Alaska!$HW$22</f>
        <v>12941</v>
      </c>
      <c r="K5" s="119">
        <f>SUM(B5:J5)</f>
        <v>245462</v>
      </c>
      <c r="N5" s="96"/>
    </row>
    <row r="6" spans="1:14" x14ac:dyDescent="0.2">
      <c r="A6" s="46" t="s">
        <v>31</v>
      </c>
      <c r="B6" s="96">
        <f>[3]Frontier!$HW$23+[3]Frontier!$HW$33</f>
        <v>4750</v>
      </c>
      <c r="C6" s="96">
        <f>'[3]Allegiant '!$HW$23</f>
        <v>5511</v>
      </c>
      <c r="D6" s="96">
        <f>'[3]Aer Lingus'!$HW$23+'[3]Aer Lingus'!$HW$33</f>
        <v>0</v>
      </c>
      <c r="E6" s="96">
        <f>'[3]Denver Air'!$HW$23+'[3]Denver Air'!$HW$33</f>
        <v>925</v>
      </c>
      <c r="F6" s="96">
        <f>'[3]Boutique Air'!$HW$23</f>
        <v>0</v>
      </c>
      <c r="G6" s="96">
        <f>[3]Icelandair!$HW$33</f>
        <v>4473</v>
      </c>
      <c r="H6" s="96">
        <f>[3]Southwest!$HW$23</f>
        <v>70513</v>
      </c>
      <c r="I6" s="96">
        <f>'[3]Sun Country'!$HW$23+'[3]Sun Country'!$HW$33</f>
        <v>141182</v>
      </c>
      <c r="J6" s="96">
        <f>[3]Alaska!$HW$23</f>
        <v>12658</v>
      </c>
      <c r="K6" s="119">
        <f>SUM(B6:J6)</f>
        <v>240012</v>
      </c>
    </row>
    <row r="7" spans="1:14" ht="15" x14ac:dyDescent="0.25">
      <c r="A7" s="44" t="s">
        <v>7</v>
      </c>
      <c r="B7" s="127">
        <f>SUM(B5:B6)</f>
        <v>10112</v>
      </c>
      <c r="C7" s="127">
        <f t="shared" ref="C7:F7" si="0">SUM(C5:C6)</f>
        <v>11285</v>
      </c>
      <c r="D7" s="127">
        <f>SUM(D5:D6)</f>
        <v>0</v>
      </c>
      <c r="E7" s="127">
        <f>SUM(E5:E6)</f>
        <v>1923</v>
      </c>
      <c r="F7" s="127">
        <f t="shared" si="0"/>
        <v>0</v>
      </c>
      <c r="G7" s="127">
        <f t="shared" ref="G7:J7" si="1">SUM(G5:G6)</f>
        <v>8659</v>
      </c>
      <c r="H7" s="127">
        <f t="shared" si="1"/>
        <v>142909</v>
      </c>
      <c r="I7" s="127">
        <f>SUM(I5:I6)</f>
        <v>284987</v>
      </c>
      <c r="J7" s="127">
        <f t="shared" si="1"/>
        <v>25599</v>
      </c>
      <c r="K7" s="128">
        <f>SUM(B7:J7)</f>
        <v>485474</v>
      </c>
    </row>
    <row r="8" spans="1:14" x14ac:dyDescent="0.2">
      <c r="A8" s="46"/>
      <c r="B8" s="126"/>
      <c r="C8" s="126"/>
      <c r="D8" s="395"/>
      <c r="E8" s="126"/>
      <c r="F8" s="126"/>
      <c r="G8" s="126"/>
      <c r="H8" s="126"/>
      <c r="I8" s="126"/>
      <c r="J8" s="126"/>
      <c r="K8" s="119"/>
    </row>
    <row r="9" spans="1:14" x14ac:dyDescent="0.2">
      <c r="A9" s="46" t="s">
        <v>32</v>
      </c>
      <c r="B9" s="126"/>
      <c r="C9" s="126"/>
      <c r="D9" s="395"/>
      <c r="E9" s="126"/>
      <c r="F9" s="126"/>
      <c r="G9" s="126"/>
      <c r="H9" s="126"/>
      <c r="I9" s="126"/>
      <c r="J9" s="126"/>
      <c r="K9" s="119"/>
    </row>
    <row r="10" spans="1:14" x14ac:dyDescent="0.2">
      <c r="A10" s="46" t="s">
        <v>30</v>
      </c>
      <c r="B10" s="126">
        <f>[3]Frontier!$HW$27+[3]Frontier!$HW$37</f>
        <v>40</v>
      </c>
      <c r="C10" s="126">
        <f>'[3]Allegiant '!$HW$27</f>
        <v>0</v>
      </c>
      <c r="D10" s="395">
        <f>'[3]Aer Lingus'!$HW$27+'[3]Aer Lingus'!$HW$37</f>
        <v>0</v>
      </c>
      <c r="E10" s="126">
        <f>'[3]Denver Air'!$HW$27+'[3]Denver Air'!$HW$37</f>
        <v>88</v>
      </c>
      <c r="F10" s="126">
        <f>'[3]Boutique Air'!$HW$27</f>
        <v>0</v>
      </c>
      <c r="G10" s="126">
        <f>[3]Icelandair!$HW$37</f>
        <v>9</v>
      </c>
      <c r="H10" s="126">
        <f>[3]Southwest!$HW$27</f>
        <v>1205</v>
      </c>
      <c r="I10" s="126">
        <f>'[3]Sun Country'!$HW$27+'[3]Sun Country'!$HW$37</f>
        <v>2426</v>
      </c>
      <c r="J10" s="126">
        <f>[3]Alaska!$HW$27</f>
        <v>282</v>
      </c>
      <c r="K10" s="119">
        <f>SUM(B10:J10)</f>
        <v>4050</v>
      </c>
    </row>
    <row r="11" spans="1:14" x14ac:dyDescent="0.2">
      <c r="A11" s="46" t="s">
        <v>33</v>
      </c>
      <c r="B11" s="129">
        <f>[3]Frontier!$HW$28+[3]Frontier!$HW$38</f>
        <v>47</v>
      </c>
      <c r="C11" s="129">
        <f>'[3]Allegiant '!$HW$28</f>
        <v>0</v>
      </c>
      <c r="D11" s="129">
        <f>'[3]Aer Lingus'!$HW$28+'[3]Aer Lingus'!$HW$38</f>
        <v>0</v>
      </c>
      <c r="E11" s="129">
        <f>'[3]Denver Air'!$HW$28+'[3]Denver Air'!$HW$38</f>
        <v>98</v>
      </c>
      <c r="F11" s="129">
        <f>'[3]Boutique Air'!$HW$28</f>
        <v>0</v>
      </c>
      <c r="G11" s="129">
        <f>[3]Icelandair!$HW$38</f>
        <v>25</v>
      </c>
      <c r="H11" s="129">
        <f>[3]Southwest!$HW$28</f>
        <v>1243</v>
      </c>
      <c r="I11" s="129">
        <f>'[3]Sun Country'!$HW$28+'[3]Sun Country'!$HW$38</f>
        <v>2492</v>
      </c>
      <c r="J11" s="129">
        <f>[3]Alaska!$HW$28</f>
        <v>308</v>
      </c>
      <c r="K11" s="119">
        <f>SUM(B11:J11)</f>
        <v>4213</v>
      </c>
    </row>
    <row r="12" spans="1:14" ht="15.75" thickBot="1" x14ac:dyDescent="0.3">
      <c r="A12" s="47" t="s">
        <v>34</v>
      </c>
      <c r="B12" s="122">
        <f>SUM(B10:B11)</f>
        <v>87</v>
      </c>
      <c r="C12" s="122">
        <f t="shared" ref="C12:F12" si="2">SUM(C10:C11)</f>
        <v>0</v>
      </c>
      <c r="D12" s="122">
        <f>SUM(D10:D11)</f>
        <v>0</v>
      </c>
      <c r="E12" s="122">
        <f>SUM(E10:E11)</f>
        <v>186</v>
      </c>
      <c r="F12" s="122">
        <f t="shared" si="2"/>
        <v>0</v>
      </c>
      <c r="G12" s="122">
        <f t="shared" ref="G12:J12" si="3">SUM(G10:G11)</f>
        <v>34</v>
      </c>
      <c r="H12" s="122">
        <f t="shared" si="3"/>
        <v>2448</v>
      </c>
      <c r="I12" s="122">
        <f>SUM(I10:I11)</f>
        <v>4918</v>
      </c>
      <c r="J12" s="122">
        <f t="shared" si="3"/>
        <v>590</v>
      </c>
      <c r="K12" s="130">
        <f>SUM(B12:J12)</f>
        <v>8263</v>
      </c>
      <c r="N12" s="96"/>
    </row>
    <row r="13" spans="1:14" ht="15" x14ac:dyDescent="0.25">
      <c r="A13" s="43"/>
      <c r="B13" s="229"/>
      <c r="C13" s="229"/>
      <c r="D13" s="396"/>
      <c r="E13" s="229"/>
      <c r="F13" s="229"/>
      <c r="G13" s="229"/>
      <c r="H13" s="229"/>
      <c r="I13" s="229"/>
      <c r="J13" s="229"/>
      <c r="K13" s="230"/>
    </row>
    <row r="14" spans="1:14" ht="13.5" thickBot="1" x14ac:dyDescent="0.25"/>
    <row r="15" spans="1:14" ht="15.75" thickTop="1" x14ac:dyDescent="0.25">
      <c r="A15" s="45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4" x14ac:dyDescent="0.2">
      <c r="A16" s="46" t="s">
        <v>22</v>
      </c>
      <c r="B16" s="96">
        <f>[3]Frontier!$HW$4+[3]Frontier!$HW$15</f>
        <v>30</v>
      </c>
      <c r="C16" s="86">
        <f>'[3]Allegiant '!$HW$4</f>
        <v>35</v>
      </c>
      <c r="D16" s="96">
        <f>'[3]Aer Lingus'!$HW$4+'[3]Aer Lingus'!$HW$15</f>
        <v>0</v>
      </c>
      <c r="E16" s="96">
        <f>'[3]Denver Air'!$HW$4+'[3]Denver Air'!$HW$15</f>
        <v>78</v>
      </c>
      <c r="F16" s="86">
        <f>'[3]Boutique Air'!$HW$4</f>
        <v>0</v>
      </c>
      <c r="G16" s="96">
        <f>[3]Icelandair!$HW$15</f>
        <v>27</v>
      </c>
      <c r="H16" s="86">
        <f>[3]Southwest!$HW$4</f>
        <v>548</v>
      </c>
      <c r="I16" s="96">
        <f>'[3]Sun Country'!$HW$4+'[3]Sun Country'!$HW$15</f>
        <v>890</v>
      </c>
      <c r="J16" s="96">
        <f>[3]Alaska!$HW$4</f>
        <v>81</v>
      </c>
      <c r="K16" s="119">
        <f>SUM(B16:J16)</f>
        <v>1689</v>
      </c>
    </row>
    <row r="17" spans="1:258" x14ac:dyDescent="0.2">
      <c r="A17" s="46" t="s">
        <v>23</v>
      </c>
      <c r="B17" s="96">
        <f>[3]Frontier!$HW$5+[3]Frontier!$HW$16</f>
        <v>30</v>
      </c>
      <c r="C17" s="86">
        <f>'[3]Allegiant '!$HW$5</f>
        <v>35</v>
      </c>
      <c r="D17" s="96">
        <f>'[3]Aer Lingus'!$HW$5+'[3]Aer Lingus'!$HW$16</f>
        <v>0</v>
      </c>
      <c r="E17" s="96">
        <f>'[3]Denver Air'!$HW$5+'[3]Denver Air'!$HW$16</f>
        <v>78</v>
      </c>
      <c r="F17" s="86">
        <f>'[3]Boutique Air'!$HW$5</f>
        <v>0</v>
      </c>
      <c r="G17" s="96">
        <f>[3]Icelandair!$HW$16</f>
        <v>27</v>
      </c>
      <c r="H17" s="86">
        <f>[3]Southwest!$HW$5</f>
        <v>545</v>
      </c>
      <c r="I17" s="96">
        <f>'[3]Sun Country'!$HW$5+'[3]Sun Country'!$HW$16</f>
        <v>889</v>
      </c>
      <c r="J17" s="96">
        <f>[3]Alaska!$HW$5</f>
        <v>80</v>
      </c>
      <c r="K17" s="119">
        <f>SUM(B17:J17)</f>
        <v>1684</v>
      </c>
    </row>
    <row r="18" spans="1:258" x14ac:dyDescent="0.2">
      <c r="A18" s="50" t="s">
        <v>24</v>
      </c>
      <c r="B18" s="120">
        <f t="shared" ref="B18" si="4">SUM(B16:B17)</f>
        <v>60</v>
      </c>
      <c r="C18" s="120">
        <f t="shared" ref="C18:F18" si="5">SUM(C16:C17)</f>
        <v>70</v>
      </c>
      <c r="D18" s="120">
        <f t="shared" si="5"/>
        <v>0</v>
      </c>
      <c r="E18" s="120">
        <f t="shared" si="5"/>
        <v>156</v>
      </c>
      <c r="F18" s="120">
        <f t="shared" si="5"/>
        <v>0</v>
      </c>
      <c r="G18" s="120">
        <f t="shared" ref="G18:J18" si="6">SUM(G16:G17)</f>
        <v>54</v>
      </c>
      <c r="H18" s="120">
        <f t="shared" si="6"/>
        <v>1093</v>
      </c>
      <c r="I18" s="120">
        <f t="shared" si="6"/>
        <v>1779</v>
      </c>
      <c r="J18" s="120">
        <f t="shared" si="6"/>
        <v>161</v>
      </c>
      <c r="K18" s="121">
        <f>SUM(B18:J18)</f>
        <v>3373</v>
      </c>
    </row>
    <row r="19" spans="1:258" x14ac:dyDescent="0.2">
      <c r="A19" s="50"/>
      <c r="B19" s="94"/>
      <c r="C19" s="94"/>
      <c r="D19" s="94"/>
      <c r="E19" s="94"/>
      <c r="F19" s="94"/>
      <c r="G19" s="94"/>
      <c r="H19" s="94"/>
      <c r="I19" s="94"/>
      <c r="J19" s="94"/>
      <c r="K19" s="119"/>
    </row>
    <row r="20" spans="1:258" x14ac:dyDescent="0.2">
      <c r="A20" s="46" t="s">
        <v>25</v>
      </c>
      <c r="B20" s="96">
        <f>[3]Frontier!$HW$8</f>
        <v>0</v>
      </c>
      <c r="C20" s="96">
        <f>'[3]Allegiant '!$HW$8</f>
        <v>0</v>
      </c>
      <c r="D20" s="96">
        <f>'[3]Aer Lingus'!$HW$8</f>
        <v>0</v>
      </c>
      <c r="E20" s="96">
        <f>'[3]Denver Air'!$HW$8</f>
        <v>0</v>
      </c>
      <c r="F20" s="96">
        <f>'[3]Boutique Air'!$HW$8</f>
        <v>0</v>
      </c>
      <c r="G20" s="96">
        <f>[3]Icelandair!$HW$8</f>
        <v>0</v>
      </c>
      <c r="H20" s="96">
        <f>[3]Southwest!$HW$8</f>
        <v>0</v>
      </c>
      <c r="I20" s="96">
        <f>'[3]Sun Country'!$HW$8</f>
        <v>38</v>
      </c>
      <c r="J20" s="96">
        <f>[3]Alaska!$HW$8</f>
        <v>1</v>
      </c>
      <c r="K20" s="119">
        <f>SUM(B20:J20)</f>
        <v>39</v>
      </c>
    </row>
    <row r="21" spans="1:258" x14ac:dyDescent="0.2">
      <c r="A21" s="46" t="s">
        <v>26</v>
      </c>
      <c r="B21" s="96">
        <f>[3]Frontier!$HW$9</f>
        <v>0</v>
      </c>
      <c r="C21" s="96">
        <f>'[3]Allegiant '!$HW$9</f>
        <v>0</v>
      </c>
      <c r="D21" s="96">
        <f>'[3]Aer Lingus'!$HW$9</f>
        <v>0</v>
      </c>
      <c r="E21" s="96">
        <f>'[3]Denver Air'!$HW$9</f>
        <v>0</v>
      </c>
      <c r="F21" s="96">
        <f>'[3]Boutique Air'!$HW$9</f>
        <v>0</v>
      </c>
      <c r="G21" s="96">
        <f>[3]Icelandair!$HW$9</f>
        <v>0</v>
      </c>
      <c r="H21" s="96">
        <f>[3]Southwest!$HW$9</f>
        <v>0</v>
      </c>
      <c r="I21" s="96">
        <f>'[3]Sun Country'!$HW$9</f>
        <v>36</v>
      </c>
      <c r="J21" s="96">
        <f>[3]Alaska!$HW$9</f>
        <v>1</v>
      </c>
      <c r="K21" s="119">
        <f>SUM(B21:J21)</f>
        <v>37</v>
      </c>
    </row>
    <row r="22" spans="1:258" x14ac:dyDescent="0.2">
      <c r="A22" s="50" t="s">
        <v>27</v>
      </c>
      <c r="B22" s="120">
        <f t="shared" ref="B22" si="7">SUM(B20:B21)</f>
        <v>0</v>
      </c>
      <c r="C22" s="120">
        <f t="shared" ref="C22:F22" si="8">SUM(C20:C21)</f>
        <v>0</v>
      </c>
      <c r="D22" s="120">
        <f t="shared" si="8"/>
        <v>0</v>
      </c>
      <c r="E22" s="120">
        <f t="shared" si="8"/>
        <v>0</v>
      </c>
      <c r="F22" s="120">
        <f t="shared" si="8"/>
        <v>0</v>
      </c>
      <c r="G22" s="120">
        <f t="shared" ref="G22:J22" si="9">SUM(G20:G21)</f>
        <v>0</v>
      </c>
      <c r="H22" s="120">
        <f t="shared" si="9"/>
        <v>0</v>
      </c>
      <c r="I22" s="120">
        <f t="shared" si="9"/>
        <v>74</v>
      </c>
      <c r="J22" s="120">
        <f t="shared" si="9"/>
        <v>2</v>
      </c>
      <c r="K22" s="121">
        <f>SUM(B22:J22)</f>
        <v>76</v>
      </c>
    </row>
    <row r="23" spans="1:258" ht="15.75" thickBot="1" x14ac:dyDescent="0.3">
      <c r="A23" s="47" t="s">
        <v>28</v>
      </c>
      <c r="B23" s="122">
        <f t="shared" ref="B23" si="10">B22+B18</f>
        <v>60</v>
      </c>
      <c r="C23" s="122">
        <f t="shared" ref="C23:F23" si="11">C22+C18</f>
        <v>70</v>
      </c>
      <c r="D23" s="122">
        <f t="shared" si="11"/>
        <v>0</v>
      </c>
      <c r="E23" s="122">
        <f t="shared" si="11"/>
        <v>156</v>
      </c>
      <c r="F23" s="122">
        <f t="shared" si="11"/>
        <v>0</v>
      </c>
      <c r="G23" s="122">
        <f t="shared" ref="G23:J23" si="12">G22+G18</f>
        <v>54</v>
      </c>
      <c r="H23" s="122">
        <f t="shared" si="12"/>
        <v>1093</v>
      </c>
      <c r="I23" s="122">
        <f t="shared" si="12"/>
        <v>1853</v>
      </c>
      <c r="J23" s="122">
        <f t="shared" si="12"/>
        <v>163</v>
      </c>
      <c r="K23" s="123">
        <f>SUM(B23:J23)</f>
        <v>3449</v>
      </c>
    </row>
    <row r="24" spans="1:258" x14ac:dyDescent="0.2">
      <c r="A24" s="13"/>
      <c r="B24" s="13"/>
      <c r="C24" s="13"/>
      <c r="D24" s="39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</row>
    <row r="25" spans="1:258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  <c r="K25" s="96"/>
    </row>
    <row r="26" spans="1:258" ht="15.75" thickTop="1" x14ac:dyDescent="0.25">
      <c r="A26" s="49" t="s">
        <v>35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2"/>
    </row>
    <row r="27" spans="1:258" x14ac:dyDescent="0.2">
      <c r="A27" s="46" t="s">
        <v>36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25"/>
    </row>
    <row r="28" spans="1:258" x14ac:dyDescent="0.2">
      <c r="A28" s="46" t="s">
        <v>37</v>
      </c>
      <c r="B28" s="96">
        <f>[3]Frontier!$HW$47</f>
        <v>0</v>
      </c>
      <c r="C28" s="96">
        <f>'[3]Allegiant '!$HW$47</f>
        <v>0</v>
      </c>
      <c r="D28" s="96">
        <f>'[3]Aer Lingus'!$HW$47</f>
        <v>0</v>
      </c>
      <c r="E28" s="96">
        <f>'[3]Denver Air'!$HW$47</f>
        <v>0</v>
      </c>
      <c r="F28" s="96">
        <f>'[3]Boutique Air'!$HW$47</f>
        <v>0</v>
      </c>
      <c r="G28" s="96">
        <f>[3]Icelandair!$HW$47</f>
        <v>41746</v>
      </c>
      <c r="H28" s="96">
        <f>[3]Southwest!$HW$47</f>
        <v>184873</v>
      </c>
      <c r="I28" s="96">
        <f>'[3]Sun Country'!$HW$47</f>
        <v>834750</v>
      </c>
      <c r="J28" s="96">
        <f>[3]Alaska!$HW$47</f>
        <v>16779</v>
      </c>
      <c r="K28" s="119">
        <f>SUM(B28:J28)</f>
        <v>1078148</v>
      </c>
    </row>
    <row r="29" spans="1:258" x14ac:dyDescent="0.2">
      <c r="A29" s="46" t="s">
        <v>38</v>
      </c>
      <c r="B29" s="96">
        <f>[3]Frontier!$HW$48</f>
        <v>0</v>
      </c>
      <c r="C29" s="96">
        <f>'[3]Allegiant '!$HW$48</f>
        <v>0</v>
      </c>
      <c r="D29" s="96">
        <f>'[3]Aer Lingus'!$HW$48</f>
        <v>0</v>
      </c>
      <c r="E29" s="96">
        <f>'[3]Denver Air'!$HW$48</f>
        <v>0</v>
      </c>
      <c r="F29" s="96">
        <f>'[3]Boutique Air'!$HW$48</f>
        <v>0</v>
      </c>
      <c r="G29" s="96">
        <f>[3]Icelandair!$HW$48</f>
        <v>0</v>
      </c>
      <c r="H29" s="96">
        <f>[3]Southwest!$HW$48</f>
        <v>0</v>
      </c>
      <c r="I29" s="96">
        <f>'[3]Sun Country'!$HW$48</f>
        <v>0</v>
      </c>
      <c r="J29" s="96">
        <f>[3]Alaska!$HW$48</f>
        <v>0</v>
      </c>
      <c r="K29" s="119">
        <f>SUM(B29:J29)</f>
        <v>0</v>
      </c>
    </row>
    <row r="30" spans="1:258" x14ac:dyDescent="0.2">
      <c r="A30" s="50" t="s">
        <v>39</v>
      </c>
      <c r="B30" s="134">
        <f t="shared" ref="B30" si="13">SUM(B28:B29)</f>
        <v>0</v>
      </c>
      <c r="C30" s="134">
        <f t="shared" ref="C30:F30" si="14">SUM(C28:C29)</f>
        <v>0</v>
      </c>
      <c r="D30" s="134">
        <f t="shared" si="14"/>
        <v>0</v>
      </c>
      <c r="E30" s="134">
        <f t="shared" si="14"/>
        <v>0</v>
      </c>
      <c r="F30" s="134">
        <f t="shared" si="14"/>
        <v>0</v>
      </c>
      <c r="G30" s="134">
        <f t="shared" ref="G30:J30" si="15">SUM(G28:G29)</f>
        <v>41746</v>
      </c>
      <c r="H30" s="134">
        <f t="shared" si="15"/>
        <v>184873</v>
      </c>
      <c r="I30" s="134">
        <f t="shared" si="15"/>
        <v>834750</v>
      </c>
      <c r="J30" s="134">
        <f t="shared" si="15"/>
        <v>16779</v>
      </c>
      <c r="K30" s="136">
        <f>SUM(B30:J30)</f>
        <v>1078148</v>
      </c>
    </row>
    <row r="31" spans="1:258" x14ac:dyDescent="0.2">
      <c r="A31" s="46"/>
      <c r="B31" s="126"/>
      <c r="C31" s="126"/>
      <c r="D31" s="395"/>
      <c r="E31" s="126"/>
      <c r="F31" s="126"/>
      <c r="G31" s="126"/>
      <c r="H31" s="126"/>
      <c r="I31" s="126"/>
      <c r="J31" s="126"/>
      <c r="K31" s="119"/>
    </row>
    <row r="32" spans="1:258" x14ac:dyDescent="0.2">
      <c r="A32" s="46" t="s">
        <v>40</v>
      </c>
      <c r="B32" s="96"/>
      <c r="C32" s="96"/>
      <c r="D32" s="96"/>
      <c r="E32" s="96"/>
      <c r="F32" s="96"/>
      <c r="G32" s="96"/>
      <c r="H32" s="96"/>
      <c r="I32" s="96"/>
      <c r="J32" s="96"/>
      <c r="K32" s="119"/>
    </row>
    <row r="33" spans="1:11" x14ac:dyDescent="0.2">
      <c r="A33" s="46" t="s">
        <v>37</v>
      </c>
      <c r="B33" s="96">
        <f>[3]Frontier!$HW$52</f>
        <v>0</v>
      </c>
      <c r="C33" s="96">
        <f>'[3]Allegiant '!$HW$52</f>
        <v>0</v>
      </c>
      <c r="D33" s="96">
        <f>'[3]Aer Lingus'!$HW$52</f>
        <v>0</v>
      </c>
      <c r="E33" s="96">
        <f>'[3]Denver Air'!$HW$52</f>
        <v>0</v>
      </c>
      <c r="F33" s="96">
        <f>'[3]Boutique Air'!$HW$52</f>
        <v>0</v>
      </c>
      <c r="G33" s="96">
        <f>[3]Icelandair!$HW$52</f>
        <v>1774</v>
      </c>
      <c r="H33" s="96">
        <f>[3]Southwest!$HW$52</f>
        <v>53287</v>
      </c>
      <c r="I33" s="96">
        <f>'[3]Sun Country'!$HW$52</f>
        <v>861187</v>
      </c>
      <c r="J33" s="96">
        <f>[3]Alaska!$HW$52</f>
        <v>12100</v>
      </c>
      <c r="K33" s="119">
        <f>SUM(B33:J33)</f>
        <v>928348</v>
      </c>
    </row>
    <row r="34" spans="1:11" x14ac:dyDescent="0.2">
      <c r="A34" s="46" t="s">
        <v>38</v>
      </c>
      <c r="B34" s="96">
        <f>[3]Frontier!$HW$53</f>
        <v>0</v>
      </c>
      <c r="C34" s="96">
        <f>'[3]Allegiant '!$HW$53</f>
        <v>0</v>
      </c>
      <c r="D34" s="96">
        <f>'[3]Aer Lingus'!$HW$53</f>
        <v>0</v>
      </c>
      <c r="E34" s="96">
        <f>'[3]Denver Air'!$HW$53</f>
        <v>0</v>
      </c>
      <c r="F34" s="96">
        <f>'[3]Boutique Air'!$HW$53</f>
        <v>0</v>
      </c>
      <c r="G34" s="96">
        <f>[3]Icelandair!$HW$53</f>
        <v>0</v>
      </c>
      <c r="H34" s="96">
        <f>[3]Southwest!$HW$53</f>
        <v>0</v>
      </c>
      <c r="I34" s="96">
        <f>'[3]Sun Country'!$HW$53</f>
        <v>0</v>
      </c>
      <c r="J34" s="96">
        <f>[3]Alaska!$HW$53</f>
        <v>227</v>
      </c>
      <c r="K34" s="135">
        <f>SUM(B34:J34)</f>
        <v>227</v>
      </c>
    </row>
    <row r="35" spans="1:11" x14ac:dyDescent="0.2">
      <c r="A35" s="50" t="s">
        <v>41</v>
      </c>
      <c r="B35" s="120">
        <f t="shared" ref="B35" si="16">SUM(B33:B34)</f>
        <v>0</v>
      </c>
      <c r="C35" s="120">
        <f t="shared" ref="C35:F35" si="17">SUM(C33:C34)</f>
        <v>0</v>
      </c>
      <c r="D35" s="120">
        <f t="shared" si="17"/>
        <v>0</v>
      </c>
      <c r="E35" s="120">
        <f t="shared" si="17"/>
        <v>0</v>
      </c>
      <c r="F35" s="120">
        <f t="shared" si="17"/>
        <v>0</v>
      </c>
      <c r="G35" s="120">
        <f t="shared" ref="G35:J35" si="18">SUM(G33:G34)</f>
        <v>1774</v>
      </c>
      <c r="H35" s="120">
        <f t="shared" si="18"/>
        <v>53287</v>
      </c>
      <c r="I35" s="120">
        <f t="shared" si="18"/>
        <v>861187</v>
      </c>
      <c r="J35" s="120">
        <f t="shared" si="18"/>
        <v>12327</v>
      </c>
      <c r="K35" s="136">
        <f>SUM(B35:J35)</f>
        <v>928575</v>
      </c>
    </row>
    <row r="36" spans="1:11" hidden="1" x14ac:dyDescent="0.2">
      <c r="A36" s="46"/>
      <c r="B36" s="126"/>
      <c r="C36" s="126"/>
      <c r="D36" s="395"/>
      <c r="E36" s="126"/>
      <c r="F36" s="126"/>
      <c r="G36" s="126"/>
      <c r="H36" s="126"/>
      <c r="I36" s="126"/>
      <c r="J36" s="126"/>
      <c r="K36" s="119"/>
    </row>
    <row r="37" spans="1:11" hidden="1" x14ac:dyDescent="0.2">
      <c r="A37" s="46" t="s">
        <v>42</v>
      </c>
      <c r="B37" s="126"/>
      <c r="C37" s="126"/>
      <c r="D37" s="395"/>
      <c r="E37" s="126"/>
      <c r="F37" s="126"/>
      <c r="G37" s="126"/>
      <c r="H37" s="126"/>
      <c r="I37" s="126"/>
      <c r="J37" s="126"/>
      <c r="K37" s="119"/>
    </row>
    <row r="38" spans="1:11" hidden="1" x14ac:dyDescent="0.2">
      <c r="A38" s="46" t="s">
        <v>37</v>
      </c>
      <c r="B38" s="126">
        <f>[3]Frontier!$HW$57</f>
        <v>0</v>
      </c>
      <c r="C38" s="126">
        <f>'[3]Allegiant '!$HW$57</f>
        <v>0</v>
      </c>
      <c r="D38" s="395">
        <f>'[3]Aer Lingus'!$HW$57</f>
        <v>0</v>
      </c>
      <c r="E38" s="126">
        <f>'[3]Denver Air'!$HW$57</f>
        <v>0</v>
      </c>
      <c r="F38" s="126">
        <f>'[3]Boutique Air'!$HW$57</f>
        <v>0</v>
      </c>
      <c r="G38" s="126">
        <f>[3]Icelandair!$HW$57</f>
        <v>0</v>
      </c>
      <c r="H38" s="126">
        <f>[3]Southwest!$HW$57</f>
        <v>0</v>
      </c>
      <c r="I38" s="126">
        <f>'[3]Sun Country'!$HW$57</f>
        <v>0</v>
      </c>
      <c r="J38" s="126">
        <f>[3]Alaska!$HW$57</f>
        <v>0</v>
      </c>
      <c r="K38" s="119">
        <f>SUM(B38:I38)</f>
        <v>0</v>
      </c>
    </row>
    <row r="39" spans="1:11" hidden="1" x14ac:dyDescent="0.2">
      <c r="A39" s="46" t="s">
        <v>38</v>
      </c>
      <c r="B39" s="129">
        <f>[3]Frontier!$HW$58</f>
        <v>0</v>
      </c>
      <c r="C39" s="129">
        <f>'[3]Allegiant '!$HW$58</f>
        <v>0</v>
      </c>
      <c r="D39" s="129">
        <f>'[3]Aer Lingus'!$HW$58</f>
        <v>0</v>
      </c>
      <c r="E39" s="129">
        <f>'[3]Denver Air'!$HW$58</f>
        <v>0</v>
      </c>
      <c r="F39" s="129">
        <f>'[3]Boutique Air'!$HW$58</f>
        <v>0</v>
      </c>
      <c r="G39" s="129">
        <f>[3]Icelandair!$HW$58</f>
        <v>0</v>
      </c>
      <c r="H39" s="129">
        <f>[3]Southwest!$HW$58</f>
        <v>0</v>
      </c>
      <c r="I39" s="129">
        <f>'[3]Sun Country'!$HW$58</f>
        <v>0</v>
      </c>
      <c r="J39" s="129">
        <f>[3]Alaska!$HW$58</f>
        <v>0</v>
      </c>
      <c r="K39" s="135">
        <f>SUM(B39:I39)</f>
        <v>0</v>
      </c>
    </row>
    <row r="40" spans="1:11" hidden="1" x14ac:dyDescent="0.2">
      <c r="A40" s="50" t="s">
        <v>43</v>
      </c>
      <c r="B40" s="137">
        <f t="shared" ref="B40" si="19">SUM(B38:B39)</f>
        <v>0</v>
      </c>
      <c r="C40" s="137">
        <f t="shared" ref="C40:F40" si="20">SUM(C38:C39)</f>
        <v>0</v>
      </c>
      <c r="D40" s="398">
        <f t="shared" si="20"/>
        <v>0</v>
      </c>
      <c r="E40" s="137">
        <f t="shared" si="20"/>
        <v>0</v>
      </c>
      <c r="F40" s="137">
        <f t="shared" si="20"/>
        <v>0</v>
      </c>
      <c r="G40" s="137">
        <f t="shared" ref="G40:J40" si="21">SUM(G38:G39)</f>
        <v>0</v>
      </c>
      <c r="H40" s="137">
        <f t="shared" si="21"/>
        <v>0</v>
      </c>
      <c r="I40" s="137">
        <f t="shared" si="21"/>
        <v>0</v>
      </c>
      <c r="J40" s="137">
        <f t="shared" si="21"/>
        <v>0</v>
      </c>
      <c r="K40" s="119">
        <f>SUM(B40:I40)</f>
        <v>0</v>
      </c>
    </row>
    <row r="41" spans="1:11" x14ac:dyDescent="0.2">
      <c r="A41" s="46"/>
      <c r="B41" s="126"/>
      <c r="C41" s="126"/>
      <c r="D41" s="395"/>
      <c r="E41" s="126"/>
      <c r="F41" s="126"/>
      <c r="G41" s="126"/>
      <c r="H41" s="126"/>
      <c r="I41" s="126"/>
      <c r="J41" s="126"/>
      <c r="K41" s="119"/>
    </row>
    <row r="42" spans="1:11" x14ac:dyDescent="0.2">
      <c r="A42" s="46" t="s">
        <v>44</v>
      </c>
      <c r="B42" s="126"/>
      <c r="C42" s="126"/>
      <c r="D42" s="395"/>
      <c r="E42" s="126"/>
      <c r="F42" s="126"/>
      <c r="G42" s="126"/>
      <c r="H42" s="126"/>
      <c r="I42" s="126"/>
      <c r="J42" s="126"/>
      <c r="K42" s="119"/>
    </row>
    <row r="43" spans="1:11" x14ac:dyDescent="0.2">
      <c r="A43" s="46" t="s">
        <v>45</v>
      </c>
      <c r="B43" s="126">
        <f t="shared" ref="B43" si="22">B28+B33+B38</f>
        <v>0</v>
      </c>
      <c r="C43" s="126">
        <f t="shared" ref="C43:F43" si="23">C28+C33+C38</f>
        <v>0</v>
      </c>
      <c r="D43" s="395">
        <f t="shared" si="23"/>
        <v>0</v>
      </c>
      <c r="E43" s="126">
        <f t="shared" si="23"/>
        <v>0</v>
      </c>
      <c r="F43" s="126">
        <f t="shared" si="23"/>
        <v>0</v>
      </c>
      <c r="G43" s="126">
        <f t="shared" ref="G43:J43" si="24">G28+G33+G38</f>
        <v>43520</v>
      </c>
      <c r="H43" s="126">
        <f t="shared" si="24"/>
        <v>238160</v>
      </c>
      <c r="I43" s="126">
        <f t="shared" si="24"/>
        <v>1695937</v>
      </c>
      <c r="J43" s="126">
        <f t="shared" si="24"/>
        <v>28879</v>
      </c>
      <c r="K43" s="119">
        <f>SUM(B43:J43)</f>
        <v>2006496</v>
      </c>
    </row>
    <row r="44" spans="1:11" x14ac:dyDescent="0.2">
      <c r="A44" s="46" t="s">
        <v>38</v>
      </c>
      <c r="B44" s="129">
        <f t="shared" ref="B44" si="25">+B39+B34+B29</f>
        <v>0</v>
      </c>
      <c r="C44" s="129">
        <f t="shared" ref="C44:F44" si="26">+C39+C34+C29</f>
        <v>0</v>
      </c>
      <c r="D44" s="129">
        <f t="shared" si="26"/>
        <v>0</v>
      </c>
      <c r="E44" s="129">
        <f t="shared" si="26"/>
        <v>0</v>
      </c>
      <c r="F44" s="129">
        <f t="shared" si="26"/>
        <v>0</v>
      </c>
      <c r="G44" s="129">
        <f t="shared" ref="G44:J44" si="27">+G39+G34+G29</f>
        <v>0</v>
      </c>
      <c r="H44" s="129">
        <f t="shared" si="27"/>
        <v>0</v>
      </c>
      <c r="I44" s="129">
        <f t="shared" si="27"/>
        <v>0</v>
      </c>
      <c r="J44" s="129">
        <f t="shared" si="27"/>
        <v>227</v>
      </c>
      <c r="K44" s="119">
        <f>SUM(B44:J44)</f>
        <v>227</v>
      </c>
    </row>
    <row r="45" spans="1:11" ht="15.75" thickBot="1" x14ac:dyDescent="0.3">
      <c r="A45" s="47" t="s">
        <v>46</v>
      </c>
      <c r="B45" s="138">
        <f t="shared" ref="B45" si="28">B43+B44</f>
        <v>0</v>
      </c>
      <c r="C45" s="138">
        <f t="shared" ref="C45:F45" si="29">C43+C44</f>
        <v>0</v>
      </c>
      <c r="D45" s="138">
        <f t="shared" si="29"/>
        <v>0</v>
      </c>
      <c r="E45" s="138">
        <f t="shared" si="29"/>
        <v>0</v>
      </c>
      <c r="F45" s="138">
        <f t="shared" si="29"/>
        <v>0</v>
      </c>
      <c r="G45" s="138">
        <f t="shared" ref="G45:J45" si="30">G43+G44</f>
        <v>43520</v>
      </c>
      <c r="H45" s="138">
        <f t="shared" si="30"/>
        <v>238160</v>
      </c>
      <c r="I45" s="138">
        <f t="shared" si="30"/>
        <v>1695937</v>
      </c>
      <c r="J45" s="138">
        <f t="shared" si="30"/>
        <v>29106</v>
      </c>
      <c r="K45" s="139">
        <f>SUM(B45:J45)</f>
        <v>2006723</v>
      </c>
    </row>
    <row r="48" spans="1:11" x14ac:dyDescent="0.2">
      <c r="A48" s="301" t="s">
        <v>121</v>
      </c>
      <c r="B48" s="312"/>
      <c r="C48" s="312"/>
      <c r="D48" s="312"/>
      <c r="E48" s="312"/>
      <c r="F48" s="312"/>
      <c r="H48" s="256">
        <f>[3]Southwest!$HW$70+[3]Southwest!$HW$73</f>
        <v>69322</v>
      </c>
      <c r="I48" s="256">
        <f>'[3]Sun Country'!$HW$70+'[3]Sun Country'!$HW$73</f>
        <v>141182</v>
      </c>
      <c r="J48" s="312"/>
      <c r="K48" s="245">
        <f>SUM(B48:J48)</f>
        <v>210504</v>
      </c>
    </row>
    <row r="49" spans="1:11" x14ac:dyDescent="0.2">
      <c r="A49" s="314" t="s">
        <v>122</v>
      </c>
      <c r="B49" s="312"/>
      <c r="C49" s="312"/>
      <c r="D49" s="312"/>
      <c r="E49" s="312"/>
      <c r="F49" s="312"/>
      <c r="H49" s="256">
        <f>[3]Southwest!$HW$71+[3]Southwest!$HW$74</f>
        <v>1191</v>
      </c>
      <c r="I49" s="256">
        <f>'[3]Sun Country'!$HW$71+'[3]Sun Country'!$HW$74</f>
        <v>0</v>
      </c>
      <c r="J49" s="312"/>
      <c r="K49" s="245">
        <f>SUM(B49:J49)</f>
        <v>1191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June 2022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Normal="100" zoomScaleSheetLayoutView="115" workbookViewId="0">
      <selection activeCell="M17" sqref="M1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310"/>
    </row>
    <row r="2" spans="1:16" ht="51.75" thickBot="1" x14ac:dyDescent="0.25">
      <c r="A2" s="442">
        <v>44713</v>
      </c>
      <c r="B2" s="350" t="s">
        <v>157</v>
      </c>
      <c r="C2" s="350" t="s">
        <v>160</v>
      </c>
      <c r="D2" s="350" t="s">
        <v>168</v>
      </c>
      <c r="E2" s="350" t="s">
        <v>167</v>
      </c>
      <c r="F2" s="350" t="s">
        <v>169</v>
      </c>
      <c r="G2" s="350" t="s">
        <v>198</v>
      </c>
      <c r="H2" s="350" t="s">
        <v>173</v>
      </c>
      <c r="I2" s="350" t="s">
        <v>180</v>
      </c>
      <c r="J2" s="350" t="s">
        <v>196</v>
      </c>
      <c r="K2" s="350" t="s">
        <v>172</v>
      </c>
      <c r="L2" s="12" t="s">
        <v>115</v>
      </c>
      <c r="M2" s="12" t="s">
        <v>21</v>
      </c>
    </row>
    <row r="3" spans="1:16" ht="15.75" thickTop="1" x14ac:dyDescent="0.25">
      <c r="A3" s="217" t="s">
        <v>3</v>
      </c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3"/>
    </row>
    <row r="4" spans="1:16" x14ac:dyDescent="0.2">
      <c r="A4" s="46" t="s">
        <v>29</v>
      </c>
      <c r="B4" s="96"/>
      <c r="C4" s="88"/>
      <c r="D4" s="96"/>
      <c r="E4" s="96"/>
      <c r="F4" s="96"/>
      <c r="G4" s="96"/>
      <c r="H4" s="96"/>
      <c r="I4" s="96"/>
      <c r="J4" s="96"/>
      <c r="K4" s="96"/>
      <c r="L4" s="96"/>
      <c r="M4" s="89"/>
    </row>
    <row r="5" spans="1:16" x14ac:dyDescent="0.2">
      <c r="A5" s="46" t="s">
        <v>30</v>
      </c>
      <c r="B5" s="88">
        <f>[3]Pinnacle!$HW$22+[3]Pinnacle!$HW$32</f>
        <v>36399</v>
      </c>
      <c r="C5" s="88">
        <f>[3]MESA_UA!$HW$22</f>
        <v>3877</v>
      </c>
      <c r="D5" s="96">
        <f>'[3]Sky West'!$HW$22+'[3]Sky West'!$HW$32</f>
        <v>165423</v>
      </c>
      <c r="E5" s="96">
        <f>'[3]Sky West_UA'!$HW$22</f>
        <v>473</v>
      </c>
      <c r="F5" s="96">
        <f>'[3]Sky West_AS'!$HW$22</f>
        <v>0</v>
      </c>
      <c r="G5" s="96">
        <f>'[3]Sky West_AA'!$HW$22</f>
        <v>1654</v>
      </c>
      <c r="H5" s="96">
        <f>[3]Republic!$HW$22</f>
        <v>5826</v>
      </c>
      <c r="I5" s="96">
        <f>[3]Republic_UA!$HW$22</f>
        <v>1317</v>
      </c>
      <c r="J5" s="96">
        <f>'[3]Sky Regional'!$HW$32</f>
        <v>0</v>
      </c>
      <c r="K5" s="96">
        <f>'[3]American Eagle'!$HW$22</f>
        <v>3130</v>
      </c>
      <c r="L5" s="96">
        <f>'Other Regional'!L5</f>
        <v>9489</v>
      </c>
      <c r="M5" s="89">
        <f>SUM(B5:L5)</f>
        <v>227588</v>
      </c>
    </row>
    <row r="6" spans="1:16" s="6" customFormat="1" x14ac:dyDescent="0.2">
      <c r="A6" s="46" t="s">
        <v>31</v>
      </c>
      <c r="B6" s="88">
        <f>[3]Pinnacle!$HW$23+[3]Pinnacle!$HW$33</f>
        <v>35958</v>
      </c>
      <c r="C6" s="88">
        <f>[3]MESA_UA!$HW$23</f>
        <v>3736</v>
      </c>
      <c r="D6" s="96">
        <f>'[3]Sky West'!$HW$23+'[3]Sky West'!$HW$33</f>
        <v>167168</v>
      </c>
      <c r="E6" s="96">
        <f>'[3]Sky West_UA'!$HW$23</f>
        <v>490</v>
      </c>
      <c r="F6" s="96">
        <f>'[3]Sky West_AS'!$HW$23</f>
        <v>0</v>
      </c>
      <c r="G6" s="96">
        <f>'[3]Sky West_AA'!$HW$23</f>
        <v>1743</v>
      </c>
      <c r="H6" s="96">
        <f>[3]Republic!$HW$23</f>
        <v>5797</v>
      </c>
      <c r="I6" s="96">
        <f>[3]Republic_UA!$HW$23</f>
        <v>1231</v>
      </c>
      <c r="J6" s="96">
        <f>'[3]Sky Regional'!$HW$33</f>
        <v>0</v>
      </c>
      <c r="K6" s="96">
        <f>'[3]American Eagle'!$HW$23</f>
        <v>3230</v>
      </c>
      <c r="L6" s="96">
        <f>'Other Regional'!L6</f>
        <v>10127</v>
      </c>
      <c r="M6" s="93">
        <f>SUM(B6:L6)</f>
        <v>229480</v>
      </c>
    </row>
    <row r="7" spans="1:16" ht="15" thickBot="1" x14ac:dyDescent="0.25">
      <c r="A7" s="55" t="s">
        <v>7</v>
      </c>
      <c r="B7" s="106">
        <f>SUM(B5:B6)</f>
        <v>72357</v>
      </c>
      <c r="C7" s="106">
        <f t="shared" ref="C7:L7" si="0">SUM(C5:C6)</f>
        <v>7613</v>
      </c>
      <c r="D7" s="106">
        <f t="shared" si="0"/>
        <v>332591</v>
      </c>
      <c r="E7" s="106">
        <f t="shared" si="0"/>
        <v>963</v>
      </c>
      <c r="F7" s="106">
        <f t="shared" ref="F7:G7" si="1">SUM(F5:F6)</f>
        <v>0</v>
      </c>
      <c r="G7" s="106">
        <f t="shared" si="1"/>
        <v>3397</v>
      </c>
      <c r="H7" s="106">
        <f t="shared" si="0"/>
        <v>11623</v>
      </c>
      <c r="I7" s="106">
        <f t="shared" si="0"/>
        <v>2548</v>
      </c>
      <c r="J7" s="106">
        <f t="shared" si="0"/>
        <v>0</v>
      </c>
      <c r="K7" s="106">
        <f t="shared" si="0"/>
        <v>6360</v>
      </c>
      <c r="L7" s="106">
        <f t="shared" si="0"/>
        <v>19616</v>
      </c>
      <c r="M7" s="107">
        <f>SUM(B7:L7)</f>
        <v>457068</v>
      </c>
    </row>
    <row r="8" spans="1:16" ht="13.5" thickTop="1" x14ac:dyDescent="0.2">
      <c r="A8" s="46"/>
      <c r="B8" s="96"/>
      <c r="C8" s="88"/>
      <c r="D8" s="96"/>
      <c r="E8" s="96"/>
      <c r="F8" s="96"/>
      <c r="G8" s="96"/>
      <c r="H8" s="96"/>
      <c r="I8" s="96"/>
      <c r="J8" s="96"/>
      <c r="K8" s="96"/>
      <c r="L8" s="96"/>
      <c r="M8" s="108"/>
      <c r="P8" s="96"/>
    </row>
    <row r="9" spans="1:16" s="6" customFormat="1" x14ac:dyDescent="0.2">
      <c r="A9" s="46" t="s">
        <v>32</v>
      </c>
      <c r="B9" s="96"/>
      <c r="C9" s="88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6" x14ac:dyDescent="0.2">
      <c r="A10" s="46" t="s">
        <v>30</v>
      </c>
      <c r="B10" s="88">
        <f>[3]Pinnacle!$HW$27+[3]Pinnacle!$HW$37</f>
        <v>1573</v>
      </c>
      <c r="C10" s="88">
        <f>[3]MESA_UA!$HW$27</f>
        <v>95</v>
      </c>
      <c r="D10" s="96">
        <f>'[3]Sky West'!$HW$27+'[3]Sky West'!$HW$37</f>
        <v>4783</v>
      </c>
      <c r="E10" s="96">
        <f>'[3]Sky West_UA'!$HW$27</f>
        <v>25</v>
      </c>
      <c r="F10" s="96">
        <f>'[3]Sky West_AS'!$HW$27</f>
        <v>0</v>
      </c>
      <c r="G10" s="96">
        <f>'[3]Sky West_AA'!$HW$27</f>
        <v>70</v>
      </c>
      <c r="H10" s="96">
        <f>[3]Republic!$HW$27</f>
        <v>138</v>
      </c>
      <c r="I10" s="96">
        <f>[3]Republic_UA!$HW$27</f>
        <v>37</v>
      </c>
      <c r="J10" s="96">
        <f>'[3]Sky Regional'!$HW$37</f>
        <v>0</v>
      </c>
      <c r="K10" s="96">
        <f>'[3]American Eagle'!$HW$27</f>
        <v>101</v>
      </c>
      <c r="L10" s="96">
        <f>'Other Regional'!L10</f>
        <v>134</v>
      </c>
      <c r="M10" s="89">
        <f>SUM(B10:L10)</f>
        <v>6956</v>
      </c>
    </row>
    <row r="11" spans="1:16" x14ac:dyDescent="0.2">
      <c r="A11" s="46" t="s">
        <v>33</v>
      </c>
      <c r="B11" s="88">
        <f>[3]Pinnacle!$HW$28+[3]Pinnacle!$HW$38</f>
        <v>1579</v>
      </c>
      <c r="C11" s="88">
        <f>[3]MESA_UA!$HW$28</f>
        <v>138</v>
      </c>
      <c r="D11" s="96">
        <f>'[3]Sky West'!$HW$28+'[3]Sky West'!$HW$38</f>
        <v>4704</v>
      </c>
      <c r="E11" s="96">
        <f>'[3]Sky West_UA'!$HW$28</f>
        <v>31</v>
      </c>
      <c r="F11" s="96">
        <f>'[3]Sky West_AS'!$HW$28</f>
        <v>0</v>
      </c>
      <c r="G11" s="96">
        <f>'[3]Sky West_AA'!$HW$28</f>
        <v>51</v>
      </c>
      <c r="H11" s="96">
        <f>[3]Republic!$HW$28</f>
        <v>142</v>
      </c>
      <c r="I11" s="96">
        <f>[3]Republic_UA!$HW$28</f>
        <v>48</v>
      </c>
      <c r="J11" s="96">
        <f>'[3]Sky Regional'!$HW$38</f>
        <v>0</v>
      </c>
      <c r="K11" s="96">
        <f>'[3]American Eagle'!$HW$28</f>
        <v>117</v>
      </c>
      <c r="L11" s="96">
        <f>'Other Regional'!L11</f>
        <v>126</v>
      </c>
      <c r="M11" s="93">
        <f>SUM(B11:L11)</f>
        <v>6936</v>
      </c>
    </row>
    <row r="12" spans="1:16" ht="15" thickBot="1" x14ac:dyDescent="0.25">
      <c r="A12" s="56" t="s">
        <v>34</v>
      </c>
      <c r="B12" s="109">
        <f t="shared" ref="B12:L12" si="2">SUM(B10:B11)</f>
        <v>3152</v>
      </c>
      <c r="C12" s="109">
        <f t="shared" si="2"/>
        <v>233</v>
      </c>
      <c r="D12" s="109">
        <f t="shared" si="2"/>
        <v>9487</v>
      </c>
      <c r="E12" s="109">
        <f t="shared" si="2"/>
        <v>56</v>
      </c>
      <c r="F12" s="109">
        <f t="shared" ref="F12:G12" si="3">SUM(F10:F11)</f>
        <v>0</v>
      </c>
      <c r="G12" s="109">
        <f t="shared" si="3"/>
        <v>121</v>
      </c>
      <c r="H12" s="109">
        <f t="shared" si="2"/>
        <v>280</v>
      </c>
      <c r="I12" s="109">
        <f t="shared" si="2"/>
        <v>85</v>
      </c>
      <c r="J12" s="109">
        <f t="shared" si="2"/>
        <v>0</v>
      </c>
      <c r="K12" s="109">
        <f t="shared" si="2"/>
        <v>218</v>
      </c>
      <c r="L12" s="109">
        <f t="shared" si="2"/>
        <v>260</v>
      </c>
      <c r="M12" s="110">
        <f>SUM(B12:L12)</f>
        <v>13892</v>
      </c>
    </row>
    <row r="13" spans="1:16" ht="13.5" thickBot="1" x14ac:dyDescent="0.25"/>
    <row r="14" spans="1:16" ht="15.75" thickTop="1" x14ac:dyDescent="0.25">
      <c r="A14" s="45" t="s">
        <v>9</v>
      </c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5">
        <f t="shared" ref="M14" si="4">SUM(B14:L14)</f>
        <v>0</v>
      </c>
    </row>
    <row r="15" spans="1:16" x14ac:dyDescent="0.2">
      <c r="A15" s="46" t="s">
        <v>53</v>
      </c>
      <c r="B15" s="13">
        <f>[3]Pinnacle!$HW$4+[3]Pinnacle!$HW$15</f>
        <v>610</v>
      </c>
      <c r="C15" s="87">
        <f>[3]MESA_UA!$HW$4</f>
        <v>54</v>
      </c>
      <c r="D15" s="86">
        <f>'[3]Sky West'!$HW$4+'[3]Sky West'!$HW$15</f>
        <v>3110</v>
      </c>
      <c r="E15" s="86">
        <f>'[3]Sky West_UA'!$HW$4</f>
        <v>7</v>
      </c>
      <c r="F15" s="86">
        <f>'[3]Sky West_AS'!$HW$4</f>
        <v>0</v>
      </c>
      <c r="G15" s="86">
        <f>'[3]Sky West_AA'!$HW$4</f>
        <v>29</v>
      </c>
      <c r="H15" s="88">
        <f>[3]Republic!$HW$4</f>
        <v>84</v>
      </c>
      <c r="I15" s="363">
        <f>[3]Republic_UA!$HW$4</f>
        <v>20</v>
      </c>
      <c r="J15" s="363">
        <f>'[3]Sky Regional'!$HW$15</f>
        <v>0</v>
      </c>
      <c r="K15" s="88">
        <f>'[3]American Eagle'!$HW$4</f>
        <v>65</v>
      </c>
      <c r="L15" s="87">
        <f>'Other Regional'!L15</f>
        <v>155</v>
      </c>
      <c r="M15" s="89">
        <f>SUM(B15:L15)</f>
        <v>4134</v>
      </c>
    </row>
    <row r="16" spans="1:16" x14ac:dyDescent="0.2">
      <c r="A16" s="46" t="s">
        <v>54</v>
      </c>
      <c r="B16" s="7">
        <f>[3]Pinnacle!$HW$5+[3]Pinnacle!$HW$16</f>
        <v>612</v>
      </c>
      <c r="C16" s="91">
        <f>[3]MESA_UA!$HW$5</f>
        <v>54</v>
      </c>
      <c r="D16" s="90">
        <f>'[3]Sky West'!$HW$5+'[3]Sky West'!$HW$16</f>
        <v>3109</v>
      </c>
      <c r="E16" s="90">
        <f>'[3]Sky West_UA'!$HW$5</f>
        <v>7</v>
      </c>
      <c r="F16" s="90">
        <f>'[3]Sky West_AS'!$HW$5</f>
        <v>0</v>
      </c>
      <c r="G16" s="90">
        <f>'[3]Sky West_AA'!$HW$5</f>
        <v>29</v>
      </c>
      <c r="H16" s="92">
        <f>[3]Republic!$HW$5</f>
        <v>85</v>
      </c>
      <c r="I16" s="232">
        <f>[3]Republic_UA!$HW$5</f>
        <v>20</v>
      </c>
      <c r="J16" s="232">
        <f>'[3]Sky Regional'!$HW$16</f>
        <v>0</v>
      </c>
      <c r="K16" s="92">
        <f>'[3]American Eagle'!$HW$5</f>
        <v>66</v>
      </c>
      <c r="L16" s="91">
        <f>'Other Regional'!L16</f>
        <v>156</v>
      </c>
      <c r="M16" s="93">
        <f>SUM(B16:L16)</f>
        <v>4138</v>
      </c>
      <c r="O16" s="96"/>
      <c r="P16" s="96"/>
    </row>
    <row r="17" spans="1:13" x14ac:dyDescent="0.2">
      <c r="A17" s="50" t="s">
        <v>55</v>
      </c>
      <c r="B17" s="94">
        <f t="shared" ref="B17:E17" si="5">SUM(B15:B16)</f>
        <v>1222</v>
      </c>
      <c r="C17" s="94">
        <f t="shared" si="5"/>
        <v>108</v>
      </c>
      <c r="D17" s="94">
        <f t="shared" si="5"/>
        <v>6219</v>
      </c>
      <c r="E17" s="94">
        <f t="shared" si="5"/>
        <v>14</v>
      </c>
      <c r="F17" s="94">
        <f t="shared" ref="F17:G17" si="6">SUM(F15:F16)</f>
        <v>0</v>
      </c>
      <c r="G17" s="94">
        <f t="shared" si="6"/>
        <v>58</v>
      </c>
      <c r="H17" s="94">
        <f>SUM(H15:H16)</f>
        <v>169</v>
      </c>
      <c r="I17" s="94">
        <f t="shared" ref="I17:J17" si="7">SUM(I15:I16)</f>
        <v>40</v>
      </c>
      <c r="J17" s="94">
        <f t="shared" si="7"/>
        <v>0</v>
      </c>
      <c r="K17" s="94">
        <f>SUM(K15:K16)</f>
        <v>131</v>
      </c>
      <c r="L17" s="94">
        <f>SUM(L15:L16)</f>
        <v>311</v>
      </c>
      <c r="M17" s="95">
        <f t="shared" ref="M17:M21" si="8">SUM(B17:L17)</f>
        <v>8272</v>
      </c>
    </row>
    <row r="18" spans="1:13" x14ac:dyDescent="0.2">
      <c r="A18" s="46" t="s">
        <v>56</v>
      </c>
      <c r="B18" s="96">
        <f>[3]Pinnacle!$HW$8</f>
        <v>0</v>
      </c>
      <c r="C18" s="88">
        <f>[3]MESA_UA!$HW$8</f>
        <v>0</v>
      </c>
      <c r="D18" s="96">
        <f>'[3]Sky West'!$HW$8</f>
        <v>0</v>
      </c>
      <c r="E18" s="96">
        <f>'[3]Sky West_UA'!$HW$8</f>
        <v>2</v>
      </c>
      <c r="F18" s="96">
        <f>'[3]Sky West_AS'!$HW$8</f>
        <v>0</v>
      </c>
      <c r="G18" s="96">
        <f>'[3]Sky West_AA'!$HW$8</f>
        <v>0</v>
      </c>
      <c r="H18" s="96">
        <f>[3]Republic!$HW$8</f>
        <v>0</v>
      </c>
      <c r="I18" s="96">
        <f>[3]Republic_UA!$HW$8</f>
        <v>1</v>
      </c>
      <c r="J18" s="96">
        <f>'[3]Sky Regional'!$HW$8</f>
        <v>0</v>
      </c>
      <c r="K18" s="96">
        <f>'[3]American Eagle'!$HW$8</f>
        <v>0</v>
      </c>
      <c r="L18" s="96">
        <f>'Other Regional'!L18</f>
        <v>1</v>
      </c>
      <c r="M18" s="89">
        <f t="shared" si="8"/>
        <v>4</v>
      </c>
    </row>
    <row r="19" spans="1:13" x14ac:dyDescent="0.2">
      <c r="A19" s="46" t="s">
        <v>57</v>
      </c>
      <c r="B19" s="97">
        <f>[3]Pinnacle!$HW$9</f>
        <v>1</v>
      </c>
      <c r="C19" s="92">
        <f>[3]MESA_UA!$HW$9</f>
        <v>0</v>
      </c>
      <c r="D19" s="97">
        <f>'[3]Sky West'!$HW$9</f>
        <v>5</v>
      </c>
      <c r="E19" s="97">
        <f>'[3]Sky West_UA'!$HW$9</f>
        <v>1</v>
      </c>
      <c r="F19" s="97">
        <f>'[3]Sky West_AS'!$HW$9</f>
        <v>0</v>
      </c>
      <c r="G19" s="97">
        <f>'[3]Sky West_AA'!$HW$9</f>
        <v>0</v>
      </c>
      <c r="H19" s="97">
        <f>[3]Republic!$HW$9</f>
        <v>0</v>
      </c>
      <c r="I19" s="97">
        <f>[3]Republic_UA!$HW$9</f>
        <v>1</v>
      </c>
      <c r="J19" s="97">
        <f>'[3]Sky Regional'!$HW$9</f>
        <v>0</v>
      </c>
      <c r="K19" s="97">
        <f>'[3]American Eagle'!$HW$9</f>
        <v>0</v>
      </c>
      <c r="L19" s="97">
        <f>'Other Regional'!L19</f>
        <v>1</v>
      </c>
      <c r="M19" s="93">
        <f t="shared" si="8"/>
        <v>9</v>
      </c>
    </row>
    <row r="20" spans="1:13" x14ac:dyDescent="0.2">
      <c r="A20" s="50" t="s">
        <v>58</v>
      </c>
      <c r="B20" s="94">
        <f t="shared" ref="B20:L20" si="9">SUM(B18:B19)</f>
        <v>1</v>
      </c>
      <c r="C20" s="94">
        <f t="shared" si="9"/>
        <v>0</v>
      </c>
      <c r="D20" s="94">
        <f t="shared" si="9"/>
        <v>5</v>
      </c>
      <c r="E20" s="94">
        <f t="shared" si="9"/>
        <v>3</v>
      </c>
      <c r="F20" s="94">
        <f t="shared" ref="F20:G20" si="10">SUM(F18:F19)</f>
        <v>0</v>
      </c>
      <c r="G20" s="94">
        <f t="shared" si="10"/>
        <v>0</v>
      </c>
      <c r="H20" s="94">
        <f t="shared" si="9"/>
        <v>0</v>
      </c>
      <c r="I20" s="94">
        <f t="shared" si="9"/>
        <v>2</v>
      </c>
      <c r="J20" s="94">
        <f t="shared" si="9"/>
        <v>0</v>
      </c>
      <c r="K20" s="94">
        <f t="shared" si="9"/>
        <v>0</v>
      </c>
      <c r="L20" s="94">
        <f t="shared" si="9"/>
        <v>2</v>
      </c>
      <c r="M20" s="95">
        <f t="shared" si="8"/>
        <v>13</v>
      </c>
    </row>
    <row r="21" spans="1:13" ht="15.75" thickBot="1" x14ac:dyDescent="0.3">
      <c r="A21" s="54" t="s">
        <v>28</v>
      </c>
      <c r="B21" s="98">
        <f>SUM(B20,B17)</f>
        <v>1223</v>
      </c>
      <c r="C21" s="98">
        <f t="shared" ref="C21:K21" si="11">SUM(C20,C17)</f>
        <v>108</v>
      </c>
      <c r="D21" s="98">
        <f t="shared" si="11"/>
        <v>6224</v>
      </c>
      <c r="E21" s="98">
        <f t="shared" si="11"/>
        <v>17</v>
      </c>
      <c r="F21" s="98">
        <f t="shared" ref="F21:G21" si="12">SUM(F20,F17)</f>
        <v>0</v>
      </c>
      <c r="G21" s="98">
        <f t="shared" si="12"/>
        <v>58</v>
      </c>
      <c r="H21" s="98">
        <f t="shared" si="11"/>
        <v>169</v>
      </c>
      <c r="I21" s="98">
        <f t="shared" si="11"/>
        <v>42</v>
      </c>
      <c r="J21" s="98">
        <f t="shared" si="11"/>
        <v>0</v>
      </c>
      <c r="K21" s="98">
        <f t="shared" si="11"/>
        <v>131</v>
      </c>
      <c r="L21" s="98">
        <f>SUM(L20,L17)</f>
        <v>313</v>
      </c>
      <c r="M21" s="99">
        <f t="shared" si="8"/>
        <v>8285</v>
      </c>
    </row>
    <row r="22" spans="1:13" ht="13.5" thickBot="1" x14ac:dyDescent="0.25"/>
    <row r="23" spans="1:13" ht="15.75" thickTop="1" x14ac:dyDescent="0.25">
      <c r="A23" s="49" t="s">
        <v>114</v>
      </c>
      <c r="B23" s="111"/>
      <c r="C23" s="112"/>
      <c r="D23" s="111"/>
      <c r="E23" s="111"/>
      <c r="F23" s="111"/>
      <c r="G23" s="111"/>
      <c r="H23" s="111"/>
      <c r="I23" s="111"/>
      <c r="J23" s="111"/>
      <c r="K23" s="111"/>
      <c r="L23" s="111"/>
      <c r="M23" s="113"/>
    </row>
    <row r="24" spans="1:13" x14ac:dyDescent="0.2">
      <c r="A24" s="46" t="s">
        <v>36</v>
      </c>
      <c r="B24" s="96"/>
      <c r="C24" s="88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x14ac:dyDescent="0.2">
      <c r="A25" s="46" t="s">
        <v>37</v>
      </c>
      <c r="B25" s="96">
        <f>[3]Pinnacle!$HW$47</f>
        <v>0</v>
      </c>
      <c r="C25" s="88">
        <f>[3]MESA_UA!$HW$47</f>
        <v>0</v>
      </c>
      <c r="D25" s="96">
        <f>'[3]Sky West'!$HW$47</f>
        <v>0</v>
      </c>
      <c r="E25" s="96">
        <f>'[3]Sky West_UA'!$HW$47</f>
        <v>0</v>
      </c>
      <c r="F25" s="96">
        <f>'[3]Sky West_AS'!$HW$47</f>
        <v>0</v>
      </c>
      <c r="G25" s="96">
        <f>'[3]Sky West_AA'!$HW$47</f>
        <v>769</v>
      </c>
      <c r="H25" s="96">
        <f>[3]Republic!$HW$47</f>
        <v>768</v>
      </c>
      <c r="I25" s="96">
        <f>[3]Republic_UA!$HW$47</f>
        <v>0</v>
      </c>
      <c r="J25" s="96">
        <f>'[3]Sky Regional'!$HW$47</f>
        <v>0</v>
      </c>
      <c r="K25" s="96">
        <f>'[3]American Eagle'!$HW$47</f>
        <v>6673</v>
      </c>
      <c r="L25" s="96">
        <f>'Other Regional'!L25</f>
        <v>933.7</v>
      </c>
      <c r="M25" s="89">
        <f>SUM(B25:L25)</f>
        <v>9143.7000000000007</v>
      </c>
    </row>
    <row r="26" spans="1:13" x14ac:dyDescent="0.2">
      <c r="A26" s="46" t="s">
        <v>38</v>
      </c>
      <c r="B26" s="96">
        <f>[3]Pinnacle!$HW$48</f>
        <v>0</v>
      </c>
      <c r="C26" s="88">
        <f>[3]MESA_UA!$HW$48</f>
        <v>0</v>
      </c>
      <c r="D26" s="96">
        <f>'[3]Sky West'!$HW$48</f>
        <v>0</v>
      </c>
      <c r="E26" s="96">
        <f>'[3]Sky West_UA'!$HW$48</f>
        <v>0</v>
      </c>
      <c r="F26" s="96">
        <f>'[3]Sky West_AS'!$HW$48</f>
        <v>0</v>
      </c>
      <c r="G26" s="96">
        <f>'[3]Sky West_AA'!$HW$48</f>
        <v>0</v>
      </c>
      <c r="H26" s="96">
        <f>[3]Republic!$HW$48</f>
        <v>0</v>
      </c>
      <c r="I26" s="96">
        <f>[3]Republic_UA!$HW$48</f>
        <v>0</v>
      </c>
      <c r="J26" s="96">
        <f>'[3]Sky Regional'!$HW$48</f>
        <v>0</v>
      </c>
      <c r="K26" s="96">
        <f>'[3]American Eagle'!$HW$48</f>
        <v>0</v>
      </c>
      <c r="L26" s="96">
        <f>'Other Regional'!L26</f>
        <v>0</v>
      </c>
      <c r="M26" s="89">
        <f>SUM(B26:L26)</f>
        <v>0</v>
      </c>
    </row>
    <row r="27" spans="1:13" ht="15" thickBot="1" x14ac:dyDescent="0.25">
      <c r="A27" s="55" t="s">
        <v>39</v>
      </c>
      <c r="B27" s="106">
        <f t="shared" ref="B27:L27" si="13">SUM(B25:B26)</f>
        <v>0</v>
      </c>
      <c r="C27" s="106">
        <f t="shared" si="13"/>
        <v>0</v>
      </c>
      <c r="D27" s="106">
        <f t="shared" si="13"/>
        <v>0</v>
      </c>
      <c r="E27" s="106">
        <f t="shared" si="13"/>
        <v>0</v>
      </c>
      <c r="F27" s="106">
        <f t="shared" ref="F27:G27" si="14">SUM(F25:F26)</f>
        <v>0</v>
      </c>
      <c r="G27" s="106">
        <f t="shared" si="14"/>
        <v>769</v>
      </c>
      <c r="H27" s="106">
        <f t="shared" si="13"/>
        <v>768</v>
      </c>
      <c r="I27" s="106">
        <f t="shared" si="13"/>
        <v>0</v>
      </c>
      <c r="J27" s="106">
        <f t="shared" si="13"/>
        <v>0</v>
      </c>
      <c r="K27" s="106">
        <f t="shared" si="13"/>
        <v>6673</v>
      </c>
      <c r="L27" s="106">
        <f t="shared" si="13"/>
        <v>933.7</v>
      </c>
      <c r="M27" s="107">
        <f>SUM(B27:L27)</f>
        <v>9143.7000000000007</v>
      </c>
    </row>
    <row r="28" spans="1:13" ht="13.5" thickTop="1" x14ac:dyDescent="0.2">
      <c r="A28" s="46"/>
      <c r="B28" s="96"/>
      <c r="C28" s="88"/>
      <c r="D28" s="96"/>
      <c r="E28" s="96"/>
      <c r="F28" s="96"/>
      <c r="G28" s="96"/>
      <c r="H28" s="96"/>
      <c r="I28" s="96"/>
      <c r="J28" s="96"/>
      <c r="K28" s="96"/>
      <c r="L28" s="96"/>
      <c r="M28" s="89"/>
    </row>
    <row r="29" spans="1:13" x14ac:dyDescent="0.2">
      <c r="A29" s="46" t="s">
        <v>40</v>
      </c>
      <c r="B29" s="96"/>
      <c r="C29" s="88"/>
      <c r="D29" s="96"/>
      <c r="E29" s="96"/>
      <c r="F29" s="96"/>
      <c r="G29" s="96"/>
      <c r="H29" s="96"/>
      <c r="I29" s="96"/>
      <c r="J29" s="96"/>
      <c r="K29" s="96"/>
      <c r="M29" s="89"/>
    </row>
    <row r="30" spans="1:13" x14ac:dyDescent="0.2">
      <c r="A30" s="46" t="s">
        <v>59</v>
      </c>
      <c r="B30" s="96">
        <f>[3]Pinnacle!$HW$52</f>
        <v>0</v>
      </c>
      <c r="C30" s="88">
        <f>[3]MESA_UA!$HW$52</f>
        <v>0</v>
      </c>
      <c r="D30" s="96">
        <f>'[3]Sky West'!$HW$52</f>
        <v>0</v>
      </c>
      <c r="E30" s="96">
        <f>'[3]Sky West_UA'!$HW$52</f>
        <v>0</v>
      </c>
      <c r="F30" s="96">
        <f>'[3]Sky West_AS'!$HW$52</f>
        <v>0</v>
      </c>
      <c r="G30" s="96">
        <f>'[3]Sky West_AA'!$HW$52</f>
        <v>1</v>
      </c>
      <c r="H30" s="96">
        <f>[3]Republic!$HW$52</f>
        <v>0</v>
      </c>
      <c r="I30" s="96">
        <f>[3]Republic_UA!$HW$52</f>
        <v>0</v>
      </c>
      <c r="J30" s="96">
        <f>'[3]Sky Regional'!$HW$52</f>
        <v>0</v>
      </c>
      <c r="K30" s="96">
        <f>'[3]American Eagle'!$HW$52</f>
        <v>790</v>
      </c>
      <c r="L30" s="96">
        <f>'Other Regional'!L30</f>
        <v>581.4</v>
      </c>
      <c r="M30" s="89">
        <f t="shared" ref="M30:M37" si="15">SUM(B30:L30)</f>
        <v>1372.4</v>
      </c>
    </row>
    <row r="31" spans="1:13" x14ac:dyDescent="0.2">
      <c r="A31" s="46" t="s">
        <v>60</v>
      </c>
      <c r="B31" s="96">
        <f>[3]Pinnacle!$HW$53</f>
        <v>0</v>
      </c>
      <c r="C31" s="88">
        <f>[3]MESA_UA!$HW$53</f>
        <v>0</v>
      </c>
      <c r="D31" s="96">
        <f>'[3]Sky West'!$HW$53</f>
        <v>0</v>
      </c>
      <c r="E31" s="96">
        <f>'[3]Sky West_UA'!$HW$53</f>
        <v>0</v>
      </c>
      <c r="F31" s="96">
        <f>'[3]Sky West_AS'!$HW$53</f>
        <v>0</v>
      </c>
      <c r="G31" s="96">
        <f>'[3]Sky West_AA'!$HW$53</f>
        <v>0</v>
      </c>
      <c r="H31" s="96">
        <f>[3]Republic!$HW$53</f>
        <v>0</v>
      </c>
      <c r="I31" s="96">
        <f>[3]Republic_UA!$HW$53</f>
        <v>0</v>
      </c>
      <c r="J31" s="96">
        <f>'[3]Sky Regional'!$HW$53</f>
        <v>0</v>
      </c>
      <c r="K31" s="96">
        <f>'[3]American Eagle'!$HW$53</f>
        <v>0</v>
      </c>
      <c r="L31" s="96">
        <f>'Other Regional'!L31</f>
        <v>0</v>
      </c>
      <c r="M31" s="89">
        <f t="shared" si="15"/>
        <v>0</v>
      </c>
    </row>
    <row r="32" spans="1:13" ht="15" thickBot="1" x14ac:dyDescent="0.25">
      <c r="A32" s="55" t="s">
        <v>41</v>
      </c>
      <c r="B32" s="106">
        <f t="shared" ref="B32:K32" si="16">SUM(B30:B31)</f>
        <v>0</v>
      </c>
      <c r="C32" s="106">
        <f t="shared" si="16"/>
        <v>0</v>
      </c>
      <c r="D32" s="106">
        <f t="shared" si="16"/>
        <v>0</v>
      </c>
      <c r="E32" s="106">
        <f t="shared" si="16"/>
        <v>0</v>
      </c>
      <c r="F32" s="106">
        <f t="shared" ref="F32:G32" si="17">SUM(F30:F31)</f>
        <v>0</v>
      </c>
      <c r="G32" s="106">
        <f t="shared" si="17"/>
        <v>1</v>
      </c>
      <c r="H32" s="106">
        <f t="shared" si="16"/>
        <v>0</v>
      </c>
      <c r="I32" s="106">
        <f t="shared" si="16"/>
        <v>0</v>
      </c>
      <c r="J32" s="106">
        <f t="shared" si="16"/>
        <v>0</v>
      </c>
      <c r="K32" s="106">
        <f t="shared" si="16"/>
        <v>790</v>
      </c>
      <c r="L32" s="106">
        <f>SUM(L30:L31)</f>
        <v>581.4</v>
      </c>
      <c r="M32" s="107">
        <f t="shared" si="15"/>
        <v>1372.4</v>
      </c>
    </row>
    <row r="33" spans="1:13" ht="13.5" hidden="1" thickTop="1" x14ac:dyDescent="0.2">
      <c r="A33" s="46"/>
      <c r="B33" s="96"/>
      <c r="C33" s="88"/>
      <c r="D33" s="96"/>
      <c r="E33" s="96"/>
      <c r="F33" s="96"/>
      <c r="G33" s="96"/>
      <c r="H33" s="96"/>
      <c r="I33" s="96"/>
      <c r="J33" s="96"/>
      <c r="K33" s="96"/>
      <c r="L33" s="96"/>
      <c r="M33" s="89">
        <f t="shared" si="15"/>
        <v>0</v>
      </c>
    </row>
    <row r="34" spans="1:13" ht="13.5" hidden="1" thickTop="1" x14ac:dyDescent="0.2">
      <c r="A34" s="46" t="s">
        <v>42</v>
      </c>
      <c r="B34" s="96"/>
      <c r="C34" s="88"/>
      <c r="D34" s="96"/>
      <c r="E34" s="96"/>
      <c r="F34" s="96"/>
      <c r="G34" s="96"/>
      <c r="H34" s="96"/>
      <c r="I34" s="96"/>
      <c r="J34" s="96"/>
      <c r="K34" s="96"/>
      <c r="L34" s="96"/>
      <c r="M34" s="89">
        <f t="shared" si="15"/>
        <v>0</v>
      </c>
    </row>
    <row r="35" spans="1:13" ht="13.5" hidden="1" thickTop="1" x14ac:dyDescent="0.2">
      <c r="A35" s="46" t="s">
        <v>37</v>
      </c>
      <c r="B35" s="96">
        <f>[3]Pinnacle!$HW$57</f>
        <v>0</v>
      </c>
      <c r="C35" s="88">
        <f>[3]MESA_UA!$HW$57</f>
        <v>0</v>
      </c>
      <c r="D35" s="96">
        <f>'[3]Sky West'!$HW$57</f>
        <v>0</v>
      </c>
      <c r="E35" s="96">
        <f>'[3]Sky West_UA'!$HW$57</f>
        <v>0</v>
      </c>
      <c r="F35" s="96">
        <f>'[3]Sky West_AS'!$HW$57</f>
        <v>0</v>
      </c>
      <c r="G35" s="96">
        <f>'[3]Sky West_AA'!$HW$57</f>
        <v>0</v>
      </c>
      <c r="H35" s="96">
        <f>[3]Republic!$HW$57</f>
        <v>0</v>
      </c>
      <c r="I35" s="96">
        <f>[3]Republic!$HW$57</f>
        <v>0</v>
      </c>
      <c r="J35" s="96">
        <f>[3]Republic!$HW$57</f>
        <v>0</v>
      </c>
      <c r="K35" s="96">
        <f>'[3]American Eagle'!$HW$57</f>
        <v>0</v>
      </c>
      <c r="L35" s="96">
        <f>'Other Regional'!L35</f>
        <v>0</v>
      </c>
      <c r="M35" s="89">
        <f t="shared" si="15"/>
        <v>0</v>
      </c>
    </row>
    <row r="36" spans="1:13" ht="13.5" hidden="1" thickTop="1" x14ac:dyDescent="0.2">
      <c r="A36" s="46" t="s">
        <v>38</v>
      </c>
      <c r="B36" s="96">
        <f>[3]Pinnacle!$HW$58</f>
        <v>0</v>
      </c>
      <c r="C36" s="88">
        <f>[3]MESA_UA!$HW$58</f>
        <v>0</v>
      </c>
      <c r="D36" s="96">
        <f>'[3]Sky West'!$HW$58</f>
        <v>0</v>
      </c>
      <c r="E36" s="96">
        <f>'[3]Sky West_UA'!$HW$58</f>
        <v>0</v>
      </c>
      <c r="F36" s="96">
        <f>'[3]Sky West_AS'!$HW$58</f>
        <v>0</v>
      </c>
      <c r="G36" s="96">
        <f>'[3]Sky West_AA'!$HW$58</f>
        <v>0</v>
      </c>
      <c r="H36" s="96">
        <f>[3]Republic!$HW$58</f>
        <v>0</v>
      </c>
      <c r="I36" s="96">
        <f>[3]Republic!$HW$58</f>
        <v>0</v>
      </c>
      <c r="J36" s="96">
        <f>[3]Republic!$HW$58</f>
        <v>0</v>
      </c>
      <c r="K36" s="96">
        <f>'[3]American Eagle'!$HW$58</f>
        <v>0</v>
      </c>
      <c r="L36" s="96">
        <f>'Other Regional'!L36</f>
        <v>0</v>
      </c>
      <c r="M36" s="89">
        <f t="shared" si="15"/>
        <v>0</v>
      </c>
    </row>
    <row r="37" spans="1:13" ht="13.5" hidden="1" thickTop="1" x14ac:dyDescent="0.2">
      <c r="A37" s="57" t="s">
        <v>43</v>
      </c>
      <c r="B37" s="114">
        <f t="shared" ref="B37:K37" si="18">SUM(B35:B36)</f>
        <v>0</v>
      </c>
      <c r="C37" s="114">
        <f t="shared" si="18"/>
        <v>0</v>
      </c>
      <c r="D37" s="114">
        <f t="shared" si="18"/>
        <v>0</v>
      </c>
      <c r="E37" s="114">
        <f t="shared" si="18"/>
        <v>0</v>
      </c>
      <c r="F37" s="114">
        <f t="shared" ref="F37:G37" si="19">SUM(F35:F36)</f>
        <v>0</v>
      </c>
      <c r="G37" s="114">
        <f t="shared" si="19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SUM(L35:L36)</f>
        <v>0</v>
      </c>
      <c r="M37" s="116">
        <f t="shared" si="15"/>
        <v>0</v>
      </c>
    </row>
    <row r="38" spans="1:13" ht="13.5" thickTop="1" x14ac:dyDescent="0.2">
      <c r="A38" s="46"/>
      <c r="B38" s="96"/>
      <c r="C38" s="88"/>
      <c r="D38" s="96"/>
      <c r="E38" s="96"/>
      <c r="F38" s="96"/>
      <c r="G38" s="96"/>
      <c r="H38" s="96"/>
      <c r="I38" s="96"/>
      <c r="J38" s="96"/>
      <c r="K38" s="96"/>
      <c r="L38" s="96"/>
      <c r="M38" s="89"/>
    </row>
    <row r="39" spans="1:13" x14ac:dyDescent="0.2">
      <c r="A39" s="46" t="s">
        <v>44</v>
      </c>
      <c r="B39" s="96"/>
      <c r="C39" s="88"/>
      <c r="D39" s="96"/>
      <c r="E39" s="96"/>
      <c r="F39" s="96"/>
      <c r="G39" s="96"/>
      <c r="H39" s="96"/>
      <c r="I39" s="96"/>
      <c r="J39" s="96"/>
      <c r="K39" s="96"/>
      <c r="L39" s="96"/>
      <c r="M39" s="89"/>
    </row>
    <row r="40" spans="1:13" x14ac:dyDescent="0.2">
      <c r="A40" s="46" t="s">
        <v>45</v>
      </c>
      <c r="B40" s="96">
        <f t="shared" ref="B40:J42" si="20">SUM(B35,B30,B25)</f>
        <v>0</v>
      </c>
      <c r="C40" s="96">
        <f>SUM(C35,C30,C25)</f>
        <v>0</v>
      </c>
      <c r="D40" s="96">
        <f t="shared" si="20"/>
        <v>0</v>
      </c>
      <c r="E40" s="96">
        <f t="shared" ref="E40:F42" si="21">SUM(E35,E30,E25)</f>
        <v>0</v>
      </c>
      <c r="F40" s="96">
        <f t="shared" si="21"/>
        <v>0</v>
      </c>
      <c r="G40" s="96">
        <f t="shared" ref="G40" si="22">SUM(G35,G30,G25)</f>
        <v>770</v>
      </c>
      <c r="H40" s="96">
        <f t="shared" si="20"/>
        <v>768</v>
      </c>
      <c r="I40" s="96">
        <f t="shared" si="20"/>
        <v>0</v>
      </c>
      <c r="J40" s="96">
        <f t="shared" si="20"/>
        <v>0</v>
      </c>
      <c r="K40" s="96">
        <f>SUM(K35,K30,K25)</f>
        <v>7463</v>
      </c>
      <c r="L40" s="96">
        <f>L35+L30+L25</f>
        <v>1515.1</v>
      </c>
      <c r="M40" s="89">
        <f>SUM(B40:L40)</f>
        <v>10516.1</v>
      </c>
    </row>
    <row r="41" spans="1:13" x14ac:dyDescent="0.2">
      <c r="A41" s="46" t="s">
        <v>38</v>
      </c>
      <c r="B41" s="96">
        <f t="shared" si="20"/>
        <v>0</v>
      </c>
      <c r="C41" s="96">
        <f>SUM(C36,C31,C26)</f>
        <v>0</v>
      </c>
      <c r="D41" s="96">
        <f t="shared" si="20"/>
        <v>0</v>
      </c>
      <c r="E41" s="96">
        <f t="shared" si="21"/>
        <v>0</v>
      </c>
      <c r="F41" s="96">
        <f t="shared" si="21"/>
        <v>0</v>
      </c>
      <c r="G41" s="96">
        <f t="shared" ref="G41" si="23">SUM(G36,G31,G26)</f>
        <v>0</v>
      </c>
      <c r="H41" s="96">
        <f t="shared" si="20"/>
        <v>0</v>
      </c>
      <c r="I41" s="96">
        <f t="shared" si="20"/>
        <v>0</v>
      </c>
      <c r="J41" s="96">
        <f t="shared" si="20"/>
        <v>0</v>
      </c>
      <c r="K41" s="96">
        <f>SUM(K36,K31,K26)</f>
        <v>0</v>
      </c>
      <c r="L41" s="96">
        <f>L36+L31+L26</f>
        <v>0</v>
      </c>
      <c r="M41" s="89">
        <f>SUM(B41:L41)</f>
        <v>0</v>
      </c>
    </row>
    <row r="42" spans="1:13" ht="15" thickBot="1" x14ac:dyDescent="0.25">
      <c r="A42" s="56" t="s">
        <v>46</v>
      </c>
      <c r="B42" s="109">
        <f t="shared" si="20"/>
        <v>0</v>
      </c>
      <c r="C42" s="109">
        <f>SUM(C37,C32,C27)</f>
        <v>0</v>
      </c>
      <c r="D42" s="109">
        <f t="shared" si="20"/>
        <v>0</v>
      </c>
      <c r="E42" s="109">
        <f t="shared" si="21"/>
        <v>0</v>
      </c>
      <c r="F42" s="109">
        <f t="shared" si="21"/>
        <v>0</v>
      </c>
      <c r="G42" s="109">
        <f t="shared" ref="G42" si="24">SUM(G37,G32,G27)</f>
        <v>770</v>
      </c>
      <c r="H42" s="109">
        <f t="shared" si="20"/>
        <v>768</v>
      </c>
      <c r="I42" s="109">
        <f t="shared" si="20"/>
        <v>0</v>
      </c>
      <c r="J42" s="109">
        <f t="shared" si="20"/>
        <v>0</v>
      </c>
      <c r="K42" s="109">
        <f>SUM(K37,K32,K27)</f>
        <v>7463</v>
      </c>
      <c r="L42" s="109">
        <f>SUM(L37,L32,L27)</f>
        <v>1515.1</v>
      </c>
      <c r="M42" s="110">
        <f>SUM(B42:L42)</f>
        <v>10516.1</v>
      </c>
    </row>
    <row r="44" spans="1:13" x14ac:dyDescent="0.2">
      <c r="A44" s="301" t="s">
        <v>121</v>
      </c>
      <c r="B44" s="255">
        <f>[3]Pinnacle!$HW$70+[3]Pinnacle!$HW$73</f>
        <v>13235</v>
      </c>
      <c r="D44" s="256">
        <f>'[3]Sky West'!$HW$70+'[3]Sky West'!$HW$73</f>
        <v>61405</v>
      </c>
      <c r="E44" s="2"/>
      <c r="F44" s="2"/>
      <c r="G44" s="2"/>
      <c r="L44" s="256">
        <f>+'Other Regional'!L46</f>
        <v>0</v>
      </c>
      <c r="M44" s="245">
        <f>SUM(B44:L44)</f>
        <v>74640</v>
      </c>
    </row>
    <row r="45" spans="1:13" x14ac:dyDescent="0.2">
      <c r="A45" s="314" t="s">
        <v>122</v>
      </c>
      <c r="B45" s="255">
        <f>[3]Pinnacle!$HW$71+[3]Pinnacle!$HW$74</f>
        <v>22723</v>
      </c>
      <c r="D45" s="256">
        <f>'[3]Sky West'!$HW$71+'[3]Sky West'!$HW$74</f>
        <v>105763</v>
      </c>
      <c r="E45" s="2"/>
      <c r="F45" s="2"/>
      <c r="G45" s="2"/>
      <c r="L45" s="256">
        <f>+'Other Regional'!L47</f>
        <v>0</v>
      </c>
      <c r="M45" s="245">
        <f>SUM(B45:L45)</f>
        <v>128486</v>
      </c>
    </row>
    <row r="46" spans="1:13" x14ac:dyDescent="0.2">
      <c r="A46" s="246" t="s">
        <v>123</v>
      </c>
      <c r="B46" s="247">
        <f>SUM(B44:B45)</f>
        <v>35958</v>
      </c>
      <c r="L46" s="2"/>
      <c r="M46" s="231"/>
    </row>
    <row r="47" spans="1:13" x14ac:dyDescent="0.2">
      <c r="A47" s="248"/>
      <c r="B47" s="249" t="b">
        <f>IF(B46=B6,TRUE,FALSE)</f>
        <v>1</v>
      </c>
    </row>
    <row r="50" spans="13:13" x14ac:dyDescent="0.2">
      <c r="M50" s="9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June 2022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topLeftCell="A2" zoomScaleNormal="100" zoomScaleSheetLayoutView="100" workbookViewId="0">
      <selection activeCell="L17" sqref="L1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36" customHeight="1" x14ac:dyDescent="0.2">
      <c r="A1" s="310"/>
    </row>
    <row r="2" spans="1:12" ht="55.5" customHeight="1" thickBot="1" x14ac:dyDescent="0.25">
      <c r="A2" s="442">
        <v>44713</v>
      </c>
      <c r="B2" s="392" t="s">
        <v>171</v>
      </c>
      <c r="C2" s="392" t="s">
        <v>170</v>
      </c>
      <c r="D2" s="392" t="s">
        <v>197</v>
      </c>
      <c r="E2" s="392" t="s">
        <v>230</v>
      </c>
      <c r="F2" s="392" t="s">
        <v>235</v>
      </c>
      <c r="G2" s="392" t="s">
        <v>181</v>
      </c>
      <c r="H2" s="392" t="s">
        <v>175</v>
      </c>
      <c r="I2" s="392" t="s">
        <v>174</v>
      </c>
      <c r="J2" s="392" t="s">
        <v>159</v>
      </c>
      <c r="K2" s="392" t="s">
        <v>162</v>
      </c>
      <c r="L2" s="393" t="s">
        <v>21</v>
      </c>
    </row>
    <row r="3" spans="1:12" ht="15" x14ac:dyDescent="0.25">
      <c r="A3" s="217" t="s">
        <v>3</v>
      </c>
      <c r="B3" s="326"/>
      <c r="C3" s="326"/>
      <c r="D3" s="326"/>
      <c r="E3" s="326"/>
      <c r="F3" s="326"/>
      <c r="G3" s="326"/>
      <c r="H3" s="327"/>
      <c r="I3" s="327"/>
      <c r="J3" s="327"/>
      <c r="K3" s="327"/>
      <c r="L3" s="391"/>
    </row>
    <row r="4" spans="1:12" x14ac:dyDescent="0.2">
      <c r="A4" s="46" t="s">
        <v>29</v>
      </c>
      <c r="B4" s="104"/>
      <c r="C4" s="104"/>
      <c r="D4" s="104"/>
      <c r="E4" s="104"/>
      <c r="F4" s="105"/>
      <c r="G4" s="105"/>
      <c r="H4" s="88"/>
      <c r="I4" s="88"/>
      <c r="J4" s="88"/>
      <c r="K4" s="88"/>
      <c r="L4" s="89"/>
    </row>
    <row r="5" spans="1:12" x14ac:dyDescent="0.2">
      <c r="A5" s="46" t="s">
        <v>30</v>
      </c>
      <c r="B5" s="88">
        <f>'[3]Shuttle America'!$HW$22</f>
        <v>0</v>
      </c>
      <c r="C5" s="88">
        <f>'[3]Shuttle America_Delta'!$HW$22</f>
        <v>0</v>
      </c>
      <c r="D5" s="363">
        <f>[3]Horizon_AS!$HW$22+[3]Horizon_AS!$HW$32</f>
        <v>0</v>
      </c>
      <c r="E5" s="363">
        <f>'[3]Air Wisconsin'!$HW$22</f>
        <v>44</v>
      </c>
      <c r="F5" s="363">
        <f>[3]Jazz_AC!$HW$22+[3]Jazz_AC!$HW$32</f>
        <v>5517</v>
      </c>
      <c r="G5" s="363">
        <f>[3]PSA!$HW$22</f>
        <v>3928</v>
      </c>
      <c r="H5" s="88">
        <f>'[3]Atlantic Southeast'!$HW$22+'[3]Atlantic Southeast'!$HW$32</f>
        <v>0</v>
      </c>
      <c r="I5" s="88">
        <f>'[3]Continental Express'!$HW$22</f>
        <v>0</v>
      </c>
      <c r="J5" s="96">
        <f>'[3]Go Jet_UA'!$HW$22</f>
        <v>0</v>
      </c>
      <c r="K5" s="13">
        <f>'[3]Go Jet'!$HW$22+'[3]Go Jet'!$HW$32</f>
        <v>0</v>
      </c>
      <c r="L5" s="89">
        <f>SUM(B5:K5)</f>
        <v>9489</v>
      </c>
    </row>
    <row r="6" spans="1:12" s="6" customFormat="1" x14ac:dyDescent="0.2">
      <c r="A6" s="46" t="s">
        <v>31</v>
      </c>
      <c r="B6" s="88">
        <f>'[3]Shuttle America'!$HW$23</f>
        <v>0</v>
      </c>
      <c r="C6" s="88">
        <f>'[3]Shuttle America_Delta'!$HW$23</f>
        <v>0</v>
      </c>
      <c r="D6" s="363">
        <f>[3]Horizon_AS!$HW$23+[3]Horizon_AS!$HW$33</f>
        <v>0</v>
      </c>
      <c r="E6" s="363">
        <f>'[3]Air Wisconsin'!$HW$23</f>
        <v>0</v>
      </c>
      <c r="F6" s="363">
        <f>[3]Jazz_AC!$HW$23+[3]Jazz_AC!$HW$33</f>
        <v>6474</v>
      </c>
      <c r="G6" s="363">
        <f>[3]PSA!$HW$23</f>
        <v>3653</v>
      </c>
      <c r="H6" s="88">
        <f>'[3]Atlantic Southeast'!$HW$23+'[3]Atlantic Southeast'!$HW$33</f>
        <v>0</v>
      </c>
      <c r="I6" s="88">
        <f>'[3]Continental Express'!$HW$23</f>
        <v>0</v>
      </c>
      <c r="J6" s="96">
        <f>'[3]Go Jet_UA'!$HW$23</f>
        <v>0</v>
      </c>
      <c r="K6" s="7">
        <f>'[3]Go Jet'!$HW$23+'[3]Go Jet'!$HW$33</f>
        <v>0</v>
      </c>
      <c r="L6" s="93">
        <f>SUM(B6:K6)</f>
        <v>10127</v>
      </c>
    </row>
    <row r="7" spans="1:12" ht="15" thickBot="1" x14ac:dyDescent="0.25">
      <c r="A7" s="55" t="s">
        <v>7</v>
      </c>
      <c r="B7" s="106">
        <f t="shared" ref="B7:J7" si="0">SUM(B5:B6)</f>
        <v>0</v>
      </c>
      <c r="C7" s="106">
        <f t="shared" si="0"/>
        <v>0</v>
      </c>
      <c r="D7" s="106">
        <f t="shared" ref="D7:F7" si="1">SUM(D5:D6)</f>
        <v>0</v>
      </c>
      <c r="E7" s="106">
        <f t="shared" si="1"/>
        <v>44</v>
      </c>
      <c r="F7" s="106">
        <f t="shared" si="1"/>
        <v>11991</v>
      </c>
      <c r="G7" s="106">
        <f t="shared" si="0"/>
        <v>7581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>SUM(K5:K6)</f>
        <v>0</v>
      </c>
      <c r="L7" s="107">
        <f>SUM(B7:K7)</f>
        <v>19616</v>
      </c>
    </row>
    <row r="8" spans="1:12" ht="13.5" thickTop="1" x14ac:dyDescent="0.2">
      <c r="A8" s="46"/>
      <c r="B8" s="88"/>
      <c r="C8" s="88"/>
      <c r="D8" s="363"/>
      <c r="E8" s="363"/>
      <c r="F8" s="363"/>
      <c r="G8" s="363"/>
      <c r="H8" s="88"/>
      <c r="I8" s="88"/>
      <c r="J8" s="96"/>
      <c r="K8" s="274"/>
      <c r="L8" s="108"/>
    </row>
    <row r="9" spans="1:12" s="6" customFormat="1" x14ac:dyDescent="0.2">
      <c r="A9" s="46" t="s">
        <v>32</v>
      </c>
      <c r="B9" s="88"/>
      <c r="C9" s="88"/>
      <c r="D9" s="363"/>
      <c r="E9" s="363"/>
      <c r="F9" s="363"/>
      <c r="G9" s="363"/>
      <c r="H9" s="88"/>
      <c r="I9" s="88"/>
      <c r="J9" s="96"/>
      <c r="K9" s="13"/>
      <c r="L9" s="89"/>
    </row>
    <row r="10" spans="1:12" x14ac:dyDescent="0.2">
      <c r="A10" s="46" t="s">
        <v>30</v>
      </c>
      <c r="B10" s="88">
        <f>'[3]Shuttle America'!$HW$27</f>
        <v>0</v>
      </c>
      <c r="C10" s="88">
        <f>'[3]Shuttle America_Delta'!$HW$27</f>
        <v>0</v>
      </c>
      <c r="D10" s="363">
        <f>[3]Horizon_AS!$HW$27+[3]Horizon_AS!$HW$37</f>
        <v>0</v>
      </c>
      <c r="E10" s="363">
        <f>'[3]Air Wisconsin'!$HW$27</f>
        <v>0</v>
      </c>
      <c r="F10" s="363">
        <f>[3]Jazz_AC!$HW$27+[3]Jazz_AC!$HW$37</f>
        <v>43</v>
      </c>
      <c r="G10" s="363">
        <f>[3]PSA!$HW$27</f>
        <v>91</v>
      </c>
      <c r="H10" s="13">
        <f>'[3]Atlantic Southeast'!$HW$27+'[3]Atlantic Southeast'!$HW$37</f>
        <v>0</v>
      </c>
      <c r="I10" s="88">
        <f>'[3]Continental Express'!$HW$27</f>
        <v>0</v>
      </c>
      <c r="J10" s="96">
        <f>'[3]Go Jet_UA'!$HW$27</f>
        <v>0</v>
      </c>
      <c r="K10" s="13">
        <f>'[3]Go Jet'!$HW$27+'[3]Go Jet'!$HW$37</f>
        <v>0</v>
      </c>
      <c r="L10" s="89">
        <f>SUM(B10:K10)</f>
        <v>134</v>
      </c>
    </row>
    <row r="11" spans="1:12" x14ac:dyDescent="0.2">
      <c r="A11" s="46" t="s">
        <v>33</v>
      </c>
      <c r="B11" s="88">
        <f>'[3]Shuttle America'!$HW$28</f>
        <v>0</v>
      </c>
      <c r="C11" s="88">
        <f>'[3]Shuttle America_Delta'!$HW$28</f>
        <v>0</v>
      </c>
      <c r="D11" s="363">
        <f>[3]Horizon_AS!$HW$28+[3]Horizon_AS!$HW$38</f>
        <v>0</v>
      </c>
      <c r="E11" s="363">
        <f>'[3]Air Wisconsin'!$HW$28</f>
        <v>0</v>
      </c>
      <c r="F11" s="363">
        <f>[3]Jazz_AC!$HW$28+[3]Jazz_AC!$HW$38</f>
        <v>29</v>
      </c>
      <c r="G11" s="363">
        <f>[3]PSA!$HW$28</f>
        <v>97</v>
      </c>
      <c r="H11" s="7">
        <f>'[3]Atlantic Southeast'!$HW$28+'[3]Atlantic Southeast'!$HW$38</f>
        <v>0</v>
      </c>
      <c r="I11" s="88">
        <f>'[3]Continental Express'!$HW$28</f>
        <v>0</v>
      </c>
      <c r="J11" s="96">
        <f>'[3]Go Jet_UA'!$HW$28</f>
        <v>0</v>
      </c>
      <c r="K11" s="7">
        <f>'[3]Go Jet'!$HW$28+'[3]Go Jet'!$HW$38</f>
        <v>0</v>
      </c>
      <c r="L11" s="93">
        <f>SUM(B11:K11)</f>
        <v>126</v>
      </c>
    </row>
    <row r="12" spans="1:12" ht="15" thickBot="1" x14ac:dyDescent="0.25">
      <c r="A12" s="56" t="s">
        <v>34</v>
      </c>
      <c r="B12" s="109">
        <f>SUM(B10:B11)</f>
        <v>0</v>
      </c>
      <c r="C12" s="109">
        <f>SUM(C10:C11)</f>
        <v>0</v>
      </c>
      <c r="D12" s="109">
        <f t="shared" ref="D12:G12" si="2">SUM(D10:D11)</f>
        <v>0</v>
      </c>
      <c r="E12" s="109">
        <f t="shared" ref="E12:F12" si="3">SUM(E10:E11)</f>
        <v>0</v>
      </c>
      <c r="F12" s="109">
        <f t="shared" si="3"/>
        <v>72</v>
      </c>
      <c r="G12" s="109">
        <f t="shared" si="2"/>
        <v>188</v>
      </c>
      <c r="H12" s="109">
        <f t="shared" ref="H12:J12" si="4">SUM(H10:H11)</f>
        <v>0</v>
      </c>
      <c r="I12" s="109">
        <f t="shared" si="4"/>
        <v>0</v>
      </c>
      <c r="J12" s="109">
        <f t="shared" si="4"/>
        <v>0</v>
      </c>
      <c r="K12" s="109">
        <f t="shared" ref="K12" si="5">SUM(K10:K11)</f>
        <v>0</v>
      </c>
      <c r="L12" s="110">
        <f>SUM(B12:K12)</f>
        <v>260</v>
      </c>
    </row>
    <row r="13" spans="1:12" ht="6" customHeight="1" thickBot="1" x14ac:dyDescent="0.25"/>
    <row r="14" spans="1:12" ht="15.75" thickTop="1" x14ac:dyDescent="0.25">
      <c r="A14" s="45" t="s">
        <v>9</v>
      </c>
      <c r="B14" s="83"/>
      <c r="C14" s="83"/>
      <c r="D14" s="83"/>
      <c r="E14" s="83"/>
      <c r="F14" s="83"/>
      <c r="G14" s="83"/>
      <c r="H14" s="84"/>
      <c r="I14" s="84"/>
      <c r="J14" s="83"/>
      <c r="K14" s="83"/>
      <c r="L14" s="85"/>
    </row>
    <row r="15" spans="1:12" x14ac:dyDescent="0.2">
      <c r="A15" s="46" t="s">
        <v>53</v>
      </c>
      <c r="B15" s="86">
        <f>'[3]Shuttle America'!$HW$4</f>
        <v>0</v>
      </c>
      <c r="C15" s="86">
        <f>'[3]Shuttle America_Delta'!$HW$4</f>
        <v>0</v>
      </c>
      <c r="D15" s="364">
        <f>[3]Horizon_AS!$HW$4</f>
        <v>0</v>
      </c>
      <c r="E15" s="364">
        <f>'[3]Air Wisconsin'!$HW$4</f>
        <v>0</v>
      </c>
      <c r="F15" s="364">
        <f>[3]Jazz_AC!$HW$4+[3]Jazz_AC!$HW$15</f>
        <v>98</v>
      </c>
      <c r="G15" s="364">
        <f>[3]PSA!$HW$4</f>
        <v>57</v>
      </c>
      <c r="H15" s="87">
        <f>'[3]Atlantic Southeast'!$HW$4+'[3]Atlantic Southeast'!$HW$15</f>
        <v>0</v>
      </c>
      <c r="I15" s="87">
        <f>'[3]Continental Express'!$HW$4</f>
        <v>0</v>
      </c>
      <c r="J15" s="86">
        <f>'[3]Go Jet_UA'!$HW$4</f>
        <v>0</v>
      </c>
      <c r="K15" s="13">
        <f>'[3]Go Jet'!$HW$4+'[3]Go Jet'!$HW$15</f>
        <v>0</v>
      </c>
      <c r="L15" s="89">
        <f>SUM(B15:K15)</f>
        <v>155</v>
      </c>
    </row>
    <row r="16" spans="1:12" x14ac:dyDescent="0.2">
      <c r="A16" s="46" t="s">
        <v>54</v>
      </c>
      <c r="B16" s="90">
        <f>'[3]Shuttle America'!$HW$5</f>
        <v>0</v>
      </c>
      <c r="C16" s="90">
        <f>'[3]Shuttle America_Delta'!$HW$5</f>
        <v>0</v>
      </c>
      <c r="D16" s="365">
        <f>[3]Horizon_AS!$HW$5</f>
        <v>0</v>
      </c>
      <c r="E16" s="365">
        <f>'[3]Air Wisconsin'!$HW$5</f>
        <v>0</v>
      </c>
      <c r="F16" s="365">
        <f>[3]Jazz_AC!$HW$5+[3]Jazz_AC!$HW$16</f>
        <v>99</v>
      </c>
      <c r="G16" s="365">
        <f>[3]PSA!$HW$5</f>
        <v>57</v>
      </c>
      <c r="H16" s="91">
        <f>'[3]Atlantic Southeast'!$HW$5+'[3]Atlantic Southeast'!$HW$16</f>
        <v>0</v>
      </c>
      <c r="I16" s="91">
        <f>'[3]Continental Express'!$HW$5</f>
        <v>0</v>
      </c>
      <c r="J16" s="90">
        <f>'[3]Go Jet_UA'!$HW$5</f>
        <v>0</v>
      </c>
      <c r="K16" s="7">
        <f>'[3]Go Jet'!$HW$5+'[3]Go Jet'!$HW$16</f>
        <v>0</v>
      </c>
      <c r="L16" s="93">
        <f>SUM(B16:K16)</f>
        <v>156</v>
      </c>
    </row>
    <row r="17" spans="1:15" x14ac:dyDescent="0.2">
      <c r="A17" s="50" t="s">
        <v>55</v>
      </c>
      <c r="B17" s="94">
        <f>SUM(B15:B16)</f>
        <v>0</v>
      </c>
      <c r="C17" s="94">
        <f>SUM(C15:C16)</f>
        <v>0</v>
      </c>
      <c r="D17" s="94">
        <f t="shared" ref="D17:G17" si="6">SUM(D15:D16)</f>
        <v>0</v>
      </c>
      <c r="E17" s="94">
        <f t="shared" ref="E17:F17" si="7">SUM(E15:E16)</f>
        <v>0</v>
      </c>
      <c r="F17" s="94">
        <f t="shared" si="7"/>
        <v>197</v>
      </c>
      <c r="G17" s="94">
        <f t="shared" si="6"/>
        <v>114</v>
      </c>
      <c r="H17" s="94">
        <f t="shared" ref="H17:J17" si="8">SUM(H15:H16)</f>
        <v>0</v>
      </c>
      <c r="I17" s="94">
        <f t="shared" si="8"/>
        <v>0</v>
      </c>
      <c r="J17" s="94">
        <f t="shared" si="8"/>
        <v>0</v>
      </c>
      <c r="K17" s="224">
        <f>SUM(K15:K16)</f>
        <v>0</v>
      </c>
      <c r="L17" s="95">
        <f t="shared" ref="L17:L21" si="9">SUM(B17:K17)</f>
        <v>311</v>
      </c>
    </row>
    <row r="18" spans="1:15" x14ac:dyDescent="0.2">
      <c r="A18" s="46" t="s">
        <v>56</v>
      </c>
      <c r="B18" s="96">
        <f>'[3]Shuttle America'!$HW$8</f>
        <v>0</v>
      </c>
      <c r="C18" s="96">
        <f>'[3]Shuttle America_Delta'!$HW$8</f>
        <v>0</v>
      </c>
      <c r="D18" s="96">
        <f>[3]Horizon_AS!$HW$8</f>
        <v>0</v>
      </c>
      <c r="E18" s="96">
        <f>'[3]Air Wisconsin'!$HW$8</f>
        <v>1</v>
      </c>
      <c r="F18" s="96">
        <f>[3]Jazz_AC!$HW$8</f>
        <v>0</v>
      </c>
      <c r="G18" s="96">
        <f>[3]PSA!$HW$8</f>
        <v>0</v>
      </c>
      <c r="H18" s="88">
        <f>'[3]Atlantic Southeast'!$HW$8</f>
        <v>0</v>
      </c>
      <c r="I18" s="88">
        <f>'[3]Continental Express'!$HW$8</f>
        <v>0</v>
      </c>
      <c r="J18" s="96">
        <f>'[3]Go Jet_UA'!$HW$8</f>
        <v>0</v>
      </c>
      <c r="K18" s="13">
        <f>'[3]Go Jet'!$HW$8</f>
        <v>0</v>
      </c>
      <c r="L18" s="89">
        <f t="shared" si="9"/>
        <v>1</v>
      </c>
      <c r="O18" s="304"/>
    </row>
    <row r="19" spans="1:15" x14ac:dyDescent="0.2">
      <c r="A19" s="46" t="s">
        <v>57</v>
      </c>
      <c r="B19" s="97">
        <f>'[3]Shuttle America'!$HW$9</f>
        <v>0</v>
      </c>
      <c r="C19" s="97">
        <f>'[3]Shuttle America_Delta'!$HW$9</f>
        <v>0</v>
      </c>
      <c r="D19" s="97">
        <f>[3]Horizon_AS!$HW$9</f>
        <v>0</v>
      </c>
      <c r="E19" s="97">
        <f>'[3]Air Wisconsin'!$HW$9</f>
        <v>1</v>
      </c>
      <c r="F19" s="97">
        <f>[3]Jazz_AC!$HW$9</f>
        <v>0</v>
      </c>
      <c r="G19" s="97">
        <f>[3]PSA!$HW$9</f>
        <v>0</v>
      </c>
      <c r="H19" s="92">
        <f>'[3]Atlantic Southeast'!$HW$9</f>
        <v>0</v>
      </c>
      <c r="I19" s="92">
        <f>'[3]Continental Express'!$HW$9</f>
        <v>0</v>
      </c>
      <c r="J19" s="97">
        <f>'[3]Go Jet_UA'!$HW$9</f>
        <v>0</v>
      </c>
      <c r="K19" s="7">
        <f>'[3]Go Jet'!$HW$9</f>
        <v>0</v>
      </c>
      <c r="L19" s="93">
        <f t="shared" si="9"/>
        <v>1</v>
      </c>
    </row>
    <row r="20" spans="1:15" x14ac:dyDescent="0.2">
      <c r="A20" s="50" t="s">
        <v>58</v>
      </c>
      <c r="B20" s="94">
        <f>SUM(B18:B19)</f>
        <v>0</v>
      </c>
      <c r="C20" s="94">
        <f>SUM(C18:C19)</f>
        <v>0</v>
      </c>
      <c r="D20" s="94">
        <f t="shared" ref="D20:G20" si="10">SUM(D18:D19)</f>
        <v>0</v>
      </c>
      <c r="E20" s="94">
        <f t="shared" ref="E20:F20" si="11">SUM(E18:E19)</f>
        <v>2</v>
      </c>
      <c r="F20" s="94">
        <f t="shared" si="11"/>
        <v>0</v>
      </c>
      <c r="G20" s="94">
        <f t="shared" si="10"/>
        <v>0</v>
      </c>
      <c r="H20" s="94">
        <f t="shared" ref="H20:J20" si="12">SUM(H18:H19)</f>
        <v>0</v>
      </c>
      <c r="I20" s="94">
        <f t="shared" si="12"/>
        <v>0</v>
      </c>
      <c r="J20" s="94">
        <f t="shared" si="12"/>
        <v>0</v>
      </c>
      <c r="K20" s="224">
        <f>SUM(K18:K19)</f>
        <v>0</v>
      </c>
      <c r="L20" s="95">
        <f t="shared" si="9"/>
        <v>2</v>
      </c>
    </row>
    <row r="21" spans="1:15" ht="15.75" thickBot="1" x14ac:dyDescent="0.3">
      <c r="A21" s="54" t="s">
        <v>28</v>
      </c>
      <c r="B21" s="98">
        <f>SUM(B20,B17)</f>
        <v>0</v>
      </c>
      <c r="C21" s="98">
        <f>SUM(C20,C17)</f>
        <v>0</v>
      </c>
      <c r="D21" s="98">
        <f t="shared" ref="D21:G21" si="13">SUM(D20,D17)</f>
        <v>0</v>
      </c>
      <c r="E21" s="98">
        <f t="shared" ref="E21:F21" si="14">SUM(E20,E17)</f>
        <v>2</v>
      </c>
      <c r="F21" s="98">
        <f t="shared" si="14"/>
        <v>197</v>
      </c>
      <c r="G21" s="98">
        <f t="shared" si="13"/>
        <v>114</v>
      </c>
      <c r="H21" s="98">
        <f t="shared" ref="H21:J21" si="15">SUM(H20,H17)</f>
        <v>0</v>
      </c>
      <c r="I21" s="98">
        <f t="shared" si="15"/>
        <v>0</v>
      </c>
      <c r="J21" s="98">
        <f t="shared" si="15"/>
        <v>0</v>
      </c>
      <c r="K21" s="98">
        <f t="shared" ref="K21" si="16">SUM(K20,K17)</f>
        <v>0</v>
      </c>
      <c r="L21" s="99">
        <f t="shared" si="9"/>
        <v>313</v>
      </c>
    </row>
    <row r="22" spans="1:15" ht="3.75" customHeight="1" thickBot="1" x14ac:dyDescent="0.25"/>
    <row r="23" spans="1:15" ht="15.75" thickTop="1" x14ac:dyDescent="0.25">
      <c r="A23" s="49" t="s">
        <v>114</v>
      </c>
      <c r="B23" s="111"/>
      <c r="C23" s="111"/>
      <c r="D23" s="111"/>
      <c r="E23" s="111"/>
      <c r="F23" s="111"/>
      <c r="G23" s="111"/>
      <c r="H23" s="112"/>
      <c r="I23" s="112"/>
      <c r="J23" s="111"/>
      <c r="K23" s="111"/>
      <c r="L23" s="113"/>
    </row>
    <row r="24" spans="1:15" x14ac:dyDescent="0.2">
      <c r="A24" s="46" t="s">
        <v>36</v>
      </c>
      <c r="B24" s="96"/>
      <c r="C24" s="96"/>
      <c r="D24" s="96"/>
      <c r="E24" s="96"/>
      <c r="F24" s="96"/>
      <c r="G24" s="96"/>
      <c r="H24" s="88"/>
      <c r="I24" s="88"/>
      <c r="J24" s="96"/>
      <c r="L24" s="89"/>
    </row>
    <row r="25" spans="1:15" x14ac:dyDescent="0.2">
      <c r="A25" s="46" t="s">
        <v>37</v>
      </c>
      <c r="B25" s="96">
        <f>'[3]Shuttle America'!$HW$47</f>
        <v>0</v>
      </c>
      <c r="C25" s="96">
        <f>'[3]Shuttle America_Delta'!$HW$47</f>
        <v>0</v>
      </c>
      <c r="D25" s="96">
        <f>[3]Horizon_AS!$HW$47</f>
        <v>0</v>
      </c>
      <c r="E25" s="96">
        <f>'[3]Air Wisconsin'!$HW$47</f>
        <v>0</v>
      </c>
      <c r="F25" s="96">
        <f>[3]Jazz_AC!$HW$47</f>
        <v>566.70000000000005</v>
      </c>
      <c r="G25" s="96">
        <f>[3]PSA!$HW$47</f>
        <v>367</v>
      </c>
      <c r="H25" s="88">
        <f>'[3]Atlantic Southeast'!$HW$47</f>
        <v>0</v>
      </c>
      <c r="I25" s="88">
        <f>'[3]Continental Express'!$HW$47</f>
        <v>0</v>
      </c>
      <c r="J25" s="96">
        <f>'[3]Go Jet_UA'!$HW$47</f>
        <v>0</v>
      </c>
      <c r="K25" s="96">
        <f>'[3]Go Jet'!$HW$47</f>
        <v>0</v>
      </c>
      <c r="L25" s="89">
        <f>SUM(B25:K25)</f>
        <v>933.7</v>
      </c>
    </row>
    <row r="26" spans="1:15" x14ac:dyDescent="0.2">
      <c r="A26" s="46" t="s">
        <v>38</v>
      </c>
      <c r="B26" s="96">
        <f>'[3]Shuttle America'!$HW$48</f>
        <v>0</v>
      </c>
      <c r="C26" s="96">
        <f>'[3]Shuttle America_Delta'!$HW$48</f>
        <v>0</v>
      </c>
      <c r="D26" s="96">
        <f>[3]Horizon_AS!$HW$48</f>
        <v>0</v>
      </c>
      <c r="E26" s="96">
        <f>'[3]Air Wisconsin'!$HW$48</f>
        <v>0</v>
      </c>
      <c r="F26" s="96">
        <f>[3]Jazz_AC!$HW$48</f>
        <v>0</v>
      </c>
      <c r="G26" s="96">
        <f>[3]PSA!$HW$48</f>
        <v>0</v>
      </c>
      <c r="H26" s="88">
        <f>'[3]Atlantic Southeast'!$HW$48</f>
        <v>0</v>
      </c>
      <c r="I26" s="88">
        <f>'[3]Continental Express'!$HW$48</f>
        <v>0</v>
      </c>
      <c r="J26" s="96">
        <f>'[3]Go Jet_UA'!$HW$48</f>
        <v>0</v>
      </c>
      <c r="K26" s="96">
        <f>'[3]Go Jet'!$HW$48</f>
        <v>0</v>
      </c>
      <c r="L26" s="89">
        <f>SUM(B26:K26)</f>
        <v>0</v>
      </c>
    </row>
    <row r="27" spans="1:15" ht="15" thickBot="1" x14ac:dyDescent="0.25">
      <c r="A27" s="55" t="s">
        <v>39</v>
      </c>
      <c r="B27" s="106">
        <f>SUM(B25:B26)</f>
        <v>0</v>
      </c>
      <c r="C27" s="106">
        <f>SUM(C25:C26)</f>
        <v>0</v>
      </c>
      <c r="D27" s="106">
        <f t="shared" ref="D27:G27" si="17">SUM(D25:D26)</f>
        <v>0</v>
      </c>
      <c r="E27" s="106">
        <f t="shared" ref="E27:F27" si="18">SUM(E25:E26)</f>
        <v>0</v>
      </c>
      <c r="F27" s="106">
        <f t="shared" si="18"/>
        <v>566.70000000000005</v>
      </c>
      <c r="G27" s="106">
        <f t="shared" si="17"/>
        <v>367</v>
      </c>
      <c r="H27" s="106">
        <f t="shared" ref="H27:J27" si="19">SUM(H25:H26)</f>
        <v>0</v>
      </c>
      <c r="I27" s="106">
        <f t="shared" si="19"/>
        <v>0</v>
      </c>
      <c r="J27" s="106">
        <f t="shared" si="19"/>
        <v>0</v>
      </c>
      <c r="K27" s="106">
        <f>SUM(K25:K26)</f>
        <v>0</v>
      </c>
      <c r="L27" s="107">
        <f>SUM(B27:K27)</f>
        <v>933.7</v>
      </c>
    </row>
    <row r="28" spans="1:15" ht="7.5" customHeight="1" thickTop="1" x14ac:dyDescent="0.2">
      <c r="A28" s="46"/>
      <c r="B28" s="96"/>
      <c r="C28" s="96"/>
      <c r="D28" s="96"/>
      <c r="E28" s="96"/>
      <c r="F28" s="96"/>
      <c r="G28" s="96"/>
      <c r="H28" s="88"/>
      <c r="I28" s="88"/>
      <c r="J28" s="96"/>
      <c r="K28" s="96"/>
      <c r="L28" s="89"/>
    </row>
    <row r="29" spans="1:15" x14ac:dyDescent="0.2">
      <c r="A29" s="46" t="s">
        <v>40</v>
      </c>
      <c r="B29" s="96"/>
      <c r="C29" s="96"/>
      <c r="D29" s="96"/>
      <c r="E29" s="96"/>
      <c r="F29" s="96"/>
      <c r="G29" s="96"/>
      <c r="H29" s="88"/>
      <c r="I29" s="88"/>
      <c r="J29" s="96"/>
      <c r="K29" s="96"/>
      <c r="L29" s="89"/>
    </row>
    <row r="30" spans="1:15" x14ac:dyDescent="0.2">
      <c r="A30" s="46" t="s">
        <v>59</v>
      </c>
      <c r="B30" s="96">
        <f>'[3]Shuttle America'!$HW$52</f>
        <v>0</v>
      </c>
      <c r="C30" s="96">
        <f>'[3]Shuttle America_Delta'!$HW$52</f>
        <v>0</v>
      </c>
      <c r="D30" s="96">
        <f>[3]Horizon_AS!$HW$52</f>
        <v>0</v>
      </c>
      <c r="E30" s="96">
        <f>'[3]Air Wisconsin'!$HW$52</f>
        <v>0</v>
      </c>
      <c r="F30" s="96">
        <f>[3]Jazz_AC!$HW$52</f>
        <v>564.4</v>
      </c>
      <c r="G30" s="96">
        <f>[3]PSA!$HW$52</f>
        <v>17</v>
      </c>
      <c r="H30" s="88">
        <f>'[3]Atlantic Southeast'!$HW$52</f>
        <v>0</v>
      </c>
      <c r="I30" s="88">
        <f>'[3]Continental Express'!$HW$52</f>
        <v>0</v>
      </c>
      <c r="J30" s="96">
        <f>'[3]Go Jet_UA'!$HW$52</f>
        <v>0</v>
      </c>
      <c r="K30" s="96">
        <f>'[3]Go Jet'!$HW$52</f>
        <v>0</v>
      </c>
      <c r="L30" s="89">
        <f>SUM(B30:K30)</f>
        <v>581.4</v>
      </c>
    </row>
    <row r="31" spans="1:15" x14ac:dyDescent="0.2">
      <c r="A31" s="46" t="s">
        <v>60</v>
      </c>
      <c r="B31" s="96">
        <f>'[3]Shuttle America'!$HW$53</f>
        <v>0</v>
      </c>
      <c r="C31" s="96">
        <f>'[3]Shuttle America_Delta'!$HW$53</f>
        <v>0</v>
      </c>
      <c r="D31" s="96">
        <f>[3]Horizon_AS!$HW$53</f>
        <v>0</v>
      </c>
      <c r="E31" s="96">
        <f>'[3]Air Wisconsin'!$HW$53</f>
        <v>0</v>
      </c>
      <c r="F31" s="96">
        <f>[3]Jazz_AC!$HW$53</f>
        <v>0</v>
      </c>
      <c r="G31" s="96">
        <f>[3]PSA!$HW$53</f>
        <v>0</v>
      </c>
      <c r="H31" s="88">
        <f>'[3]Atlantic Southeast'!$HW$53</f>
        <v>0</v>
      </c>
      <c r="I31" s="88">
        <f>'[3]Continental Express'!$HW$53</f>
        <v>0</v>
      </c>
      <c r="J31" s="96">
        <f>'[3]Go Jet_UA'!$HW$53</f>
        <v>0</v>
      </c>
      <c r="K31" s="96">
        <f>'[3]Go Jet'!$HW$53</f>
        <v>0</v>
      </c>
      <c r="L31" s="89">
        <f>SUM(B31:K31)</f>
        <v>0</v>
      </c>
    </row>
    <row r="32" spans="1:15" ht="15" thickBot="1" x14ac:dyDescent="0.25">
      <c r="A32" s="55" t="s">
        <v>41</v>
      </c>
      <c r="B32" s="106">
        <f t="shared" ref="B32:J32" si="20">SUM(B30:B31)</f>
        <v>0</v>
      </c>
      <c r="C32" s="106">
        <f t="shared" si="20"/>
        <v>0</v>
      </c>
      <c r="D32" s="106">
        <f t="shared" ref="D32:F32" si="21">SUM(D30:D31)</f>
        <v>0</v>
      </c>
      <c r="E32" s="106">
        <f t="shared" si="21"/>
        <v>0</v>
      </c>
      <c r="F32" s="106">
        <f t="shared" si="21"/>
        <v>564.4</v>
      </c>
      <c r="G32" s="106">
        <f t="shared" si="20"/>
        <v>17</v>
      </c>
      <c r="H32" s="106">
        <f t="shared" si="20"/>
        <v>0</v>
      </c>
      <c r="I32" s="106">
        <f t="shared" si="20"/>
        <v>0</v>
      </c>
      <c r="J32" s="106">
        <f t="shared" si="20"/>
        <v>0</v>
      </c>
      <c r="K32" s="106">
        <f t="shared" ref="K32" si="22">SUM(K30:K31)</f>
        <v>0</v>
      </c>
      <c r="L32" s="107">
        <f>SUM(B32:K32)</f>
        <v>581.4</v>
      </c>
    </row>
    <row r="33" spans="1:12" ht="13.5" hidden="1" thickTop="1" x14ac:dyDescent="0.2">
      <c r="A33" s="46"/>
      <c r="B33" s="96"/>
      <c r="C33" s="96"/>
      <c r="D33" s="96"/>
      <c r="E33" s="96"/>
      <c r="F33" s="96"/>
      <c r="G33" s="96"/>
      <c r="H33" s="88"/>
      <c r="I33" s="88"/>
      <c r="J33" s="96"/>
      <c r="K33" s="96"/>
      <c r="L33" s="89"/>
    </row>
    <row r="34" spans="1:12" ht="13.5" hidden="1" thickTop="1" x14ac:dyDescent="0.2">
      <c r="A34" s="46" t="s">
        <v>42</v>
      </c>
      <c r="B34" s="96"/>
      <c r="C34" s="96"/>
      <c r="D34" s="96"/>
      <c r="E34" s="96"/>
      <c r="F34" s="96"/>
      <c r="G34" s="96"/>
      <c r="H34" s="88"/>
      <c r="I34" s="88"/>
      <c r="J34" s="96"/>
      <c r="K34" s="96"/>
      <c r="L34" s="89"/>
    </row>
    <row r="35" spans="1:12" ht="13.5" hidden="1" thickTop="1" x14ac:dyDescent="0.2">
      <c r="A35" s="46" t="s">
        <v>37</v>
      </c>
      <c r="B35" s="96">
        <f>'[3]Shuttle America'!$HW$57</f>
        <v>0</v>
      </c>
      <c r="C35" s="96">
        <f>'[3]Shuttle America_Delta'!$HW$57</f>
        <v>0</v>
      </c>
      <c r="D35" s="96">
        <f>[3]Horizon_AS!$HW$57</f>
        <v>0</v>
      </c>
      <c r="E35" s="96">
        <f>'[3]Air Wisconsin'!$HW$57</f>
        <v>0</v>
      </c>
      <c r="F35" s="96">
        <f>[3]Jazz_AC!$HW$57</f>
        <v>0</v>
      </c>
      <c r="G35" s="96">
        <f>[3]PSA!$HW$57</f>
        <v>0</v>
      </c>
      <c r="H35" s="88">
        <f>'[3]Atlantic Southeast'!$HW$57</f>
        <v>0</v>
      </c>
      <c r="I35" s="88">
        <f>'[3]Continental Express'!$HW$57</f>
        <v>0</v>
      </c>
      <c r="J35" s="96">
        <f>'[3]Go Jet_UA'!$AJ$57</f>
        <v>0</v>
      </c>
      <c r="K35" s="96">
        <f>'[3]Go Jet'!$HW$57</f>
        <v>0</v>
      </c>
      <c r="L35" s="89">
        <f>SUM(B35:K35)</f>
        <v>0</v>
      </c>
    </row>
    <row r="36" spans="1:12" ht="13.5" hidden="1" thickTop="1" x14ac:dyDescent="0.2">
      <c r="A36" s="46" t="s">
        <v>38</v>
      </c>
      <c r="B36" s="96">
        <f>'[3]Shuttle America'!BG$58</f>
        <v>0</v>
      </c>
      <c r="C36" s="96">
        <f>'[3]Shuttle America_Delta'!BH$58</f>
        <v>0</v>
      </c>
      <c r="D36" s="96">
        <f>[3]Horizon_AS!BF$58</f>
        <v>0</v>
      </c>
      <c r="E36" s="96">
        <f>'[3]Air Wisconsin'!BG$58</f>
        <v>0</v>
      </c>
      <c r="F36" s="96">
        <f>[3]Jazz_AC!BF$58</f>
        <v>0</v>
      </c>
      <c r="G36" s="96">
        <f>[3]PSA!BG$58</f>
        <v>0</v>
      </c>
      <c r="H36" s="88">
        <f>'[3]Atlantic Southeast'!BG$58</f>
        <v>0</v>
      </c>
      <c r="I36" s="88">
        <f>'[3]Continental Express'!BG$58</f>
        <v>0</v>
      </c>
      <c r="J36" s="96">
        <f>'[3]Go Jet_UA'!$AJ$58</f>
        <v>0</v>
      </c>
      <c r="K36" s="96">
        <f>'[3]Go Jet'!BK$58</f>
        <v>0</v>
      </c>
      <c r="L36" s="89">
        <f>SUM(B36:K36)</f>
        <v>0</v>
      </c>
    </row>
    <row r="37" spans="1:12" ht="13.5" hidden="1" thickTop="1" x14ac:dyDescent="0.2">
      <c r="A37" s="57" t="s">
        <v>43</v>
      </c>
      <c r="B37" s="114">
        <f>SUM(B35:B36)</f>
        <v>0</v>
      </c>
      <c r="C37" s="114">
        <f>SUM(C35:C36)</f>
        <v>0</v>
      </c>
      <c r="D37" s="114">
        <f t="shared" ref="D37:G37" si="23">SUM(D35:D36)</f>
        <v>0</v>
      </c>
      <c r="E37" s="114">
        <f t="shared" ref="E37:F37" si="24">SUM(E35:E36)</f>
        <v>0</v>
      </c>
      <c r="F37" s="114">
        <f t="shared" si="24"/>
        <v>0</v>
      </c>
      <c r="G37" s="114">
        <f t="shared" si="23"/>
        <v>0</v>
      </c>
      <c r="H37" s="115">
        <f t="shared" ref="H37:J37" si="25">SUM(H35:H36)</f>
        <v>0</v>
      </c>
      <c r="I37" s="115">
        <f t="shared" si="25"/>
        <v>0</v>
      </c>
      <c r="J37" s="114">
        <f t="shared" si="25"/>
        <v>0</v>
      </c>
      <c r="K37" s="114">
        <f>SUM(K35:K36)</f>
        <v>0</v>
      </c>
      <c r="L37" s="116">
        <f>SUM(B37:K37)</f>
        <v>0</v>
      </c>
    </row>
    <row r="38" spans="1:12" ht="6.75" customHeight="1" thickTop="1" x14ac:dyDescent="0.2">
      <c r="A38" s="46"/>
      <c r="B38" s="96"/>
      <c r="C38" s="96"/>
      <c r="D38" s="96"/>
      <c r="E38" s="96"/>
      <c r="F38" s="96"/>
      <c r="G38" s="96"/>
      <c r="H38" s="88"/>
      <c r="I38" s="88"/>
      <c r="J38" s="96"/>
      <c r="K38" s="96"/>
      <c r="L38" s="89"/>
    </row>
    <row r="39" spans="1:12" x14ac:dyDescent="0.2">
      <c r="A39" s="46" t="s">
        <v>44</v>
      </c>
      <c r="B39" s="96"/>
      <c r="C39" s="96"/>
      <c r="D39" s="96"/>
      <c r="E39" s="96"/>
      <c r="F39" s="96"/>
      <c r="G39" s="96"/>
      <c r="H39" s="88"/>
      <c r="I39" s="88"/>
      <c r="J39" s="96"/>
      <c r="K39" s="96"/>
      <c r="L39" s="89"/>
    </row>
    <row r="40" spans="1:12" x14ac:dyDescent="0.2">
      <c r="A40" s="46" t="s">
        <v>45</v>
      </c>
      <c r="B40" s="96">
        <f t="shared" ref="B40:I40" si="26">SUM(B35,B30,B25)</f>
        <v>0</v>
      </c>
      <c r="C40" s="96">
        <f>SUM(C35,C30,C25)</f>
        <v>0</v>
      </c>
      <c r="D40" s="96">
        <f t="shared" ref="D40:G41" si="27">SUM(D35,D30,D25)</f>
        <v>0</v>
      </c>
      <c r="E40" s="96">
        <f t="shared" ref="E40:F40" si="28">SUM(E35,E30,E25)</f>
        <v>0</v>
      </c>
      <c r="F40" s="96">
        <f t="shared" si="28"/>
        <v>1131.0999999999999</v>
      </c>
      <c r="G40" s="96">
        <f t="shared" si="27"/>
        <v>384</v>
      </c>
      <c r="H40" s="96">
        <f t="shared" si="26"/>
        <v>0</v>
      </c>
      <c r="I40" s="96">
        <f t="shared" si="26"/>
        <v>0</v>
      </c>
      <c r="J40" s="96">
        <f>SUM(J35,J30,J25)</f>
        <v>0</v>
      </c>
      <c r="K40" s="96">
        <f t="shared" ref="K40" si="29">SUM(K35,K30,K25)</f>
        <v>0</v>
      </c>
      <c r="L40" s="89">
        <f>SUM(B40:K40)</f>
        <v>1515.1</v>
      </c>
    </row>
    <row r="41" spans="1:12" x14ac:dyDescent="0.2">
      <c r="A41" s="46" t="s">
        <v>38</v>
      </c>
      <c r="B41" s="96">
        <f>SUM(B36,B31,B26)</f>
        <v>0</v>
      </c>
      <c r="C41" s="96">
        <f>SUM(C36,C31,C26)</f>
        <v>0</v>
      </c>
      <c r="D41" s="96">
        <f t="shared" si="27"/>
        <v>0</v>
      </c>
      <c r="E41" s="96">
        <f t="shared" ref="E41:F41" si="30">SUM(E36,E31,E26)</f>
        <v>0</v>
      </c>
      <c r="F41" s="96">
        <f t="shared" si="30"/>
        <v>0</v>
      </c>
      <c r="G41" s="96">
        <f t="shared" si="27"/>
        <v>0</v>
      </c>
      <c r="H41" s="96">
        <f t="shared" ref="H41:I41" si="31">SUM(H36,H31,H26)</f>
        <v>0</v>
      </c>
      <c r="I41" s="96">
        <f t="shared" si="31"/>
        <v>0</v>
      </c>
      <c r="J41" s="96">
        <f>SUM(J36,J31,J26)</f>
        <v>0</v>
      </c>
      <c r="K41" s="96">
        <f t="shared" ref="K41" si="32">SUM(K36,K31,K26)</f>
        <v>0</v>
      </c>
      <c r="L41" s="89">
        <f>SUM(B41:K41)</f>
        <v>0</v>
      </c>
    </row>
    <row r="42" spans="1:12" ht="15" thickBot="1" x14ac:dyDescent="0.25">
      <c r="A42" s="56" t="s">
        <v>46</v>
      </c>
      <c r="B42" s="109">
        <f>SUM(B40:B41)</f>
        <v>0</v>
      </c>
      <c r="C42" s="109">
        <f>SUM(C40:C41)</f>
        <v>0</v>
      </c>
      <c r="D42" s="109">
        <f t="shared" ref="D42:G42" si="33">SUM(D40:D41)</f>
        <v>0</v>
      </c>
      <c r="E42" s="109">
        <f t="shared" ref="E42:F42" si="34">SUM(E40:E41)</f>
        <v>0</v>
      </c>
      <c r="F42" s="109">
        <f t="shared" si="34"/>
        <v>1131.0999999999999</v>
      </c>
      <c r="G42" s="109">
        <f t="shared" si="33"/>
        <v>384</v>
      </c>
      <c r="H42" s="109">
        <f t="shared" ref="H42:J42" si="35">SUM(H40:H41)</f>
        <v>0</v>
      </c>
      <c r="I42" s="109">
        <f t="shared" si="35"/>
        <v>0</v>
      </c>
      <c r="J42" s="109">
        <f t="shared" si="35"/>
        <v>0</v>
      </c>
      <c r="K42" s="109">
        <f t="shared" ref="K42" si="36">SUM(K40:K41)</f>
        <v>0</v>
      </c>
      <c r="L42" s="110">
        <f>SUM(B42:K42)</f>
        <v>1515.1</v>
      </c>
    </row>
    <row r="43" spans="1:12" ht="4.5" customHeight="1" x14ac:dyDescent="0.2"/>
    <row r="44" spans="1:12" hidden="1" x14ac:dyDescent="0.2">
      <c r="A44" s="257" t="s">
        <v>124</v>
      </c>
      <c r="H44" s="243"/>
      <c r="K44" s="256">
        <f>'[3]Go Jet'!BK$70+'[3]Go Jet'!BK$73</f>
        <v>0</v>
      </c>
      <c r="L44" s="245" t="e">
        <f>SUM(#REF!)</f>
        <v>#REF!</v>
      </c>
    </row>
    <row r="45" spans="1:12" hidden="1" x14ac:dyDescent="0.2">
      <c r="A45" s="257" t="s">
        <v>125</v>
      </c>
      <c r="H45" s="260"/>
      <c r="K45" s="256">
        <f>'[3]Go Jet'!BK$71+'[3]Go Jet'!BK$74</f>
        <v>0</v>
      </c>
      <c r="L45" s="245" t="e">
        <f>SUM(#REF!)</f>
        <v>#REF!</v>
      </c>
    </row>
    <row r="46" spans="1:12" x14ac:dyDescent="0.2">
      <c r="A46" s="301" t="s">
        <v>121</v>
      </c>
      <c r="C46" s="256">
        <f>'[3]Shuttle America_Delta'!$HW$70+'[3]Shuttle America_Delta'!$HW$73</f>
        <v>0</v>
      </c>
      <c r="D46" s="2"/>
      <c r="E46" s="2"/>
      <c r="H46" s="256">
        <f>'[3]Atlantic Southeast'!$HW$70+'[3]Atlantic Southeast'!$HW$73</f>
        <v>0</v>
      </c>
      <c r="K46" s="256">
        <f>'[3]Go Jet'!$HW$70+'[3]Go Jet'!$HW$73</f>
        <v>0</v>
      </c>
      <c r="L46" s="313">
        <f>SUM(B46:K46)</f>
        <v>0</v>
      </c>
    </row>
    <row r="47" spans="1:12" x14ac:dyDescent="0.2">
      <c r="A47" s="314" t="s">
        <v>122</v>
      </c>
      <c r="C47" s="256">
        <f>'[3]Shuttle America_Delta'!$HW$71+'[3]Shuttle America_Delta'!$HW$74</f>
        <v>0</v>
      </c>
      <c r="D47" s="2"/>
      <c r="E47" s="2"/>
      <c r="H47" s="256">
        <f>'[3]Atlantic Southeast'!$HW$71+'[3]Atlantic Southeast'!$HW$74</f>
        <v>0</v>
      </c>
      <c r="K47" s="256">
        <f>'[3]Go Jet'!$HW$71+'[3]Go Jet'!$HW$74</f>
        <v>0</v>
      </c>
      <c r="L47" s="313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June 2022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L26" sqref="L2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42">
        <v>44713</v>
      </c>
      <c r="B2" s="148" t="s">
        <v>116</v>
      </c>
      <c r="C2" s="148" t="s">
        <v>152</v>
      </c>
      <c r="D2" s="82" t="s">
        <v>77</v>
      </c>
      <c r="E2" s="82" t="s">
        <v>153</v>
      </c>
      <c r="F2" s="148" t="s">
        <v>130</v>
      </c>
      <c r="G2" s="145" t="s">
        <v>78</v>
      </c>
    </row>
    <row r="3" spans="1:17" x14ac:dyDescent="0.2">
      <c r="A3" s="216" t="s">
        <v>3</v>
      </c>
      <c r="B3" s="154"/>
      <c r="C3" s="153"/>
      <c r="D3" s="153"/>
      <c r="E3" s="153"/>
      <c r="F3" s="153"/>
      <c r="G3" s="208"/>
    </row>
    <row r="4" spans="1:17" x14ac:dyDescent="0.2">
      <c r="A4" s="46" t="s">
        <v>29</v>
      </c>
      <c r="B4" s="338"/>
      <c r="C4" s="152"/>
      <c r="D4" s="152"/>
      <c r="E4" s="152"/>
      <c r="F4" s="152"/>
      <c r="G4" s="194"/>
    </row>
    <row r="5" spans="1:17" x14ac:dyDescent="0.2">
      <c r="A5" s="46" t="s">
        <v>30</v>
      </c>
      <c r="B5" s="338">
        <f>'[3]Charter Misc'!$HW$22</f>
        <v>0</v>
      </c>
      <c r="C5" s="152">
        <f>[3]Ryan!$HW$22</f>
        <v>0</v>
      </c>
      <c r="D5" s="152">
        <f>'[3]Charter Misc'!$HW$32</f>
        <v>0</v>
      </c>
      <c r="E5" s="152">
        <f>[3]Omni!$HW$32+[3]Omni!$HW$22</f>
        <v>0</v>
      </c>
      <c r="F5" s="152">
        <f>[3]Xtra!$HW$32+[3]Xtra!$HW$22</f>
        <v>0</v>
      </c>
      <c r="G5" s="273">
        <f>SUM(B5:F5)</f>
        <v>0</v>
      </c>
    </row>
    <row r="6" spans="1:17" x14ac:dyDescent="0.2">
      <c r="A6" s="46" t="s">
        <v>31</v>
      </c>
      <c r="B6" s="339">
        <f>'[3]Charter Misc'!$HW$23</f>
        <v>0</v>
      </c>
      <c r="C6" s="155">
        <f>[3]Ryan!$HW$23</f>
        <v>0</v>
      </c>
      <c r="D6" s="155">
        <f>'[3]Charter Misc'!$HW$33</f>
        <v>0</v>
      </c>
      <c r="E6" s="155">
        <f>[3]Omni!$HW$33+[3]Omni!$HW$23</f>
        <v>0</v>
      </c>
      <c r="F6" s="155">
        <f>[3]Xtra!$HW$33+[3]Xtra!$HW$23</f>
        <v>0</v>
      </c>
      <c r="G6" s="272">
        <f>SUM(B6:F6)</f>
        <v>0</v>
      </c>
    </row>
    <row r="7" spans="1:17" ht="15.75" thickBot="1" x14ac:dyDescent="0.3">
      <c r="A7" s="151" t="s">
        <v>7</v>
      </c>
      <c r="B7" s="340">
        <f>SUM(B5:B6)</f>
        <v>0</v>
      </c>
      <c r="C7" s="233">
        <f>SUM(C5:C6)</f>
        <v>0</v>
      </c>
      <c r="D7" s="233">
        <f>SUM(D5:D6)</f>
        <v>0</v>
      </c>
      <c r="E7" s="233">
        <f>SUM(E5:E6)</f>
        <v>0</v>
      </c>
      <c r="F7" s="233">
        <f>SUM(F5:F6)</f>
        <v>0</v>
      </c>
      <c r="G7" s="234">
        <f>SUM(B7:F7)</f>
        <v>0</v>
      </c>
    </row>
    <row r="8" spans="1:17" ht="13.5" thickBot="1" x14ac:dyDescent="0.25"/>
    <row r="9" spans="1:17" x14ac:dyDescent="0.2">
      <c r="A9" s="149" t="s">
        <v>9</v>
      </c>
      <c r="B9" s="341"/>
      <c r="C9" s="30"/>
      <c r="D9" s="30"/>
      <c r="E9" s="30"/>
      <c r="F9" s="30"/>
      <c r="G9" s="41"/>
    </row>
    <row r="10" spans="1:17" x14ac:dyDescent="0.2">
      <c r="A10" s="150" t="s">
        <v>79</v>
      </c>
      <c r="B10" s="338">
        <f>'[3]Charter Misc'!$HW$4</f>
        <v>0</v>
      </c>
      <c r="C10" s="152">
        <f>[3]Ryan!$HW$4</f>
        <v>0</v>
      </c>
      <c r="D10" s="152">
        <f>'[3]Charter Misc'!$HW$15</f>
        <v>0</v>
      </c>
      <c r="E10" s="152">
        <f>[3]Omni!$HW$15</f>
        <v>0</v>
      </c>
      <c r="F10" s="152">
        <f>[3]Xtra!$HW$15+[3]Xtra!$HW$4</f>
        <v>0</v>
      </c>
      <c r="G10" s="272">
        <f>SUM(B10:F10)</f>
        <v>0</v>
      </c>
    </row>
    <row r="11" spans="1:17" x14ac:dyDescent="0.2">
      <c r="A11" s="150" t="s">
        <v>80</v>
      </c>
      <c r="B11" s="338">
        <f>'[3]Charter Misc'!$HW$5</f>
        <v>0</v>
      </c>
      <c r="C11" s="152">
        <f>[3]Ryan!$HW$5</f>
        <v>0</v>
      </c>
      <c r="D11" s="152">
        <f>'[3]Charter Misc'!$HW$16</f>
        <v>0</v>
      </c>
      <c r="E11" s="152">
        <f>[3]Omni!$HW$16+[3]Omni!$HW$5</f>
        <v>0</v>
      </c>
      <c r="F11" s="152">
        <f>[3]Xtra!$HW$16+[3]Xtra!$HW$5</f>
        <v>0</v>
      </c>
      <c r="G11" s="272">
        <f>SUM(B11:F11)</f>
        <v>0</v>
      </c>
    </row>
    <row r="12" spans="1:17" ht="15.75" thickBot="1" x14ac:dyDescent="0.3">
      <c r="A12" s="215" t="s">
        <v>28</v>
      </c>
      <c r="B12" s="342">
        <f>SUM(B10:B11)</f>
        <v>0</v>
      </c>
      <c r="C12" s="235">
        <f>SUM(C10:C11)</f>
        <v>0</v>
      </c>
      <c r="D12" s="235">
        <f>SUM(D10:D11)</f>
        <v>0</v>
      </c>
      <c r="E12" s="235">
        <f>SUM(E10:E11)</f>
        <v>0</v>
      </c>
      <c r="F12" s="235">
        <f>SUM(F10:F11)</f>
        <v>0</v>
      </c>
      <c r="G12" s="236">
        <f>SUM(B12:F12)</f>
        <v>0</v>
      </c>
      <c r="Q12" s="96"/>
    </row>
    <row r="17" spans="1:16" x14ac:dyDescent="0.2">
      <c r="B17" s="461" t="s">
        <v>150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3"/>
    </row>
    <row r="18" spans="1:16" ht="13.5" thickBot="1" x14ac:dyDescent="0.25">
      <c r="A18" s="251"/>
      <c r="E18" s="170"/>
      <c r="G18" s="170"/>
      <c r="H18" s="170"/>
      <c r="L18" s="174"/>
      <c r="N18" s="4"/>
    </row>
    <row r="19" spans="1:16" ht="13.5" customHeight="1" thickBot="1" x14ac:dyDescent="0.25">
      <c r="A19" s="328"/>
      <c r="B19" s="464" t="s">
        <v>118</v>
      </c>
      <c r="C19" s="465"/>
      <c r="D19" s="465"/>
      <c r="E19" s="466"/>
      <c r="G19" s="464" t="s">
        <v>119</v>
      </c>
      <c r="H19" s="467"/>
      <c r="I19" s="467"/>
      <c r="J19" s="468"/>
      <c r="L19" s="469" t="s">
        <v>120</v>
      </c>
      <c r="M19" s="470"/>
      <c r="N19" s="470"/>
      <c r="O19" s="471"/>
    </row>
    <row r="20" spans="1:16" ht="13.5" thickBot="1" x14ac:dyDescent="0.25">
      <c r="A20" s="177" t="s">
        <v>99</v>
      </c>
      <c r="B20" s="182" t="s">
        <v>100</v>
      </c>
      <c r="C20" s="439" t="s">
        <v>101</v>
      </c>
      <c r="D20" s="439" t="s">
        <v>241</v>
      </c>
      <c r="E20" s="436" t="s">
        <v>221</v>
      </c>
      <c r="F20" s="183" t="s">
        <v>96</v>
      </c>
      <c r="G20" s="5" t="s">
        <v>100</v>
      </c>
      <c r="H20" s="5" t="s">
        <v>101</v>
      </c>
      <c r="I20" s="5" t="s">
        <v>241</v>
      </c>
      <c r="J20" s="5" t="s">
        <v>221</v>
      </c>
      <c r="K20" s="183" t="s">
        <v>96</v>
      </c>
      <c r="L20" s="182" t="s">
        <v>100</v>
      </c>
      <c r="M20" s="176" t="s">
        <v>101</v>
      </c>
      <c r="N20" s="5" t="s">
        <v>241</v>
      </c>
      <c r="O20" s="5" t="s">
        <v>221</v>
      </c>
      <c r="P20" s="183" t="s">
        <v>96</v>
      </c>
    </row>
    <row r="21" spans="1:16" ht="14.1" customHeight="1" x14ac:dyDescent="0.2">
      <c r="A21" s="186" t="s">
        <v>102</v>
      </c>
      <c r="B21" s="438">
        <f>+[4]Charter!B21</f>
        <v>79230</v>
      </c>
      <c r="C21" s="437">
        <f>+[4]Charter!C21</f>
        <v>75084</v>
      </c>
      <c r="D21" s="437">
        <f>SUM(B21:C21)</f>
        <v>154314</v>
      </c>
      <c r="E21" s="269">
        <f>[5]Charter!$D$21</f>
        <v>56397</v>
      </c>
      <c r="F21" s="271">
        <f t="shared" ref="F21:F32" si="0">(D21-E21)/E21</f>
        <v>1.7362093728389807</v>
      </c>
      <c r="G21" s="266">
        <f>+[4]Charter!G21</f>
        <v>914675</v>
      </c>
      <c r="H21" s="267">
        <f>+[4]Charter!H21</f>
        <v>927833</v>
      </c>
      <c r="I21" s="449">
        <f t="shared" ref="I21" si="1">SUM(G21:H21)</f>
        <v>1842508</v>
      </c>
      <c r="J21" s="268">
        <f>[5]Charter!$I$21</f>
        <v>1054440</v>
      </c>
      <c r="K21" s="187">
        <f t="shared" ref="K21:K32" si="2">(I21-J21)/J21</f>
        <v>0.74738060012897845</v>
      </c>
      <c r="L21" s="266">
        <f>+[4]Charter!L21</f>
        <v>993905</v>
      </c>
      <c r="M21" s="267">
        <f>+[4]Charter!M21</f>
        <v>1002917</v>
      </c>
      <c r="N21" s="449">
        <f t="shared" ref="N21:N26" si="3">SUM(L21:M21)</f>
        <v>1996822</v>
      </c>
      <c r="O21" s="450">
        <f>[5]Charter!$N$21</f>
        <v>1110837</v>
      </c>
      <c r="P21" s="187">
        <f>(N21-O21)/O21</f>
        <v>0.79758326379117728</v>
      </c>
    </row>
    <row r="22" spans="1:16" ht="14.1" customHeight="1" x14ac:dyDescent="0.2">
      <c r="A22" s="188" t="s">
        <v>103</v>
      </c>
      <c r="B22" s="438">
        <f>+[6]Charter!B22</f>
        <v>81540</v>
      </c>
      <c r="C22" s="437">
        <f>+[6]Charter!C22</f>
        <v>88358</v>
      </c>
      <c r="D22" s="437">
        <f t="shared" ref="D22" si="4">SUM(B22:C22)</f>
        <v>169898</v>
      </c>
      <c r="E22" s="270">
        <f>[7]Charter!D22</f>
        <v>46280</v>
      </c>
      <c r="F22" s="265">
        <f t="shared" si="0"/>
        <v>2.6710890233362146</v>
      </c>
      <c r="G22" s="438">
        <f t="shared" ref="G22" si="5">L22-B22</f>
        <v>947971</v>
      </c>
      <c r="H22" s="437">
        <f t="shared" ref="H22" si="6">M22-C22</f>
        <v>977482</v>
      </c>
      <c r="I22" s="437">
        <f t="shared" ref="I22" si="7">SUM(G22:H22)</f>
        <v>1925453</v>
      </c>
      <c r="J22" s="270">
        <f>[7]Charter!I22</f>
        <v>1076686</v>
      </c>
      <c r="K22" s="190">
        <f t="shared" si="2"/>
        <v>0.78831432748266439</v>
      </c>
      <c r="L22" s="438">
        <f>+[6]Charter!L22</f>
        <v>1029511</v>
      </c>
      <c r="M22" s="437">
        <f>+[6]Charter!M22</f>
        <v>1065840</v>
      </c>
      <c r="N22" s="437">
        <f t="shared" si="3"/>
        <v>2095351</v>
      </c>
      <c r="O22" s="270">
        <f>[7]Charter!N22</f>
        <v>1122966</v>
      </c>
      <c r="P22" s="189">
        <f t="shared" ref="P22:P32" si="8">(N22-O22)/O22</f>
        <v>0.86590778349478081</v>
      </c>
    </row>
    <row r="23" spans="1:16" ht="14.1" customHeight="1" x14ac:dyDescent="0.2">
      <c r="A23" s="188" t="s">
        <v>104</v>
      </c>
      <c r="B23" s="438">
        <f>+[8]Charter!B23</f>
        <v>123497</v>
      </c>
      <c r="C23" s="437">
        <f>+[8]Charter!C23</f>
        <v>125169</v>
      </c>
      <c r="D23" s="437">
        <f t="shared" ref="D23" si="9">SUM(B23:C23)</f>
        <v>248666</v>
      </c>
      <c r="E23" s="270">
        <f>[9]Charter!D23</f>
        <v>78196</v>
      </c>
      <c r="F23" s="189">
        <f t="shared" si="0"/>
        <v>2.1800347843879484</v>
      </c>
      <c r="G23" s="438">
        <f t="shared" ref="G23" si="10">L23-B23</f>
        <v>1278578</v>
      </c>
      <c r="H23" s="437">
        <f t="shared" ref="H23" si="11">M23-C23</f>
        <v>1301724</v>
      </c>
      <c r="I23" s="437">
        <f t="shared" ref="I23" si="12">SUM(G23:H23)</f>
        <v>2580302</v>
      </c>
      <c r="J23" s="270">
        <f>[9]Charter!I23</f>
        <v>1642699</v>
      </c>
      <c r="K23" s="190">
        <f t="shared" si="2"/>
        <v>0.57076981236367708</v>
      </c>
      <c r="L23" s="438">
        <f>+[8]Charter!L23</f>
        <v>1402075</v>
      </c>
      <c r="M23" s="437">
        <f>+[8]Charter!M23</f>
        <v>1426893</v>
      </c>
      <c r="N23" s="437">
        <f t="shared" si="3"/>
        <v>2828968</v>
      </c>
      <c r="O23" s="270">
        <f>[9]Charter!N23</f>
        <v>1720895</v>
      </c>
      <c r="P23" s="189">
        <f t="shared" si="8"/>
        <v>0.64389343916973441</v>
      </c>
    </row>
    <row r="24" spans="1:16" ht="14.1" customHeight="1" x14ac:dyDescent="0.2">
      <c r="A24" s="188" t="s">
        <v>105</v>
      </c>
      <c r="B24" s="438">
        <f>+[10]Charter!B24</f>
        <v>82562</v>
      </c>
      <c r="C24" s="437">
        <f>+[10]Charter!C24</f>
        <v>71256</v>
      </c>
      <c r="D24" s="437">
        <f t="shared" ref="D24" si="13">SUM(B24:C24)</f>
        <v>153818</v>
      </c>
      <c r="E24" s="270">
        <f>[11]Charter!D24</f>
        <v>49936</v>
      </c>
      <c r="F24" s="189">
        <f t="shared" si="0"/>
        <v>2.0803027875680873</v>
      </c>
      <c r="G24" s="438">
        <f t="shared" ref="G24" si="14">L24-B24</f>
        <v>1258721</v>
      </c>
      <c r="H24" s="437">
        <f t="shared" ref="H24" si="15">M24-C24</f>
        <v>1186481</v>
      </c>
      <c r="I24" s="437">
        <f t="shared" ref="I24" si="16">SUM(G24:H24)</f>
        <v>2445202</v>
      </c>
      <c r="J24" s="270">
        <f>[11]Charter!I24</f>
        <v>1634797</v>
      </c>
      <c r="K24" s="190">
        <f t="shared" si="2"/>
        <v>0.49572209882939594</v>
      </c>
      <c r="L24" s="438">
        <f>+[10]Charter!L24</f>
        <v>1341283</v>
      </c>
      <c r="M24" s="437">
        <f>+[10]Charter!M24</f>
        <v>1257737</v>
      </c>
      <c r="N24" s="437">
        <f t="shared" si="3"/>
        <v>2599020</v>
      </c>
      <c r="O24" s="270">
        <f>[11]Charter!N24</f>
        <v>1684733</v>
      </c>
      <c r="P24" s="189">
        <f t="shared" si="8"/>
        <v>0.54268955377498984</v>
      </c>
    </row>
    <row r="25" spans="1:16" ht="14.1" customHeight="1" x14ac:dyDescent="0.2">
      <c r="A25" s="175" t="s">
        <v>75</v>
      </c>
      <c r="B25" s="438">
        <f>+[2]Charter!B25</f>
        <v>57347</v>
      </c>
      <c r="C25" s="437">
        <f>+[2]Charter!C25</f>
        <v>73929</v>
      </c>
      <c r="D25" s="437">
        <f t="shared" ref="D25" si="17">SUM(B25:C25)</f>
        <v>131276</v>
      </c>
      <c r="E25" s="270">
        <f>[12]Charter!D25</f>
        <v>31864</v>
      </c>
      <c r="F25" s="178">
        <f t="shared" si="0"/>
        <v>3.1198845091639469</v>
      </c>
      <c r="G25" s="438">
        <f t="shared" ref="G25" si="18">L25-B25</f>
        <v>1304355</v>
      </c>
      <c r="H25" s="437">
        <f t="shared" ref="H25" si="19">M25-C25</f>
        <v>1261482</v>
      </c>
      <c r="I25" s="437">
        <f t="shared" ref="I25" si="20">SUM(G25:H25)</f>
        <v>2565837</v>
      </c>
      <c r="J25" s="270">
        <f>[12]Charter!I25</f>
        <v>2056407</v>
      </c>
      <c r="K25" s="184">
        <f t="shared" si="2"/>
        <v>0.24772819777407876</v>
      </c>
      <c r="L25" s="438">
        <f>+[2]Charter!L25</f>
        <v>1361702</v>
      </c>
      <c r="M25" s="437">
        <f>+[2]Charter!M25</f>
        <v>1335411</v>
      </c>
      <c r="N25" s="437">
        <f t="shared" si="3"/>
        <v>2697113</v>
      </c>
      <c r="O25" s="270">
        <f>[12]Charter!N25</f>
        <v>2088271</v>
      </c>
      <c r="P25" s="178">
        <f t="shared" si="8"/>
        <v>0.29155315569674628</v>
      </c>
    </row>
    <row r="26" spans="1:16" ht="14.1" customHeight="1" x14ac:dyDescent="0.2">
      <c r="A26" s="188" t="s">
        <v>106</v>
      </c>
      <c r="B26" s="438">
        <f>+'Intl Detail'!$Q$4+'Intl Detail'!$Q$9</f>
        <v>85825</v>
      </c>
      <c r="C26" s="437">
        <f>+'Intl Detail'!$Q$5+'Intl Detail'!$Q$10</f>
        <v>94178</v>
      </c>
      <c r="D26" s="437">
        <f t="shared" ref="D26" si="21">SUM(B26:C26)</f>
        <v>180003</v>
      </c>
      <c r="E26" s="270">
        <f>[1]Charter!D26</f>
        <v>42467</v>
      </c>
      <c r="F26" s="189">
        <f t="shared" si="0"/>
        <v>3.2386558975204278</v>
      </c>
      <c r="G26" s="438">
        <f t="shared" ref="G26" si="22">L26-B26</f>
        <v>1343898</v>
      </c>
      <c r="H26" s="437">
        <f t="shared" ref="H26" si="23">M26-C26</f>
        <v>1322980</v>
      </c>
      <c r="I26" s="437">
        <f t="shared" ref="I26" si="24">SUM(G26:H26)</f>
        <v>2666878</v>
      </c>
      <c r="J26" s="270">
        <f>[1]Charter!I26</f>
        <v>2395931</v>
      </c>
      <c r="K26" s="190">
        <f t="shared" si="2"/>
        <v>0.11308631175104793</v>
      </c>
      <c r="L26" s="438">
        <f>+'Monthly Summary'!$B$11</f>
        <v>1429723</v>
      </c>
      <c r="M26" s="437">
        <f>+'Monthly Summary'!$C$11</f>
        <v>1417158</v>
      </c>
      <c r="N26" s="437">
        <f t="shared" si="3"/>
        <v>2846881</v>
      </c>
      <c r="O26" s="270">
        <f>[1]Charter!N26</f>
        <v>2438398</v>
      </c>
      <c r="P26" s="189">
        <f t="shared" si="8"/>
        <v>0.16752105275676898</v>
      </c>
    </row>
    <row r="27" spans="1:16" ht="14.1" customHeight="1" x14ac:dyDescent="0.2">
      <c r="A27" s="175" t="s">
        <v>107</v>
      </c>
      <c r="B27" s="262"/>
      <c r="C27" s="264"/>
      <c r="D27" s="437"/>
      <c r="E27" s="270"/>
      <c r="F27" s="178" t="e">
        <f t="shared" si="0"/>
        <v>#DIV/0!</v>
      </c>
      <c r="G27" s="262"/>
      <c r="H27" s="264"/>
      <c r="I27" s="263"/>
      <c r="J27" s="270"/>
      <c r="K27" s="184" t="e">
        <f t="shared" si="2"/>
        <v>#DIV/0!</v>
      </c>
      <c r="L27" s="262"/>
      <c r="M27" s="264"/>
      <c r="N27" s="263"/>
      <c r="O27" s="270"/>
      <c r="P27" s="178" t="e">
        <f t="shared" si="8"/>
        <v>#DIV/0!</v>
      </c>
    </row>
    <row r="28" spans="1:16" ht="14.1" customHeight="1" x14ac:dyDescent="0.2">
      <c r="A28" s="188" t="s">
        <v>108</v>
      </c>
      <c r="B28" s="262"/>
      <c r="C28" s="264"/>
      <c r="D28" s="437"/>
      <c r="E28" s="270"/>
      <c r="F28" s="189" t="e">
        <f t="shared" si="0"/>
        <v>#DIV/0!</v>
      </c>
      <c r="G28" s="262"/>
      <c r="H28" s="264"/>
      <c r="I28" s="263"/>
      <c r="J28" s="270"/>
      <c r="K28" s="190" t="e">
        <f t="shared" si="2"/>
        <v>#DIV/0!</v>
      </c>
      <c r="L28" s="262"/>
      <c r="M28" s="264"/>
      <c r="N28" s="263"/>
      <c r="O28" s="270"/>
      <c r="P28" s="189" t="e">
        <f t="shared" si="8"/>
        <v>#DIV/0!</v>
      </c>
    </row>
    <row r="29" spans="1:16" ht="14.1" customHeight="1" x14ac:dyDescent="0.2">
      <c r="A29" s="175" t="s">
        <v>109</v>
      </c>
      <c r="B29" s="262"/>
      <c r="C29" s="264"/>
      <c r="D29" s="437"/>
      <c r="E29" s="270"/>
      <c r="F29" s="178" t="e">
        <f t="shared" si="0"/>
        <v>#DIV/0!</v>
      </c>
      <c r="G29" s="262"/>
      <c r="H29" s="264"/>
      <c r="I29" s="263"/>
      <c r="J29" s="270"/>
      <c r="K29" s="184" t="e">
        <f t="shared" si="2"/>
        <v>#DIV/0!</v>
      </c>
      <c r="L29" s="262"/>
      <c r="M29" s="264"/>
      <c r="N29" s="263"/>
      <c r="O29" s="270"/>
      <c r="P29" s="178" t="e">
        <f t="shared" si="8"/>
        <v>#DIV/0!</v>
      </c>
    </row>
    <row r="30" spans="1:16" ht="14.1" customHeight="1" x14ac:dyDescent="0.2">
      <c r="A30" s="188" t="s">
        <v>110</v>
      </c>
      <c r="B30" s="262"/>
      <c r="C30" s="264"/>
      <c r="D30" s="437"/>
      <c r="E30" s="270"/>
      <c r="F30" s="189" t="e">
        <f t="shared" si="0"/>
        <v>#DIV/0!</v>
      </c>
      <c r="G30" s="262"/>
      <c r="H30" s="264"/>
      <c r="I30" s="263"/>
      <c r="J30" s="270"/>
      <c r="K30" s="190" t="e">
        <f t="shared" si="2"/>
        <v>#DIV/0!</v>
      </c>
      <c r="L30" s="262"/>
      <c r="M30" s="264"/>
      <c r="N30" s="263"/>
      <c r="O30" s="270"/>
      <c r="P30" s="189" t="e">
        <f t="shared" si="8"/>
        <v>#DIV/0!</v>
      </c>
    </row>
    <row r="31" spans="1:16" ht="14.1" customHeight="1" x14ac:dyDescent="0.2">
      <c r="A31" s="175" t="s">
        <v>111</v>
      </c>
      <c r="B31" s="262"/>
      <c r="C31" s="264"/>
      <c r="D31" s="437"/>
      <c r="E31" s="270"/>
      <c r="F31" s="178" t="e">
        <f t="shared" si="0"/>
        <v>#DIV/0!</v>
      </c>
      <c r="G31" s="262"/>
      <c r="H31" s="264"/>
      <c r="I31" s="263"/>
      <c r="J31" s="270"/>
      <c r="K31" s="184" t="e">
        <f t="shared" si="2"/>
        <v>#DIV/0!</v>
      </c>
      <c r="L31" s="262"/>
      <c r="M31" s="264"/>
      <c r="N31" s="263"/>
      <c r="O31" s="270"/>
      <c r="P31" s="178" t="e">
        <f t="shared" si="8"/>
        <v>#DIV/0!</v>
      </c>
    </row>
    <row r="32" spans="1:16" ht="14.1" customHeight="1" x14ac:dyDescent="0.2">
      <c r="A32" s="191" t="s">
        <v>112</v>
      </c>
      <c r="B32" s="262"/>
      <c r="C32" s="264"/>
      <c r="D32" s="264"/>
      <c r="E32" s="270"/>
      <c r="F32" s="192" t="e">
        <f t="shared" si="0"/>
        <v>#DIV/0!</v>
      </c>
      <c r="G32" s="262"/>
      <c r="H32" s="264"/>
      <c r="I32" s="263"/>
      <c r="J32" s="270"/>
      <c r="K32" s="192" t="e">
        <f t="shared" si="2"/>
        <v>#DIV/0!</v>
      </c>
      <c r="L32" s="262"/>
      <c r="M32" s="264"/>
      <c r="N32" s="263"/>
      <c r="O32" s="270"/>
      <c r="P32" s="192" t="e">
        <f t="shared" si="8"/>
        <v>#DIV/0!</v>
      </c>
    </row>
    <row r="33" spans="1:16" ht="13.5" thickBot="1" x14ac:dyDescent="0.25">
      <c r="A33" s="185" t="s">
        <v>76</v>
      </c>
      <c r="B33" s="195">
        <f>SUM(B21:B32)</f>
        <v>510001</v>
      </c>
      <c r="C33" s="196">
        <f>SUM(C21:C32)</f>
        <v>527974</v>
      </c>
      <c r="D33" s="196">
        <f>SUM(D21:D32)</f>
        <v>1037975</v>
      </c>
      <c r="E33" s="197">
        <f>SUM(E21:E32)</f>
        <v>305140</v>
      </c>
      <c r="F33" s="180">
        <f>(D33-E33)/E33</f>
        <v>2.4016353149374057</v>
      </c>
      <c r="G33" s="198">
        <f>SUM(G21:G32)</f>
        <v>7048198</v>
      </c>
      <c r="H33" s="196">
        <f>SUM(H21:H32)</f>
        <v>6977982</v>
      </c>
      <c r="I33" s="196">
        <f>SUM(I21:I32)</f>
        <v>14026180</v>
      </c>
      <c r="J33" s="199">
        <f>SUM(J21:J32)</f>
        <v>9860960</v>
      </c>
      <c r="K33" s="181">
        <f>(I33-J33)/J33</f>
        <v>0.42239497979912705</v>
      </c>
      <c r="L33" s="198">
        <f>SUM(L21:L32)</f>
        <v>7558199</v>
      </c>
      <c r="M33" s="196">
        <f>SUM(M21:M32)</f>
        <v>7505956</v>
      </c>
      <c r="N33" s="196">
        <f>SUM(N21:N32)</f>
        <v>15064155</v>
      </c>
      <c r="O33" s="197">
        <f>SUM(O21:O32)</f>
        <v>10166100</v>
      </c>
      <c r="P33" s="179">
        <f>(N33-O33)/O33</f>
        <v>0.4818027562191991</v>
      </c>
    </row>
    <row r="35" spans="1:16" x14ac:dyDescent="0.2">
      <c r="N35" s="96"/>
      <c r="O35" s="96"/>
    </row>
    <row r="36" spans="1:16" x14ac:dyDescent="0.2">
      <c r="O36" s="96"/>
    </row>
    <row r="37" spans="1:16" x14ac:dyDescent="0.2">
      <c r="N37" s="96"/>
      <c r="O37" s="96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June 2022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W8" sqref="W8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3" customFormat="1" ht="16.5" thickBot="1" x14ac:dyDescent="0.3">
      <c r="B1" s="472" t="s">
        <v>204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4"/>
    </row>
    <row r="2" spans="1:23" s="28" customFormat="1" ht="43.5" customHeight="1" thickBot="1" x14ac:dyDescent="0.25">
      <c r="A2" s="442">
        <v>44713</v>
      </c>
      <c r="B2" s="351" t="s">
        <v>200</v>
      </c>
      <c r="C2" s="351" t="s">
        <v>176</v>
      </c>
      <c r="D2" s="351" t="s">
        <v>232</v>
      </c>
      <c r="E2" s="394" t="s">
        <v>234</v>
      </c>
      <c r="F2" s="394" t="s">
        <v>233</v>
      </c>
      <c r="G2" s="351" t="s">
        <v>205</v>
      </c>
      <c r="H2" s="351" t="s">
        <v>248</v>
      </c>
      <c r="I2" s="394" t="s">
        <v>202</v>
      </c>
      <c r="J2" s="352" t="s">
        <v>81</v>
      </c>
      <c r="K2" s="394" t="s">
        <v>177</v>
      </c>
      <c r="L2" s="351" t="s">
        <v>206</v>
      </c>
      <c r="M2" s="394" t="s">
        <v>85</v>
      </c>
      <c r="N2" s="351" t="s">
        <v>207</v>
      </c>
      <c r="O2" s="351" t="s">
        <v>208</v>
      </c>
      <c r="P2" s="351" t="s">
        <v>209</v>
      </c>
      <c r="Q2" s="352" t="s">
        <v>82</v>
      </c>
      <c r="R2" s="394" t="s">
        <v>127</v>
      </c>
      <c r="S2" s="394" t="s">
        <v>21</v>
      </c>
    </row>
    <row r="3" spans="1:23" ht="15" x14ac:dyDescent="0.25">
      <c r="A3" s="158" t="s">
        <v>9</v>
      </c>
      <c r="B3" s="401"/>
      <c r="C3" s="159"/>
      <c r="D3" s="159"/>
      <c r="E3" s="159"/>
      <c r="F3" s="30"/>
      <c r="G3" s="159"/>
      <c r="H3" s="159"/>
      <c r="I3" s="30"/>
      <c r="J3" s="159"/>
      <c r="K3" s="30"/>
      <c r="L3" s="159"/>
      <c r="M3" s="30"/>
      <c r="N3" s="159"/>
      <c r="O3" s="159"/>
      <c r="P3" s="159"/>
      <c r="Q3" s="159"/>
      <c r="R3" s="30"/>
      <c r="S3" s="402"/>
      <c r="U3" s="370"/>
      <c r="V3" s="370"/>
      <c r="W3" s="370"/>
    </row>
    <row r="4" spans="1:23" x14ac:dyDescent="0.2">
      <c r="A4" s="38" t="s">
        <v>53</v>
      </c>
      <c r="B4" s="193">
        <f>'[3]Atlas Air'!$HW$4</f>
        <v>32</v>
      </c>
      <c r="C4" s="133">
        <f>[3]DHL!$HW$4+[3]DHL_Atlas!$HW$4+[3]DHL_Atlas!$HW$8+[3]DHL_Atlas!$HW$15</f>
        <v>0</v>
      </c>
      <c r="D4" s="133">
        <f>[3]Airborne!$HW$4+[3]Airborne!$HW$15</f>
        <v>1</v>
      </c>
      <c r="E4" s="96">
        <f>[3]DHL_Bemidji!$HW$4</f>
        <v>44</v>
      </c>
      <c r="F4" s="96">
        <f>[3]Bemidji!$HW$4</f>
        <v>198</v>
      </c>
      <c r="G4" s="133">
        <f>[3]DHL_Encore!$HW$4+[3]DHL_Encore!$HW$15</f>
        <v>0</v>
      </c>
      <c r="H4" s="133">
        <f>[3]DHL_Mesa!$HW$4+[3]DHL_Mesa!$HW$15</f>
        <v>0</v>
      </c>
      <c r="I4" s="133">
        <f>[3]Encore!$HW$4+[3]Encore!$HW$15</f>
        <v>0</v>
      </c>
      <c r="J4" s="133">
        <f>[3]FedEx!$HW$4+[3]FedEx!$HW$15</f>
        <v>131</v>
      </c>
      <c r="K4" s="133">
        <f>[3]IFL!$HW$4+[3]IFL!$HW$15</f>
        <v>16</v>
      </c>
      <c r="L4" s="133">
        <f>[3]DHL_Kalitta!$HW$4+[3]DHL_Kalitta!$HW$15</f>
        <v>0</v>
      </c>
      <c r="M4" s="96">
        <f>'[3]Mountain Cargo'!$HW$4</f>
        <v>23</v>
      </c>
      <c r="N4" s="133">
        <f>[3]DHL_Southair!$HW$4+[3]DHL_Southair!$HW$15</f>
        <v>0</v>
      </c>
      <c r="O4" s="133">
        <f>[3]DHL_Swift!$HW$4+[3]DHL_Swift!$HW$15</f>
        <v>6</v>
      </c>
      <c r="P4" s="133">
        <f>+'[3]Sun Country Cargo'!$HW$4+'[3]Sun Country Cargo'!$HW$8+'[3]Sun Country Cargo'!$HW$15</f>
        <v>33</v>
      </c>
      <c r="Q4" s="133">
        <f>[3]UPS!$HW$4+[3]UPS!$HW$15</f>
        <v>150</v>
      </c>
      <c r="R4" s="96">
        <f>'[3]Misc Cargo'!$HW$4</f>
        <v>0</v>
      </c>
      <c r="S4" s="403">
        <f>SUM(B4:R4)</f>
        <v>634</v>
      </c>
      <c r="U4" s="370"/>
      <c r="V4" s="363"/>
      <c r="W4" s="231"/>
    </row>
    <row r="5" spans="1:23" x14ac:dyDescent="0.2">
      <c r="A5" s="38" t="s">
        <v>54</v>
      </c>
      <c r="B5" s="404">
        <f>'[3]Atlas Air'!$HW$5</f>
        <v>32</v>
      </c>
      <c r="C5" s="157">
        <f>[3]DHL!$HW$5+[3]DHL_Atlas!$HW$5+[3]DHL_Atlas!$HW$9+[3]DHL_Atlas!$HW$16</f>
        <v>0</v>
      </c>
      <c r="D5" s="157">
        <f>[3]Airborne!$HW$5</f>
        <v>1</v>
      </c>
      <c r="E5" s="97">
        <f>[3]DHL_Bemidji!$HW$5</f>
        <v>44</v>
      </c>
      <c r="F5" s="97">
        <f>[3]Bemidji!$HW$5</f>
        <v>198</v>
      </c>
      <c r="G5" s="157">
        <f>[3]DHL_Encore!$HW$5</f>
        <v>0</v>
      </c>
      <c r="H5" s="157">
        <f>[3]DHL_Mesa!$HW$5</f>
        <v>0</v>
      </c>
      <c r="I5" s="157">
        <f>[3]Encore!$HW$5</f>
        <v>0</v>
      </c>
      <c r="J5" s="157">
        <f>[3]FedEx!$HW$5</f>
        <v>131</v>
      </c>
      <c r="K5" s="157">
        <f>[3]IFL!$HW$5</f>
        <v>16</v>
      </c>
      <c r="L5" s="157">
        <f>[3]DHL_Kalitta!$HW$5</f>
        <v>0</v>
      </c>
      <c r="M5" s="97">
        <f>'[3]Mountain Cargo'!$HW$5</f>
        <v>23</v>
      </c>
      <c r="N5" s="157">
        <f>[3]DHL_Southair!$HW$5</f>
        <v>0</v>
      </c>
      <c r="O5" s="157">
        <f>[3]DHL_Swift!$HW$5</f>
        <v>6</v>
      </c>
      <c r="P5" s="157">
        <f>+'[3]Sun Country Cargo'!$HW$5+'[3]Sun Country Cargo'!$HW$9+'[3]Sun Country Cargo'!$HW$16</f>
        <v>33</v>
      </c>
      <c r="Q5" s="157">
        <f>[3]UPS!$HW$5+[3]UPS!$HW$16</f>
        <v>150</v>
      </c>
      <c r="R5" s="97">
        <f>'[3]Misc Cargo'!$HW$5</f>
        <v>0</v>
      </c>
      <c r="S5" s="403">
        <f>SUM(B5:R5)</f>
        <v>634</v>
      </c>
      <c r="U5" s="370"/>
      <c r="V5" s="363"/>
      <c r="W5" s="231"/>
    </row>
    <row r="6" spans="1:23" s="156" customFormat="1" x14ac:dyDescent="0.2">
      <c r="A6" s="160" t="s">
        <v>55</v>
      </c>
      <c r="B6" s="405">
        <f t="shared" ref="B6:R6" si="0">SUM(B4:B5)</f>
        <v>64</v>
      </c>
      <c r="C6" s="406">
        <f t="shared" si="0"/>
        <v>0</v>
      </c>
      <c r="D6" s="406">
        <f t="shared" ref="D6:E6" si="1">SUM(D4:D5)</f>
        <v>2</v>
      </c>
      <c r="E6" s="94">
        <f t="shared" si="1"/>
        <v>88</v>
      </c>
      <c r="F6" s="94">
        <f t="shared" si="0"/>
        <v>396</v>
      </c>
      <c r="G6" s="406">
        <f t="shared" si="0"/>
        <v>0</v>
      </c>
      <c r="H6" s="406">
        <f t="shared" ref="H6" si="2">SUM(H4:H5)</f>
        <v>0</v>
      </c>
      <c r="I6" s="406">
        <f t="shared" si="0"/>
        <v>0</v>
      </c>
      <c r="J6" s="406">
        <f t="shared" si="0"/>
        <v>262</v>
      </c>
      <c r="K6" s="406">
        <f t="shared" si="0"/>
        <v>32</v>
      </c>
      <c r="L6" s="406">
        <f t="shared" si="0"/>
        <v>0</v>
      </c>
      <c r="M6" s="94">
        <f t="shared" si="0"/>
        <v>46</v>
      </c>
      <c r="N6" s="406">
        <f t="shared" si="0"/>
        <v>0</v>
      </c>
      <c r="O6" s="406">
        <f t="shared" si="0"/>
        <v>12</v>
      </c>
      <c r="P6" s="406">
        <f t="shared" si="0"/>
        <v>66</v>
      </c>
      <c r="Q6" s="406">
        <f t="shared" si="0"/>
        <v>300</v>
      </c>
      <c r="R6" s="94">
        <f t="shared" si="0"/>
        <v>0</v>
      </c>
      <c r="S6" s="403">
        <f t="shared" ref="S6:S10" si="3">SUM(B6:R6)</f>
        <v>1268</v>
      </c>
      <c r="W6" s="312"/>
    </row>
    <row r="7" spans="1:23" x14ac:dyDescent="0.2">
      <c r="A7" s="38"/>
      <c r="B7" s="193"/>
      <c r="C7" s="133"/>
      <c r="D7" s="133"/>
      <c r="E7" s="96"/>
      <c r="F7" s="96"/>
      <c r="G7" s="133"/>
      <c r="H7" s="133"/>
      <c r="I7" s="133"/>
      <c r="J7" s="133"/>
      <c r="K7" s="133"/>
      <c r="L7" s="133"/>
      <c r="M7" s="96"/>
      <c r="N7" s="133"/>
      <c r="O7" s="133"/>
      <c r="P7" s="133"/>
      <c r="Q7" s="133"/>
      <c r="R7" s="96"/>
      <c r="S7" s="403"/>
      <c r="U7" s="348"/>
      <c r="V7" s="370"/>
      <c r="W7" s="231"/>
    </row>
    <row r="8" spans="1:23" x14ac:dyDescent="0.2">
      <c r="A8" s="38" t="s">
        <v>56</v>
      </c>
      <c r="B8" s="193"/>
      <c r="C8" s="133"/>
      <c r="D8" s="133"/>
      <c r="E8" s="96"/>
      <c r="F8" s="96"/>
      <c r="G8" s="133"/>
      <c r="H8" s="133"/>
      <c r="I8" s="133"/>
      <c r="J8" s="133"/>
      <c r="K8" s="133"/>
      <c r="L8" s="133"/>
      <c r="M8" s="96"/>
      <c r="N8" s="133"/>
      <c r="O8" s="133"/>
      <c r="P8" s="133"/>
      <c r="Q8" s="133"/>
      <c r="R8" s="96">
        <f>'[3]Misc Cargo'!$HW$8</f>
        <v>0</v>
      </c>
      <c r="S8" s="403">
        <f t="shared" si="3"/>
        <v>0</v>
      </c>
      <c r="U8" s="370"/>
      <c r="V8" s="370"/>
      <c r="W8" s="231"/>
    </row>
    <row r="9" spans="1:23" ht="15" x14ac:dyDescent="0.25">
      <c r="A9" s="38" t="s">
        <v>57</v>
      </c>
      <c r="B9" s="404"/>
      <c r="C9" s="157"/>
      <c r="D9" s="157"/>
      <c r="E9" s="97"/>
      <c r="F9" s="97"/>
      <c r="G9" s="157"/>
      <c r="H9" s="157"/>
      <c r="I9" s="157"/>
      <c r="J9" s="157"/>
      <c r="K9" s="157"/>
      <c r="L9" s="157"/>
      <c r="M9" s="97"/>
      <c r="N9" s="157"/>
      <c r="O9" s="157"/>
      <c r="P9" s="157"/>
      <c r="Q9" s="157"/>
      <c r="R9" s="97">
        <f>'[3]Misc Cargo'!$HW$9</f>
        <v>0</v>
      </c>
      <c r="S9" s="403">
        <f t="shared" si="3"/>
        <v>0</v>
      </c>
      <c r="U9" s="370"/>
      <c r="V9" s="8"/>
      <c r="W9" s="231"/>
    </row>
    <row r="10" spans="1:23" s="156" customFormat="1" x14ac:dyDescent="0.2">
      <c r="A10" s="160" t="s">
        <v>58</v>
      </c>
      <c r="B10" s="405">
        <f t="shared" ref="B10:R10" si="4">SUM(B8:B9)</f>
        <v>0</v>
      </c>
      <c r="C10" s="406">
        <f t="shared" si="4"/>
        <v>0</v>
      </c>
      <c r="D10" s="406">
        <f t="shared" ref="D10:E10" si="5">SUM(D8:D9)</f>
        <v>0</v>
      </c>
      <c r="E10" s="94">
        <f t="shared" si="5"/>
        <v>0</v>
      </c>
      <c r="F10" s="94">
        <f t="shared" si="4"/>
        <v>0</v>
      </c>
      <c r="G10" s="406">
        <f t="shared" si="4"/>
        <v>0</v>
      </c>
      <c r="H10" s="406">
        <f t="shared" ref="H10" si="6">SUM(H8:H9)</f>
        <v>0</v>
      </c>
      <c r="I10" s="406">
        <f t="shared" si="4"/>
        <v>0</v>
      </c>
      <c r="J10" s="406">
        <f t="shared" si="4"/>
        <v>0</v>
      </c>
      <c r="K10" s="406">
        <f t="shared" si="4"/>
        <v>0</v>
      </c>
      <c r="L10" s="406">
        <f t="shared" si="4"/>
        <v>0</v>
      </c>
      <c r="M10" s="94">
        <f t="shared" si="4"/>
        <v>0</v>
      </c>
      <c r="N10" s="406">
        <f t="shared" si="4"/>
        <v>0</v>
      </c>
      <c r="O10" s="406">
        <f t="shared" si="4"/>
        <v>0</v>
      </c>
      <c r="P10" s="406">
        <f t="shared" si="4"/>
        <v>0</v>
      </c>
      <c r="Q10" s="406">
        <f t="shared" si="4"/>
        <v>0</v>
      </c>
      <c r="R10" s="94">
        <f t="shared" si="4"/>
        <v>0</v>
      </c>
      <c r="S10" s="403">
        <f t="shared" si="3"/>
        <v>0</v>
      </c>
      <c r="W10" s="312"/>
    </row>
    <row r="11" spans="1:23" x14ac:dyDescent="0.2">
      <c r="A11" s="38"/>
      <c r="B11" s="193"/>
      <c r="C11" s="133"/>
      <c r="D11" s="133"/>
      <c r="E11" s="96"/>
      <c r="F11" s="96"/>
      <c r="G11" s="133"/>
      <c r="H11" s="133"/>
      <c r="I11" s="133"/>
      <c r="J11" s="133"/>
      <c r="K11" s="133"/>
      <c r="L11" s="133"/>
      <c r="M11" s="96"/>
      <c r="N11" s="133"/>
      <c r="O11" s="133"/>
      <c r="P11" s="133"/>
      <c r="Q11" s="133"/>
      <c r="R11" s="96"/>
      <c r="S11" s="407"/>
      <c r="U11" s="370"/>
      <c r="V11" s="370"/>
      <c r="W11" s="231"/>
    </row>
    <row r="12" spans="1:23" ht="18" customHeight="1" thickBot="1" x14ac:dyDescent="0.25">
      <c r="A12" s="161" t="s">
        <v>28</v>
      </c>
      <c r="B12" s="408">
        <f t="shared" ref="B12:R12" si="7">B6+B10</f>
        <v>64</v>
      </c>
      <c r="C12" s="162">
        <f t="shared" si="7"/>
        <v>0</v>
      </c>
      <c r="D12" s="162">
        <f t="shared" ref="D12:E12" si="8">D6+D10</f>
        <v>2</v>
      </c>
      <c r="E12" s="163">
        <f t="shared" si="8"/>
        <v>88</v>
      </c>
      <c r="F12" s="163">
        <f t="shared" si="7"/>
        <v>396</v>
      </c>
      <c r="G12" s="162">
        <f t="shared" si="7"/>
        <v>0</v>
      </c>
      <c r="H12" s="162">
        <f t="shared" ref="H12" si="9">H6+H10</f>
        <v>0</v>
      </c>
      <c r="I12" s="162">
        <f t="shared" si="7"/>
        <v>0</v>
      </c>
      <c r="J12" s="162">
        <f t="shared" si="7"/>
        <v>262</v>
      </c>
      <c r="K12" s="162">
        <f t="shared" si="7"/>
        <v>32</v>
      </c>
      <c r="L12" s="162">
        <f t="shared" si="7"/>
        <v>0</v>
      </c>
      <c r="M12" s="163">
        <f t="shared" si="7"/>
        <v>46</v>
      </c>
      <c r="N12" s="162">
        <f t="shared" si="7"/>
        <v>0</v>
      </c>
      <c r="O12" s="162">
        <f t="shared" si="7"/>
        <v>12</v>
      </c>
      <c r="P12" s="162">
        <f t="shared" si="7"/>
        <v>66</v>
      </c>
      <c r="Q12" s="162">
        <f t="shared" si="7"/>
        <v>300</v>
      </c>
      <c r="R12" s="163">
        <f t="shared" si="7"/>
        <v>0</v>
      </c>
      <c r="S12" s="409">
        <f>SUM(B12:R12)</f>
        <v>1268</v>
      </c>
      <c r="U12" s="370"/>
      <c r="V12" s="370"/>
      <c r="W12" s="231"/>
    </row>
    <row r="13" spans="1:23" ht="18" customHeight="1" thickBot="1" x14ac:dyDescent="0.25">
      <c r="A13" s="147"/>
      <c r="B13" s="410"/>
      <c r="C13" s="411"/>
      <c r="D13" s="411"/>
      <c r="E13" s="286"/>
      <c r="F13" s="286"/>
      <c r="G13" s="411"/>
      <c r="H13" s="411"/>
      <c r="I13" s="411"/>
      <c r="J13" s="411"/>
      <c r="K13" s="411"/>
      <c r="L13" s="411"/>
      <c r="M13" s="286"/>
      <c r="N13" s="411"/>
      <c r="O13" s="411"/>
      <c r="P13" s="411"/>
      <c r="Q13" s="411"/>
      <c r="R13" s="286"/>
      <c r="S13" s="2"/>
      <c r="U13" s="370"/>
      <c r="V13" s="370"/>
      <c r="W13" s="231"/>
    </row>
    <row r="14" spans="1:23" ht="15" x14ac:dyDescent="0.25">
      <c r="A14" s="164" t="s">
        <v>92</v>
      </c>
      <c r="B14" s="412"/>
      <c r="C14" s="165"/>
      <c r="D14" s="165"/>
      <c r="E14" s="62"/>
      <c r="F14" s="62"/>
      <c r="G14" s="165"/>
      <c r="H14" s="165"/>
      <c r="I14" s="165"/>
      <c r="J14" s="165"/>
      <c r="K14" s="165"/>
      <c r="L14" s="165"/>
      <c r="M14" s="62"/>
      <c r="N14" s="165"/>
      <c r="O14" s="165"/>
      <c r="P14" s="165"/>
      <c r="Q14" s="165"/>
      <c r="R14" s="62"/>
      <c r="S14" s="413"/>
      <c r="U14" s="370"/>
      <c r="V14" s="370"/>
      <c r="W14" s="231"/>
    </row>
    <row r="15" spans="1:23" x14ac:dyDescent="0.2">
      <c r="A15" s="166" t="s">
        <v>93</v>
      </c>
      <c r="B15" s="193"/>
      <c r="C15" s="133"/>
      <c r="D15" s="133"/>
      <c r="E15" s="2"/>
      <c r="F15" s="2"/>
      <c r="G15" s="133"/>
      <c r="H15" s="133"/>
      <c r="I15" s="133"/>
      <c r="J15" s="133"/>
      <c r="K15" s="133"/>
      <c r="L15" s="133"/>
      <c r="M15" s="2"/>
      <c r="N15" s="133"/>
      <c r="O15" s="133"/>
      <c r="P15" s="133"/>
      <c r="Q15" s="133"/>
      <c r="R15" s="2"/>
      <c r="S15" s="150"/>
      <c r="U15" s="370"/>
      <c r="V15" s="370"/>
      <c r="W15" s="231"/>
    </row>
    <row r="16" spans="1:23" ht="12.75" customHeight="1" x14ac:dyDescent="0.2">
      <c r="A16" s="38" t="s">
        <v>37</v>
      </c>
      <c r="B16" s="193">
        <f>'[3]Atlas Air'!$HW$47</f>
        <v>2366067</v>
      </c>
      <c r="C16" s="133">
        <f>[3]DHL!$HW$47+[3]DHL_Atlas!$HW$47</f>
        <v>0</v>
      </c>
      <c r="D16" s="133">
        <f>[3]Airborne!$HW$47</f>
        <v>22300</v>
      </c>
      <c r="E16" s="133">
        <f>[3]DHL_Bemidji!$HW$47</f>
        <v>57504</v>
      </c>
      <c r="F16" s="475" t="s">
        <v>86</v>
      </c>
      <c r="G16" s="133">
        <f>[3]DHL_Encore!$HW$47</f>
        <v>0</v>
      </c>
      <c r="H16" s="133">
        <f>[3]DHL_Mesa!$HW$47</f>
        <v>0</v>
      </c>
      <c r="I16" s="133">
        <f>[3]Encore!$HW$47</f>
        <v>0</v>
      </c>
      <c r="J16" s="133">
        <f>[3]FedEx!$HW$47</f>
        <v>8246542</v>
      </c>
      <c r="K16" s="133">
        <f>[3]IFL!$HW$47</f>
        <v>68830</v>
      </c>
      <c r="L16" s="133">
        <f>[3]DHL_Kalitta!$HW$47</f>
        <v>0</v>
      </c>
      <c r="M16" s="96">
        <f>'[3]Mountain Cargo'!$HW$47</f>
        <v>0</v>
      </c>
      <c r="N16" s="133">
        <f>[3]DHL_Southair!$HW$47</f>
        <v>0</v>
      </c>
      <c r="O16" s="133">
        <f>[3]DHL_Swift!$HW$47</f>
        <v>111240</v>
      </c>
      <c r="P16" s="133">
        <f>+'[3]Sun Country Cargo'!$HW$47</f>
        <v>696087</v>
      </c>
      <c r="Q16" s="133">
        <f>[3]UPS!$HW$47</f>
        <v>6675912</v>
      </c>
      <c r="R16" s="96">
        <f>'[3]Misc Cargo'!$HW$47</f>
        <v>0</v>
      </c>
      <c r="S16" s="403">
        <f>SUM(B16:E16)+SUM(G16:R16)</f>
        <v>18244482</v>
      </c>
      <c r="U16" s="370"/>
      <c r="V16" s="370"/>
      <c r="W16" s="231"/>
    </row>
    <row r="17" spans="1:23" x14ac:dyDescent="0.2">
      <c r="A17" s="38" t="s">
        <v>38</v>
      </c>
      <c r="B17" s="193">
        <f>'[3]Atlas Air'!$HW$48</f>
        <v>0</v>
      </c>
      <c r="C17" s="133">
        <f>[3]DHL!$HW$48</f>
        <v>0</v>
      </c>
      <c r="D17" s="133">
        <f>[3]Airborne!$HW$48</f>
        <v>0</v>
      </c>
      <c r="E17" s="133">
        <f>[3]DHL_Bemidji!$HW$48</f>
        <v>0</v>
      </c>
      <c r="F17" s="476"/>
      <c r="G17" s="133">
        <f>[3]DHL_Encore!$HW$48</f>
        <v>0</v>
      </c>
      <c r="H17" s="133">
        <f>[3]DHL_Mesa!$HW$48</f>
        <v>0</v>
      </c>
      <c r="I17" s="133">
        <f>[3]Encore!$HW$48</f>
        <v>0</v>
      </c>
      <c r="J17" s="133">
        <f>[3]FedEx!$HW$48</f>
        <v>0</v>
      </c>
      <c r="K17" s="133">
        <f>[3]IFL!$HW$48</f>
        <v>0</v>
      </c>
      <c r="L17" s="133">
        <f>[3]DHL_Kalitta!$HW$48</f>
        <v>0</v>
      </c>
      <c r="M17" s="96">
        <f>'[3]Mountain Cargo'!$HW$48</f>
        <v>53727</v>
      </c>
      <c r="N17" s="133">
        <f>[3]DHL_Southair!$HW$48</f>
        <v>0</v>
      </c>
      <c r="O17" s="133">
        <f>[3]DHL_Swift!$HW$48</f>
        <v>0</v>
      </c>
      <c r="P17" s="133">
        <f>+'[3]Sun Country Cargo'!$HW$48</f>
        <v>0</v>
      </c>
      <c r="Q17" s="133">
        <f>[3]UPS!$HW$48</f>
        <v>966809</v>
      </c>
      <c r="R17" s="96">
        <f>'[3]Misc Cargo'!$HW$48</f>
        <v>0</v>
      </c>
      <c r="S17" s="403">
        <f>SUM(B17:E17)+SUM(G17:R17)</f>
        <v>1020536</v>
      </c>
      <c r="U17" s="370"/>
      <c r="V17" s="370"/>
      <c r="W17" s="231"/>
    </row>
    <row r="18" spans="1:23" ht="18" customHeight="1" x14ac:dyDescent="0.2">
      <c r="A18" s="167" t="s">
        <v>39</v>
      </c>
      <c r="B18" s="414">
        <f>SUM(B16:B17)</f>
        <v>2366067</v>
      </c>
      <c r="C18" s="237">
        <f>SUM(C16:C17)</f>
        <v>0</v>
      </c>
      <c r="D18" s="237">
        <f>SUM(D16:D17)</f>
        <v>22300</v>
      </c>
      <c r="E18" s="237">
        <f>SUM(E16:E17)</f>
        <v>57504</v>
      </c>
      <c r="F18" s="476"/>
      <c r="G18" s="237">
        <f>SUM(G16:G17)</f>
        <v>0</v>
      </c>
      <c r="H18" s="237">
        <f>SUM(H16:H17)</f>
        <v>0</v>
      </c>
      <c r="I18" s="237">
        <f>SUM(I16:I17)</f>
        <v>0</v>
      </c>
      <c r="J18" s="237">
        <f>SUM(J16:J17)</f>
        <v>8246542</v>
      </c>
      <c r="K18" s="237">
        <f>SUM(K16:K17)</f>
        <v>68830</v>
      </c>
      <c r="L18" s="237">
        <f t="shared" ref="L18:R18" si="10">SUM(L16:L17)</f>
        <v>0</v>
      </c>
      <c r="M18" s="238">
        <f t="shared" si="10"/>
        <v>53727</v>
      </c>
      <c r="N18" s="237">
        <f t="shared" si="10"/>
        <v>0</v>
      </c>
      <c r="O18" s="237">
        <f t="shared" si="10"/>
        <v>111240</v>
      </c>
      <c r="P18" s="237">
        <f t="shared" si="10"/>
        <v>696087</v>
      </c>
      <c r="Q18" s="237">
        <f t="shared" si="10"/>
        <v>7642721</v>
      </c>
      <c r="R18" s="238">
        <f t="shared" si="10"/>
        <v>0</v>
      </c>
      <c r="S18" s="415">
        <f>SUM(B18:E18)+SUM(G18:R18)</f>
        <v>19265018</v>
      </c>
      <c r="U18" s="370"/>
      <c r="V18" s="370"/>
      <c r="W18" s="231"/>
    </row>
    <row r="19" spans="1:23" x14ac:dyDescent="0.2">
      <c r="A19" s="38"/>
      <c r="B19" s="193"/>
      <c r="C19" s="133"/>
      <c r="D19" s="133"/>
      <c r="E19" s="133"/>
      <c r="F19" s="476"/>
      <c r="G19" s="133"/>
      <c r="H19" s="133"/>
      <c r="I19" s="133"/>
      <c r="J19" s="133"/>
      <c r="K19" s="133"/>
      <c r="L19" s="133"/>
      <c r="M19" s="96"/>
      <c r="N19" s="133"/>
      <c r="O19" s="133"/>
      <c r="P19" s="133"/>
      <c r="Q19" s="133"/>
      <c r="R19" s="96"/>
      <c r="S19" s="403"/>
      <c r="U19" s="348"/>
      <c r="V19" s="370"/>
      <c r="W19" s="231"/>
    </row>
    <row r="20" spans="1:23" x14ac:dyDescent="0.2">
      <c r="A20" s="166" t="s">
        <v>87</v>
      </c>
      <c r="B20" s="193"/>
      <c r="C20" s="133"/>
      <c r="D20" s="133"/>
      <c r="E20" s="133"/>
      <c r="F20" s="476"/>
      <c r="G20" s="133"/>
      <c r="H20" s="133"/>
      <c r="I20" s="133"/>
      <c r="J20" s="133"/>
      <c r="K20" s="133"/>
      <c r="L20" s="133"/>
      <c r="M20" s="96"/>
      <c r="N20" s="133"/>
      <c r="O20" s="133"/>
      <c r="P20" s="133"/>
      <c r="Q20" s="133"/>
      <c r="R20" s="96"/>
      <c r="S20" s="403"/>
      <c r="U20" s="348"/>
      <c r="V20" s="370"/>
      <c r="W20" s="231"/>
    </row>
    <row r="21" spans="1:23" x14ac:dyDescent="0.2">
      <c r="A21" s="38" t="s">
        <v>59</v>
      </c>
      <c r="B21" s="193">
        <f>'[3]Atlas Air'!$HW$52</f>
        <v>1521342</v>
      </c>
      <c r="C21" s="133">
        <f>[3]DHL!$HW$52+[3]DHL_Atlas!$HW$52</f>
        <v>0</v>
      </c>
      <c r="D21" s="133">
        <f>[3]Airborne!$HW$52</f>
        <v>29184</v>
      </c>
      <c r="E21" s="133">
        <f>[3]DHL_Bemidji!$HW$52</f>
        <v>49232</v>
      </c>
      <c r="F21" s="476"/>
      <c r="G21" s="133">
        <f>[3]DHL_Encore!$HW$52</f>
        <v>0</v>
      </c>
      <c r="H21" s="133">
        <f>[3]DHL_Mesa!$HW$52</f>
        <v>0</v>
      </c>
      <c r="I21" s="133">
        <f>[3]Encore!$HW$52</f>
        <v>0</v>
      </c>
      <c r="J21" s="133">
        <f>[3]FedEx!$HW$52</f>
        <v>7502201</v>
      </c>
      <c r="K21" s="133">
        <f>[3]IFL!$HW$52</f>
        <v>0</v>
      </c>
      <c r="L21" s="133">
        <f>[3]DHL_Kalitta!$HW$52</f>
        <v>0</v>
      </c>
      <c r="M21" s="96">
        <f>'[3]Mountain Cargo'!$HW$52</f>
        <v>0</v>
      </c>
      <c r="N21" s="133">
        <f>[3]DHL_Southair!$HW$52</f>
        <v>0</v>
      </c>
      <c r="O21" s="133">
        <f>[3]DHL_Swift!$HW$52</f>
        <v>27337</v>
      </c>
      <c r="P21" s="133">
        <f>+'[3]Sun Country Cargo'!$HW$52</f>
        <v>819589</v>
      </c>
      <c r="Q21" s="133">
        <f>[3]UPS!$HW$52</f>
        <v>5613458</v>
      </c>
      <c r="R21" s="96">
        <f>'[3]Misc Cargo'!$HW$52</f>
        <v>0</v>
      </c>
      <c r="S21" s="403">
        <f>SUM(B21:E21)+SUM(G21:R21)</f>
        <v>15562343</v>
      </c>
      <c r="U21" s="370"/>
      <c r="V21" s="370"/>
      <c r="W21" s="231"/>
    </row>
    <row r="22" spans="1:23" x14ac:dyDescent="0.2">
      <c r="A22" s="38" t="s">
        <v>60</v>
      </c>
      <c r="B22" s="193">
        <f>'[3]Atlas Air'!$HW$53</f>
        <v>0</v>
      </c>
      <c r="C22" s="133">
        <f>[3]DHL!$HW$53</f>
        <v>0</v>
      </c>
      <c r="D22" s="133">
        <f>[3]Airborne!$HW$53</f>
        <v>0</v>
      </c>
      <c r="E22" s="133">
        <f>[3]DHL_Bemidji!$HW$53</f>
        <v>0</v>
      </c>
      <c r="F22" s="476"/>
      <c r="G22" s="133">
        <f>[3]DHL_Encore!$HW$53</f>
        <v>0</v>
      </c>
      <c r="H22" s="133">
        <f>[3]DHL_Mesa!$HW$53</f>
        <v>0</v>
      </c>
      <c r="I22" s="133">
        <f>[3]Encore!$HW$53</f>
        <v>0</v>
      </c>
      <c r="J22" s="133">
        <f>[3]FedEx!$HW$53</f>
        <v>0</v>
      </c>
      <c r="K22" s="133">
        <f>[3]IFL!$HW$53</f>
        <v>0</v>
      </c>
      <c r="L22" s="133">
        <f>[3]DHL_Kalitta!$HW$53</f>
        <v>0</v>
      </c>
      <c r="M22" s="96">
        <f>'[3]Mountain Cargo'!$HW$53</f>
        <v>0</v>
      </c>
      <c r="N22" s="133">
        <f>[3]DHL_Southair!$HW$53</f>
        <v>0</v>
      </c>
      <c r="O22" s="133">
        <f>[3]DHL_Swift!$HW$53</f>
        <v>0</v>
      </c>
      <c r="P22" s="133">
        <f>+'[3]Sun Country Cargo'!$HW$53</f>
        <v>0</v>
      </c>
      <c r="Q22" s="133">
        <f>[3]UPS!$HW$53</f>
        <v>603284</v>
      </c>
      <c r="R22" s="96">
        <f>'[3]Misc Cargo'!$HW$53</f>
        <v>0</v>
      </c>
      <c r="S22" s="403">
        <f>SUM(B22:E22)+SUM(G22:R22)</f>
        <v>603284</v>
      </c>
      <c r="U22" s="370"/>
      <c r="V22" s="370"/>
      <c r="W22" s="231"/>
    </row>
    <row r="23" spans="1:23" ht="18" customHeight="1" x14ac:dyDescent="0.2">
      <c r="A23" s="167" t="s">
        <v>41</v>
      </c>
      <c r="B23" s="414">
        <f>SUM(B21:B22)</f>
        <v>1521342</v>
      </c>
      <c r="C23" s="237">
        <f>SUM(C21:C22)</f>
        <v>0</v>
      </c>
      <c r="D23" s="237">
        <f t="shared" ref="D23:E23" si="11">SUM(D21:D22)</f>
        <v>29184</v>
      </c>
      <c r="E23" s="237">
        <f t="shared" si="11"/>
        <v>49232</v>
      </c>
      <c r="F23" s="476"/>
      <c r="G23" s="237">
        <f t="shared" ref="G23:R23" si="12">SUM(G21:G22)</f>
        <v>0</v>
      </c>
      <c r="H23" s="237">
        <f t="shared" ref="H23" si="13">SUM(H21:H22)</f>
        <v>0</v>
      </c>
      <c r="I23" s="237">
        <f t="shared" si="12"/>
        <v>0</v>
      </c>
      <c r="J23" s="237">
        <f t="shared" si="12"/>
        <v>7502201</v>
      </c>
      <c r="K23" s="237">
        <f t="shared" si="12"/>
        <v>0</v>
      </c>
      <c r="L23" s="237">
        <f t="shared" si="12"/>
        <v>0</v>
      </c>
      <c r="M23" s="238">
        <f t="shared" si="12"/>
        <v>0</v>
      </c>
      <c r="N23" s="237">
        <f t="shared" si="12"/>
        <v>0</v>
      </c>
      <c r="O23" s="237">
        <f t="shared" si="12"/>
        <v>27337</v>
      </c>
      <c r="P23" s="237">
        <f t="shared" si="12"/>
        <v>819589</v>
      </c>
      <c r="Q23" s="237">
        <f t="shared" si="12"/>
        <v>6216742</v>
      </c>
      <c r="R23" s="238">
        <f t="shared" si="12"/>
        <v>0</v>
      </c>
      <c r="S23" s="415">
        <f>SUM(B23:E23)+SUM(G23:R23)</f>
        <v>16165627</v>
      </c>
      <c r="U23" s="370"/>
      <c r="V23" s="370"/>
      <c r="W23" s="231"/>
    </row>
    <row r="24" spans="1:23" x14ac:dyDescent="0.2">
      <c r="A24" s="38"/>
      <c r="B24" s="193"/>
      <c r="C24" s="133"/>
      <c r="D24" s="133"/>
      <c r="E24" s="133"/>
      <c r="F24" s="476"/>
      <c r="G24" s="133"/>
      <c r="H24" s="133"/>
      <c r="I24" s="133"/>
      <c r="J24" s="133"/>
      <c r="K24" s="133"/>
      <c r="L24" s="133"/>
      <c r="M24" s="96"/>
      <c r="N24" s="133"/>
      <c r="O24" s="133"/>
      <c r="P24" s="133"/>
      <c r="Q24" s="133"/>
      <c r="R24" s="96"/>
      <c r="S24" s="403"/>
      <c r="U24" s="370"/>
      <c r="V24" s="370"/>
      <c r="W24" s="231"/>
    </row>
    <row r="25" spans="1:23" x14ac:dyDescent="0.2">
      <c r="A25" s="166" t="s">
        <v>94</v>
      </c>
      <c r="B25" s="193"/>
      <c r="C25" s="133"/>
      <c r="D25" s="133"/>
      <c r="E25" s="133"/>
      <c r="F25" s="476"/>
      <c r="G25" s="133"/>
      <c r="H25" s="133"/>
      <c r="I25" s="133"/>
      <c r="J25" s="133"/>
      <c r="K25" s="133"/>
      <c r="L25" s="133"/>
      <c r="M25" s="96"/>
      <c r="N25" s="133"/>
      <c r="O25" s="133"/>
      <c r="P25" s="133"/>
      <c r="Q25" s="133"/>
      <c r="R25" s="96"/>
      <c r="S25" s="403"/>
      <c r="U25" s="370"/>
      <c r="V25" s="370"/>
      <c r="W25" s="231"/>
    </row>
    <row r="26" spans="1:23" x14ac:dyDescent="0.2">
      <c r="A26" s="38" t="s">
        <v>59</v>
      </c>
      <c r="B26" s="193">
        <f>'[3]Atlas Air'!$HW$57</f>
        <v>0</v>
      </c>
      <c r="C26" s="133">
        <f>[3]DHL!$HW$57</f>
        <v>0</v>
      </c>
      <c r="D26" s="133">
        <f>[3]Airborne!$HW$57</f>
        <v>0</v>
      </c>
      <c r="E26" s="133">
        <f>[3]DHL_Bemidji!$HW$57</f>
        <v>0</v>
      </c>
      <c r="F26" s="476"/>
      <c r="G26" s="133">
        <f>[3]DHL_Encore!$HW$57</f>
        <v>0</v>
      </c>
      <c r="H26" s="133">
        <f>[3]DHL_Mesa!$HW$57</f>
        <v>0</v>
      </c>
      <c r="I26" s="133">
        <f>[3]Encore!$HW$57</f>
        <v>0</v>
      </c>
      <c r="J26" s="133">
        <f>[3]FedEx!$HW$57</f>
        <v>0</v>
      </c>
      <c r="K26" s="133">
        <f>[3]IFL!$HW$57</f>
        <v>0</v>
      </c>
      <c r="L26" s="133">
        <f>[3]DHL_Kalitta!$HW$57</f>
        <v>0</v>
      </c>
      <c r="M26" s="96">
        <f>'[3]Mountain Cargo'!$HW$57</f>
        <v>0</v>
      </c>
      <c r="N26" s="133">
        <f>[3]DHL_Southair!$HW$57</f>
        <v>0</v>
      </c>
      <c r="O26" s="133">
        <f>[3]DHL_Swift!$HW$57</f>
        <v>0</v>
      </c>
      <c r="P26" s="133">
        <f>+'[3]Sun Country Cargo'!$HW$57</f>
        <v>0</v>
      </c>
      <c r="Q26" s="133">
        <f>[3]UPS!$HW$57</f>
        <v>0</v>
      </c>
      <c r="R26" s="96">
        <f>'[3]Misc Cargo'!$HW$57</f>
        <v>0</v>
      </c>
      <c r="S26" s="403">
        <f>SUM(B26:E26)+SUM(G26:R26)</f>
        <v>0</v>
      </c>
      <c r="U26" s="370"/>
      <c r="V26" s="370"/>
      <c r="W26" s="370"/>
    </row>
    <row r="27" spans="1:23" x14ac:dyDescent="0.2">
      <c r="A27" s="38" t="s">
        <v>60</v>
      </c>
      <c r="B27" s="193">
        <f>'[3]Atlas Air'!$HW$58</f>
        <v>0</v>
      </c>
      <c r="C27" s="133">
        <f>[3]DHL!$HW$58</f>
        <v>0</v>
      </c>
      <c r="D27" s="133">
        <f>[3]Airborne!$HW$58</f>
        <v>0</v>
      </c>
      <c r="E27" s="133">
        <f>[3]DHL_Bemidji!$HW$58</f>
        <v>0</v>
      </c>
      <c r="F27" s="476"/>
      <c r="G27" s="133">
        <f>[3]DHL_Encore!$HW$58</f>
        <v>0</v>
      </c>
      <c r="H27" s="133">
        <f>[3]DHL_Mesa!$HW$58</f>
        <v>0</v>
      </c>
      <c r="I27" s="133">
        <f>[3]Encore!$HW$58</f>
        <v>0</v>
      </c>
      <c r="J27" s="133">
        <f>[3]FedEx!$HW$58</f>
        <v>0</v>
      </c>
      <c r="K27" s="133">
        <f>[3]IFL!$HW$58</f>
        <v>0</v>
      </c>
      <c r="L27" s="133">
        <f>[3]DHL_Kalitta!$HW$58</f>
        <v>0</v>
      </c>
      <c r="M27" s="96">
        <f>'[3]Mountain Cargo'!$HW$58</f>
        <v>0</v>
      </c>
      <c r="N27" s="133">
        <f>[3]DHL_Southair!$HW$58</f>
        <v>0</v>
      </c>
      <c r="O27" s="133">
        <f>[3]DHL_Swift!$HW$58</f>
        <v>0</v>
      </c>
      <c r="P27" s="133">
        <f>+'[3]Sun Country Cargo'!$HW$58</f>
        <v>0</v>
      </c>
      <c r="Q27" s="133">
        <f>[3]UPS!$HW$58</f>
        <v>0</v>
      </c>
      <c r="R27" s="96">
        <f>'[3]Misc Cargo'!$HW$58</f>
        <v>0</v>
      </c>
      <c r="S27" s="403">
        <f>SUM(B27:E27)+SUM(G27:R27)</f>
        <v>0</v>
      </c>
      <c r="U27" s="370"/>
      <c r="V27" s="370"/>
      <c r="W27" s="231"/>
    </row>
    <row r="28" spans="1:23" ht="18" customHeight="1" x14ac:dyDescent="0.2">
      <c r="A28" s="167" t="s">
        <v>43</v>
      </c>
      <c r="B28" s="414">
        <f>SUM(B26:B27)</f>
        <v>0</v>
      </c>
      <c r="C28" s="237">
        <f>SUM(C26:C27)</f>
        <v>0</v>
      </c>
      <c r="D28" s="237">
        <f t="shared" ref="D28:E28" si="14">SUM(D26:D27)</f>
        <v>0</v>
      </c>
      <c r="E28" s="237">
        <f t="shared" si="14"/>
        <v>0</v>
      </c>
      <c r="F28" s="476"/>
      <c r="G28" s="237">
        <f t="shared" ref="G28:R28" si="15">SUM(G26:G27)</f>
        <v>0</v>
      </c>
      <c r="H28" s="237">
        <f t="shared" ref="H28" si="16">SUM(H26:H27)</f>
        <v>0</v>
      </c>
      <c r="I28" s="237">
        <f t="shared" si="15"/>
        <v>0</v>
      </c>
      <c r="J28" s="237">
        <f t="shared" si="15"/>
        <v>0</v>
      </c>
      <c r="K28" s="237">
        <f t="shared" si="15"/>
        <v>0</v>
      </c>
      <c r="L28" s="237">
        <f t="shared" si="15"/>
        <v>0</v>
      </c>
      <c r="M28" s="238">
        <f t="shared" si="15"/>
        <v>0</v>
      </c>
      <c r="N28" s="237">
        <f t="shared" si="15"/>
        <v>0</v>
      </c>
      <c r="O28" s="237">
        <f t="shared" si="15"/>
        <v>0</v>
      </c>
      <c r="P28" s="237">
        <f t="shared" si="15"/>
        <v>0</v>
      </c>
      <c r="Q28" s="237">
        <f t="shared" si="15"/>
        <v>0</v>
      </c>
      <c r="R28" s="238">
        <f t="shared" si="15"/>
        <v>0</v>
      </c>
      <c r="S28" s="415">
        <f>SUM(B28:E28)+SUM(G28:R28)</f>
        <v>0</v>
      </c>
      <c r="U28" s="370"/>
      <c r="V28" s="370"/>
      <c r="W28" s="370"/>
    </row>
    <row r="29" spans="1:23" x14ac:dyDescent="0.2">
      <c r="A29" s="38"/>
      <c r="B29" s="193"/>
      <c r="C29" s="133"/>
      <c r="D29" s="133"/>
      <c r="E29" s="133"/>
      <c r="F29" s="476"/>
      <c r="G29" s="133"/>
      <c r="H29" s="133"/>
      <c r="I29" s="133"/>
      <c r="J29" s="133"/>
      <c r="K29" s="133"/>
      <c r="L29" s="133"/>
      <c r="M29" s="96"/>
      <c r="N29" s="133"/>
      <c r="O29" s="133"/>
      <c r="P29" s="133"/>
      <c r="Q29" s="133"/>
      <c r="R29" s="96"/>
      <c r="S29" s="403"/>
      <c r="U29" s="370"/>
      <c r="V29" s="370"/>
      <c r="W29" s="370"/>
    </row>
    <row r="30" spans="1:23" x14ac:dyDescent="0.2">
      <c r="A30" s="168" t="s">
        <v>44</v>
      </c>
      <c r="B30" s="193"/>
      <c r="C30" s="133"/>
      <c r="D30" s="133"/>
      <c r="E30" s="133"/>
      <c r="F30" s="476"/>
      <c r="G30" s="133"/>
      <c r="H30" s="133"/>
      <c r="I30" s="133"/>
      <c r="J30" s="133"/>
      <c r="K30" s="133"/>
      <c r="L30" s="133"/>
      <c r="M30" s="96"/>
      <c r="N30" s="133"/>
      <c r="O30" s="133"/>
      <c r="P30" s="133"/>
      <c r="Q30" s="133"/>
      <c r="R30" s="96"/>
      <c r="S30" s="403"/>
      <c r="U30" s="370"/>
      <c r="V30" s="370"/>
      <c r="W30" s="370"/>
    </row>
    <row r="31" spans="1:23" x14ac:dyDescent="0.2">
      <c r="A31" s="38" t="s">
        <v>88</v>
      </c>
      <c r="B31" s="193">
        <f>B26+B21+B16</f>
        <v>3887409</v>
      </c>
      <c r="C31" s="133">
        <f t="shared" ref="C31:R33" si="17">C26+C21+C16</f>
        <v>0</v>
      </c>
      <c r="D31" s="133">
        <f t="shared" si="17"/>
        <v>51484</v>
      </c>
      <c r="E31" s="133">
        <f t="shared" si="17"/>
        <v>106736</v>
      </c>
      <c r="F31" s="476"/>
      <c r="G31" s="133">
        <f t="shared" ref="G31:P33" si="18">G26+G21+G16</f>
        <v>0</v>
      </c>
      <c r="H31" s="133">
        <f t="shared" ref="H31" si="19">H26+H21+H16</f>
        <v>0</v>
      </c>
      <c r="I31" s="133">
        <f t="shared" si="18"/>
        <v>0</v>
      </c>
      <c r="J31" s="133">
        <f t="shared" si="18"/>
        <v>15748743</v>
      </c>
      <c r="K31" s="133">
        <f t="shared" si="18"/>
        <v>68830</v>
      </c>
      <c r="L31" s="133">
        <f t="shared" si="18"/>
        <v>0</v>
      </c>
      <c r="M31" s="96">
        <f>M26+M21+M16</f>
        <v>0</v>
      </c>
      <c r="N31" s="133">
        <f t="shared" si="18"/>
        <v>0</v>
      </c>
      <c r="O31" s="133">
        <f t="shared" si="18"/>
        <v>138577</v>
      </c>
      <c r="P31" s="133">
        <f t="shared" si="18"/>
        <v>1515676</v>
      </c>
      <c r="Q31" s="133">
        <f t="shared" si="17"/>
        <v>12289370</v>
      </c>
      <c r="R31" s="96">
        <f>R26+R21+R16</f>
        <v>0</v>
      </c>
      <c r="S31" s="403">
        <f>SUM(B31:E31)+SUM(G31:R31)</f>
        <v>33806825</v>
      </c>
    </row>
    <row r="32" spans="1:23" x14ac:dyDescent="0.2">
      <c r="A32" s="38" t="s">
        <v>60</v>
      </c>
      <c r="B32" s="193">
        <f>B27+B22+B17</f>
        <v>0</v>
      </c>
      <c r="C32" s="133">
        <f t="shared" si="17"/>
        <v>0</v>
      </c>
      <c r="D32" s="133">
        <f t="shared" si="17"/>
        <v>0</v>
      </c>
      <c r="E32" s="133">
        <f t="shared" si="17"/>
        <v>0</v>
      </c>
      <c r="F32" s="477"/>
      <c r="G32" s="133">
        <f t="shared" si="18"/>
        <v>0</v>
      </c>
      <c r="H32" s="133">
        <f t="shared" ref="H32" si="20">H27+H22+H17</f>
        <v>0</v>
      </c>
      <c r="I32" s="133">
        <f t="shared" si="18"/>
        <v>0</v>
      </c>
      <c r="J32" s="133">
        <f t="shared" si="18"/>
        <v>0</v>
      </c>
      <c r="K32" s="133">
        <f t="shared" si="18"/>
        <v>0</v>
      </c>
      <c r="L32" s="133">
        <f t="shared" si="18"/>
        <v>0</v>
      </c>
      <c r="M32" s="96">
        <f>M27+M22+M17</f>
        <v>53727</v>
      </c>
      <c r="N32" s="133">
        <f t="shared" si="18"/>
        <v>0</v>
      </c>
      <c r="O32" s="133">
        <f t="shared" si="18"/>
        <v>0</v>
      </c>
      <c r="P32" s="133">
        <f t="shared" si="18"/>
        <v>0</v>
      </c>
      <c r="Q32" s="133">
        <f t="shared" si="17"/>
        <v>1570093</v>
      </c>
      <c r="R32" s="96">
        <f>R27+R22+R17</f>
        <v>0</v>
      </c>
      <c r="S32" s="403">
        <f>SUM(B32:E32)+SUM(G32:R32)</f>
        <v>1623820</v>
      </c>
    </row>
    <row r="33" spans="1:19" ht="18" customHeight="1" thickBot="1" x14ac:dyDescent="0.25">
      <c r="A33" s="161" t="s">
        <v>46</v>
      </c>
      <c r="B33" s="408">
        <f>B28+B23+B18</f>
        <v>3887409</v>
      </c>
      <c r="C33" s="162">
        <f t="shared" ref="C33:I33" si="21">C28+C23+C18</f>
        <v>0</v>
      </c>
      <c r="D33" s="162">
        <f t="shared" si="21"/>
        <v>51484</v>
      </c>
      <c r="E33" s="162">
        <f t="shared" si="21"/>
        <v>106736</v>
      </c>
      <c r="F33" s="239">
        <f t="shared" si="21"/>
        <v>0</v>
      </c>
      <c r="G33" s="162">
        <f t="shared" si="21"/>
        <v>0</v>
      </c>
      <c r="H33" s="162">
        <f t="shared" ref="H33" si="22">H28+H23+H18</f>
        <v>0</v>
      </c>
      <c r="I33" s="162">
        <f t="shared" si="21"/>
        <v>0</v>
      </c>
      <c r="J33" s="162">
        <f t="shared" si="18"/>
        <v>15748743</v>
      </c>
      <c r="K33" s="162">
        <f t="shared" si="18"/>
        <v>68830</v>
      </c>
      <c r="L33" s="162">
        <f t="shared" si="18"/>
        <v>0</v>
      </c>
      <c r="M33" s="163">
        <f>M28+M23+M18</f>
        <v>53727</v>
      </c>
      <c r="N33" s="162">
        <f t="shared" si="18"/>
        <v>0</v>
      </c>
      <c r="O33" s="162">
        <f t="shared" si="18"/>
        <v>138577</v>
      </c>
      <c r="P33" s="162">
        <f t="shared" si="17"/>
        <v>1515676</v>
      </c>
      <c r="Q33" s="162">
        <f t="shared" si="17"/>
        <v>13859463</v>
      </c>
      <c r="R33" s="163">
        <f t="shared" si="17"/>
        <v>0</v>
      </c>
      <c r="S33" s="409">
        <f>SUM(B33:E33)+SUM(G33:R33)</f>
        <v>35430645</v>
      </c>
    </row>
    <row r="34" spans="1:19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58" orientation="landscape" r:id="rId1"/>
  <headerFooter alignWithMargins="0">
    <oddHeader>&amp;L
Schedule 7
&amp;CMinneapolis-St. Paul International Airport
&amp;"Arial,Bold"Cargo
June 2022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J25" sqref="J2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4.7109375" style="433" bestFit="1" customWidth="1"/>
    <col min="15" max="15" width="13.7109375" customWidth="1"/>
  </cols>
  <sheetData>
    <row r="1" spans="1:18" s="28" customFormat="1" ht="12" customHeight="1" x14ac:dyDescent="0.2">
      <c r="A1" s="15"/>
      <c r="L1" s="9"/>
      <c r="M1" s="447"/>
      <c r="N1" s="9"/>
      <c r="O1" s="9"/>
      <c r="P1" s="9"/>
      <c r="Q1" s="9"/>
      <c r="R1" s="9"/>
    </row>
    <row r="2" spans="1:18" s="9" customFormat="1" ht="30" customHeight="1" thickBot="1" x14ac:dyDescent="0.25">
      <c r="A2" s="442">
        <v>44713</v>
      </c>
      <c r="B2" s="58" t="s">
        <v>231</v>
      </c>
      <c r="C2" s="58" t="s">
        <v>63</v>
      </c>
      <c r="D2" s="58" t="s">
        <v>64</v>
      </c>
      <c r="E2" s="250" t="s">
        <v>74</v>
      </c>
      <c r="F2" s="59" t="s">
        <v>242</v>
      </c>
      <c r="G2" s="59" t="s">
        <v>222</v>
      </c>
      <c r="H2" s="60" t="s">
        <v>65</v>
      </c>
      <c r="I2" s="61" t="s">
        <v>239</v>
      </c>
      <c r="J2" s="61" t="s">
        <v>219</v>
      </c>
      <c r="K2" s="70" t="s">
        <v>2</v>
      </c>
      <c r="M2" s="447"/>
    </row>
    <row r="3" spans="1:18" ht="20.25" customHeight="1" x14ac:dyDescent="0.2">
      <c r="A3" s="67" t="s">
        <v>66</v>
      </c>
      <c r="B3" s="69"/>
      <c r="C3" s="62"/>
      <c r="D3" s="62"/>
      <c r="E3" s="62"/>
      <c r="F3" s="63"/>
      <c r="G3" s="63"/>
      <c r="H3" s="64"/>
      <c r="I3" s="63"/>
      <c r="J3" s="63"/>
      <c r="K3" s="65"/>
    </row>
    <row r="4" spans="1:18" x14ac:dyDescent="0.2">
      <c r="A4" s="46" t="s">
        <v>67</v>
      </c>
      <c r="B4" s="140"/>
      <c r="C4" s="96"/>
      <c r="D4" s="96"/>
      <c r="E4" s="96"/>
      <c r="F4" s="96"/>
      <c r="G4" s="96"/>
      <c r="H4" s="96"/>
      <c r="I4" s="96"/>
      <c r="J4" s="96"/>
      <c r="K4" s="141"/>
    </row>
    <row r="5" spans="1:18" x14ac:dyDescent="0.2">
      <c r="A5" s="46" t="s">
        <v>68</v>
      </c>
      <c r="B5" s="140">
        <f>'Major Airline Stats'!K28</f>
        <v>4475093</v>
      </c>
      <c r="C5" s="96">
        <f>'Regional Major'!M25</f>
        <v>9143.7000000000007</v>
      </c>
      <c r="D5" s="96">
        <f>Cargo!S16</f>
        <v>18244482</v>
      </c>
      <c r="E5" s="96">
        <f>SUM(B5:D5)</f>
        <v>22728718.699999999</v>
      </c>
      <c r="F5" s="96">
        <f>E5*0.00045359237</f>
        <v>10309.573382196319</v>
      </c>
      <c r="G5" s="96">
        <f>'[1]Cargo Summary'!F5</f>
        <v>10590.93051509185</v>
      </c>
      <c r="H5" s="78">
        <f>(F5-G5)/G5</f>
        <v>-2.656585580413387E-2</v>
      </c>
      <c r="I5" s="96">
        <f>+F5+'[2]Cargo Summary'!I5</f>
        <v>55986.429231363698</v>
      </c>
      <c r="J5" s="96">
        <f>+'[1]Cargo Summary'!I5</f>
        <v>53940.424461523602</v>
      </c>
      <c r="K5" s="66">
        <f>(I5-J5)/J5</f>
        <v>3.793082442833829E-2</v>
      </c>
      <c r="M5" s="14"/>
      <c r="O5" s="446"/>
    </row>
    <row r="6" spans="1:18" x14ac:dyDescent="0.2">
      <c r="A6" s="46" t="s">
        <v>16</v>
      </c>
      <c r="B6" s="140">
        <f>'Major Airline Stats'!K29</f>
        <v>2047428</v>
      </c>
      <c r="C6" s="96">
        <f>'Regional Major'!M26</f>
        <v>0</v>
      </c>
      <c r="D6" s="96">
        <f>Cargo!S17</f>
        <v>1020536</v>
      </c>
      <c r="E6" s="96">
        <f>SUM(B6:D6)</f>
        <v>3067964</v>
      </c>
      <c r="F6" s="96">
        <f>E6*0.00045359237</f>
        <v>1391.6050618346799</v>
      </c>
      <c r="G6" s="96">
        <f>'[1]Cargo Summary'!F6</f>
        <v>841.66060059927997</v>
      </c>
      <c r="H6" s="3">
        <f>(F6-G6)/G6</f>
        <v>0.65340406910318471</v>
      </c>
      <c r="I6" s="96">
        <f>+F6+'[2]Cargo Summary'!I6</f>
        <v>9368.4550794819588</v>
      </c>
      <c r="J6" s="96">
        <f>+'[1]Cargo Summary'!I6</f>
        <v>5220.3496806853691</v>
      </c>
      <c r="K6" s="66">
        <f>(I6-J6)/J6</f>
        <v>0.79460297729557328</v>
      </c>
      <c r="M6" s="14"/>
    </row>
    <row r="7" spans="1:18" ht="18" customHeight="1" thickBot="1" x14ac:dyDescent="0.25">
      <c r="A7" s="55" t="s">
        <v>71</v>
      </c>
      <c r="B7" s="142">
        <f>SUM(B5:B6)</f>
        <v>6522521</v>
      </c>
      <c r="C7" s="106">
        <f t="shared" ref="C7:J7" si="0">SUM(C5:C6)</f>
        <v>9143.7000000000007</v>
      </c>
      <c r="D7" s="106">
        <f t="shared" si="0"/>
        <v>19265018</v>
      </c>
      <c r="E7" s="106">
        <f t="shared" si="0"/>
        <v>25796682.699999999</v>
      </c>
      <c r="F7" s="106">
        <f t="shared" si="0"/>
        <v>11701.178444030998</v>
      </c>
      <c r="G7" s="106">
        <f t="shared" si="0"/>
        <v>11432.59111569113</v>
      </c>
      <c r="H7" s="29">
        <f>(F7-G7)/G7</f>
        <v>2.3493128165078429E-2</v>
      </c>
      <c r="I7" s="106">
        <f t="shared" si="0"/>
        <v>65354.884310845657</v>
      </c>
      <c r="J7" s="106">
        <f t="shared" si="0"/>
        <v>59160.774142208975</v>
      </c>
      <c r="K7" s="252">
        <f>(I7-J7)/J7</f>
        <v>0.10469961318875674</v>
      </c>
      <c r="M7" s="14"/>
    </row>
    <row r="8" spans="1:18" ht="13.5" thickTop="1" x14ac:dyDescent="0.2">
      <c r="A8" s="46"/>
      <c r="B8" s="140"/>
      <c r="C8" s="96"/>
      <c r="D8" s="96"/>
      <c r="E8" s="96"/>
      <c r="F8" s="96"/>
      <c r="G8" s="96"/>
      <c r="I8" s="96"/>
      <c r="J8" s="96"/>
      <c r="K8" s="66"/>
      <c r="M8" s="14"/>
    </row>
    <row r="9" spans="1:18" x14ac:dyDescent="0.2">
      <c r="A9" s="46" t="s">
        <v>69</v>
      </c>
      <c r="B9" s="140"/>
      <c r="C9" s="96"/>
      <c r="D9" s="96"/>
      <c r="E9" s="96"/>
      <c r="F9" s="96"/>
      <c r="G9" s="96"/>
      <c r="I9" s="96"/>
      <c r="J9" s="96"/>
      <c r="K9" s="66"/>
      <c r="M9" s="14"/>
    </row>
    <row r="10" spans="1:18" x14ac:dyDescent="0.2">
      <c r="A10" s="46" t="s">
        <v>68</v>
      </c>
      <c r="B10" s="140">
        <f>'Major Airline Stats'!K33</f>
        <v>2851283</v>
      </c>
      <c r="C10" s="96">
        <f>'Regional Major'!M30</f>
        <v>1372.4</v>
      </c>
      <c r="D10" s="96">
        <f>Cargo!S21</f>
        <v>15562343</v>
      </c>
      <c r="E10" s="96">
        <f>SUM(B10:D10)</f>
        <v>18414998.399999999</v>
      </c>
      <c r="F10" s="96">
        <f>E10*0.00045359237</f>
        <v>8352.9027678022067</v>
      </c>
      <c r="G10" s="96">
        <f>'[1]Cargo Summary'!F10</f>
        <v>7877.8648227040294</v>
      </c>
      <c r="H10" s="3">
        <f>(F10-G10)/G10</f>
        <v>6.0300342261410289E-2</v>
      </c>
      <c r="I10" s="96">
        <f>+F10+'[2]Cargo Summary'!I10</f>
        <v>43234.580628619762</v>
      </c>
      <c r="J10" s="96">
        <f>+'[1]Cargo Summary'!I10</f>
        <v>43616.0497706241</v>
      </c>
      <c r="K10" s="66">
        <f>(I10-J10)/J10</f>
        <v>-8.746072695956569E-3</v>
      </c>
      <c r="M10" s="14"/>
      <c r="O10" s="446"/>
    </row>
    <row r="11" spans="1:18" x14ac:dyDescent="0.2">
      <c r="A11" s="46" t="s">
        <v>16</v>
      </c>
      <c r="B11" s="140">
        <f>'Major Airline Stats'!K34</f>
        <v>1733965</v>
      </c>
      <c r="C11" s="96">
        <f>'Regional Major'!M31</f>
        <v>0</v>
      </c>
      <c r="D11" s="96">
        <f>Cargo!S22</f>
        <v>603284</v>
      </c>
      <c r="E11" s="96">
        <f>SUM(B11:D11)</f>
        <v>2337249</v>
      </c>
      <c r="F11" s="96">
        <f>E11*0.00045359237</f>
        <v>1060.15831319013</v>
      </c>
      <c r="G11" s="96">
        <f>'[1]Cargo Summary'!F11</f>
        <v>995.83211123857996</v>
      </c>
      <c r="H11" s="26">
        <f>(F11-G11)/G11</f>
        <v>6.4595428512084677E-2</v>
      </c>
      <c r="I11" s="96">
        <f>+F11+'[2]Cargo Summary'!I11</f>
        <v>7587.8628089063805</v>
      </c>
      <c r="J11" s="96">
        <f>+'[1]Cargo Summary'!I11</f>
        <v>5717.0101926244997</v>
      </c>
      <c r="K11" s="66">
        <f>(I11-J11)/J11</f>
        <v>0.32724318363039878</v>
      </c>
      <c r="M11" s="14"/>
    </row>
    <row r="12" spans="1:18" ht="18" customHeight="1" thickBot="1" x14ac:dyDescent="0.25">
      <c r="A12" s="55" t="s">
        <v>72</v>
      </c>
      <c r="B12" s="142">
        <f>SUM(B10:B11)</f>
        <v>4585248</v>
      </c>
      <c r="C12" s="106">
        <f t="shared" ref="C12:J12" si="1">SUM(C10:C11)</f>
        <v>1372.4</v>
      </c>
      <c r="D12" s="106">
        <f t="shared" si="1"/>
        <v>16165627</v>
      </c>
      <c r="E12" s="106">
        <f t="shared" si="1"/>
        <v>20752247.399999999</v>
      </c>
      <c r="F12" s="106">
        <f t="shared" si="1"/>
        <v>9413.0610809923364</v>
      </c>
      <c r="G12" s="106">
        <f t="shared" si="1"/>
        <v>8873.6969339426087</v>
      </c>
      <c r="H12" s="29">
        <f>(F12-G12)/G12</f>
        <v>6.0782349348287551E-2</v>
      </c>
      <c r="I12" s="106">
        <f>SUM(I10:I11)</f>
        <v>50822.443437526141</v>
      </c>
      <c r="J12" s="106">
        <f t="shared" si="1"/>
        <v>49333.059963248597</v>
      </c>
      <c r="K12" s="252">
        <f>(I12-J12)/J12</f>
        <v>3.0190372853155307E-2</v>
      </c>
      <c r="M12" s="14"/>
    </row>
    <row r="13" spans="1:18" ht="13.5" thickTop="1" x14ac:dyDescent="0.2">
      <c r="A13" s="46"/>
      <c r="B13" s="140"/>
      <c r="C13" s="96"/>
      <c r="D13" s="96"/>
      <c r="E13" s="96"/>
      <c r="F13" s="96"/>
      <c r="G13" s="96"/>
      <c r="I13" s="96"/>
      <c r="J13" s="96"/>
      <c r="K13" s="66"/>
      <c r="M13" s="14"/>
    </row>
    <row r="14" spans="1:18" x14ac:dyDescent="0.2">
      <c r="A14" s="46" t="s">
        <v>70</v>
      </c>
      <c r="B14" s="140"/>
      <c r="C14" s="96"/>
      <c r="D14" s="96"/>
      <c r="E14" s="96"/>
      <c r="F14" s="96"/>
      <c r="G14" s="96"/>
      <c r="I14" s="96"/>
      <c r="J14" s="96"/>
      <c r="K14" s="66"/>
      <c r="M14" s="14"/>
    </row>
    <row r="15" spans="1:18" x14ac:dyDescent="0.2">
      <c r="A15" s="46" t="s">
        <v>68</v>
      </c>
      <c r="B15" s="140">
        <f>'Major Airline Stats'!K38</f>
        <v>0</v>
      </c>
      <c r="C15" s="96">
        <f>'Regional Major'!M35</f>
        <v>0</v>
      </c>
      <c r="D15" s="96">
        <f>Cargo!S26</f>
        <v>0</v>
      </c>
      <c r="E15" s="96">
        <f>SUM(B15:D15)</f>
        <v>0</v>
      </c>
      <c r="F15" s="96">
        <f>E15*0.00045359237</f>
        <v>0</v>
      </c>
      <c r="G15" s="96">
        <f>'[1]Cargo Summary'!F15</f>
        <v>0</v>
      </c>
      <c r="H15" t="e">
        <f>(F15-G15)/G15</f>
        <v>#DIV/0!</v>
      </c>
      <c r="I15" s="96">
        <f>+F15+'[2]Cargo Summary'!I15</f>
        <v>0</v>
      </c>
      <c r="J15" s="96">
        <f>+'[1]Cargo Summary'!I15</f>
        <v>0</v>
      </c>
      <c r="K15" s="66" t="e">
        <f>(I15-J15)/J15</f>
        <v>#DIV/0!</v>
      </c>
      <c r="M15" s="14"/>
    </row>
    <row r="16" spans="1:18" ht="15" customHeight="1" x14ac:dyDescent="0.2">
      <c r="A16" s="46" t="s">
        <v>16</v>
      </c>
      <c r="B16" s="140">
        <f>'Major Airline Stats'!K39</f>
        <v>0</v>
      </c>
      <c r="C16" s="96">
        <f>'Regional Major'!M36</f>
        <v>0</v>
      </c>
      <c r="D16" s="96">
        <f>Cargo!S27</f>
        <v>0</v>
      </c>
      <c r="E16" s="96">
        <f>SUM(B16:D16)</f>
        <v>0</v>
      </c>
      <c r="F16" s="96">
        <f>E16*0.00045359237</f>
        <v>0</v>
      </c>
      <c r="G16" s="96">
        <f>'[1]Cargo Summary'!F16</f>
        <v>0</v>
      </c>
      <c r="H16" s="3" t="e">
        <f>(F16-G16)/G16</f>
        <v>#DIV/0!</v>
      </c>
      <c r="I16" s="96">
        <f>+F16+'[2]Cargo Summary'!I16</f>
        <v>0</v>
      </c>
      <c r="J16" s="96">
        <f>+'[1]Cargo Summary'!I16</f>
        <v>0</v>
      </c>
      <c r="K16" s="66">
        <v>1</v>
      </c>
      <c r="M16" s="14"/>
    </row>
    <row r="17" spans="1:13" ht="18" customHeight="1" thickBot="1" x14ac:dyDescent="0.25">
      <c r="A17" s="55" t="s">
        <v>73</v>
      </c>
      <c r="B17" s="142">
        <f>SUM(B15:B16)</f>
        <v>0</v>
      </c>
      <c r="C17" s="106">
        <f t="shared" ref="C17:J17" si="2">SUM(C15:C16)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29" t="e">
        <f>(F17-G17)/G17</f>
        <v>#DIV/0!</v>
      </c>
      <c r="I17" s="106">
        <f>SUM(I15:I16)</f>
        <v>0</v>
      </c>
      <c r="J17" s="106">
        <f t="shared" si="2"/>
        <v>0</v>
      </c>
      <c r="K17" s="252" t="e">
        <f>(I17-J17)/J17</f>
        <v>#DIV/0!</v>
      </c>
      <c r="M17" s="14"/>
    </row>
    <row r="18" spans="1:13" ht="13.5" thickTop="1" x14ac:dyDescent="0.2">
      <c r="A18" s="46"/>
      <c r="B18" s="140"/>
      <c r="C18" s="96"/>
      <c r="D18" s="96"/>
      <c r="E18" s="96"/>
      <c r="F18" s="96"/>
      <c r="G18" s="96"/>
      <c r="I18" s="96"/>
      <c r="J18" s="96"/>
      <c r="K18" s="66"/>
      <c r="M18" s="14"/>
    </row>
    <row r="19" spans="1:13" x14ac:dyDescent="0.2">
      <c r="A19" s="46" t="s">
        <v>14</v>
      </c>
      <c r="B19" s="140"/>
      <c r="C19" s="96"/>
      <c r="D19" s="96"/>
      <c r="E19" s="96"/>
      <c r="F19" s="96"/>
      <c r="G19" s="96"/>
      <c r="I19" s="96"/>
      <c r="J19" s="96"/>
      <c r="K19" s="66"/>
      <c r="M19" s="14"/>
    </row>
    <row r="20" spans="1:13" x14ac:dyDescent="0.2">
      <c r="A20" s="46" t="s">
        <v>68</v>
      </c>
      <c r="B20" s="140">
        <f>B15+B10+B5</f>
        <v>7326376</v>
      </c>
      <c r="C20" s="96">
        <f t="shared" ref="C20:D21" si="3">C15+C10+C5</f>
        <v>10516.1</v>
      </c>
      <c r="D20" s="96">
        <f t="shared" si="3"/>
        <v>33806825</v>
      </c>
      <c r="E20" s="96">
        <f>SUM(B20:D20)</f>
        <v>41143717.100000001</v>
      </c>
      <c r="F20" s="96">
        <f>E20*0.00045359237</f>
        <v>18662.476149998529</v>
      </c>
      <c r="G20" s="96">
        <f>'[1]Cargo Summary'!F20</f>
        <v>18468.79533779588</v>
      </c>
      <c r="H20" s="3">
        <f>(F20-G20)/G20</f>
        <v>1.0486921786733227E-2</v>
      </c>
      <c r="I20" s="96">
        <f>+F20+'[2]Cargo Summary'!I20</f>
        <v>99221.009859983489</v>
      </c>
      <c r="J20" s="96">
        <f>+'[1]Cargo Summary'!I20</f>
        <v>97556.474232147695</v>
      </c>
      <c r="K20" s="66">
        <f>(I20-J20)/J20</f>
        <v>1.7062277423790712E-2</v>
      </c>
      <c r="M20" s="14"/>
    </row>
    <row r="21" spans="1:13" x14ac:dyDescent="0.2">
      <c r="A21" s="46" t="s">
        <v>16</v>
      </c>
      <c r="B21" s="140">
        <f>B16+B11+B6</f>
        <v>3781393</v>
      </c>
      <c r="C21" s="97">
        <f t="shared" si="3"/>
        <v>0</v>
      </c>
      <c r="D21" s="97">
        <f t="shared" si="3"/>
        <v>1623820</v>
      </c>
      <c r="E21" s="96">
        <f>SUM(B21:D21)</f>
        <v>5405213</v>
      </c>
      <c r="F21" s="96">
        <f>E21*0.00045359237</f>
        <v>2451.7633750248101</v>
      </c>
      <c r="G21" s="96">
        <f>'[1]Cargo Summary'!F21</f>
        <v>1837.49271183786</v>
      </c>
      <c r="H21" s="3">
        <f>(F21-G21)/G21</f>
        <v>0.33429828550043966</v>
      </c>
      <c r="I21" s="96">
        <f>+F21+'[2]Cargo Summary'!I21</f>
        <v>16956.317888388341</v>
      </c>
      <c r="J21" s="96">
        <f>+'[1]Cargo Summary'!I21</f>
        <v>10937.35987330987</v>
      </c>
      <c r="K21" s="66">
        <f>(I21-J21)/J21</f>
        <v>0.55031178317231422</v>
      </c>
      <c r="M21" s="14"/>
    </row>
    <row r="22" spans="1:13" ht="18" customHeight="1" thickBot="1" x14ac:dyDescent="0.25">
      <c r="A22" s="68" t="s">
        <v>62</v>
      </c>
      <c r="B22" s="143">
        <f>SUM(B20:B21)</f>
        <v>11107769</v>
      </c>
      <c r="C22" s="144">
        <f t="shared" ref="C22:J22" si="4">SUM(C20:C21)</f>
        <v>10516.1</v>
      </c>
      <c r="D22" s="144">
        <f t="shared" si="4"/>
        <v>35430645</v>
      </c>
      <c r="E22" s="144">
        <f>SUM(E20:E21)</f>
        <v>46548930.100000001</v>
      </c>
      <c r="F22" s="144">
        <f t="shared" si="4"/>
        <v>21114.239525023339</v>
      </c>
      <c r="G22" s="144">
        <f t="shared" si="4"/>
        <v>20306.288049633738</v>
      </c>
      <c r="H22" s="258">
        <f>(F22-G22)/G22</f>
        <v>3.9788240638306764E-2</v>
      </c>
      <c r="I22" s="144">
        <f>SUM(I20:I21)</f>
        <v>116177.32774837183</v>
      </c>
      <c r="J22" s="144">
        <f t="shared" si="4"/>
        <v>108493.83410545756</v>
      </c>
      <c r="K22" s="259">
        <f>(I22-J22)/J22</f>
        <v>7.0819634187190797E-2</v>
      </c>
      <c r="M22" s="14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June 2022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D457-4761-46A2-B95F-0BC23BBB75A0}">
  <dimension ref="A1:T35"/>
  <sheetViews>
    <sheetView zoomScaleNormal="100" workbookViewId="0">
      <selection activeCell="L18" sqref="L18"/>
    </sheetView>
  </sheetViews>
  <sheetFormatPr defaultRowHeight="12.75" x14ac:dyDescent="0.2"/>
  <cols>
    <col min="2" max="2" width="11.42578125" bestFit="1" customWidth="1"/>
    <col min="11" max="11" width="11.42578125" bestFit="1" customWidth="1"/>
    <col min="12" max="12" width="15.7109375" bestFit="1" customWidth="1"/>
    <col min="13" max="13" width="10.140625" bestFit="1" customWidth="1"/>
    <col min="14" max="14" width="8.85546875" bestFit="1" customWidth="1"/>
    <col min="15" max="16" width="11.140625" bestFit="1" customWidth="1"/>
    <col min="17" max="17" width="8.85546875" bestFit="1" customWidth="1"/>
    <col min="18" max="18" width="7.28515625" bestFit="1" customWidth="1"/>
  </cols>
  <sheetData>
    <row r="1" spans="1:20" ht="13.5" thickBot="1" x14ac:dyDescent="0.25">
      <c r="C1" s="2"/>
      <c r="D1" s="2"/>
      <c r="E1" s="3"/>
      <c r="F1" s="172"/>
      <c r="G1" s="2"/>
      <c r="H1" s="3"/>
      <c r="I1" s="3"/>
      <c r="J1" s="3"/>
      <c r="L1" s="2"/>
      <c r="M1" s="2"/>
      <c r="N1" s="3"/>
      <c r="T1" s="433"/>
    </row>
    <row r="2" spans="1:20" s="9" customFormat="1" ht="26.25" thickBot="1" x14ac:dyDescent="0.25">
      <c r="A2" s="481" t="s">
        <v>187</v>
      </c>
      <c r="B2" s="482"/>
      <c r="C2" s="366" t="s">
        <v>243</v>
      </c>
      <c r="D2" s="367" t="s">
        <v>223</v>
      </c>
      <c r="E2" s="440" t="s">
        <v>95</v>
      </c>
      <c r="F2" s="369" t="s">
        <v>244</v>
      </c>
      <c r="G2" s="367" t="s">
        <v>224</v>
      </c>
      <c r="H2" s="441" t="s">
        <v>96</v>
      </c>
      <c r="I2" s="368" t="s">
        <v>137</v>
      </c>
      <c r="J2" s="481" t="s">
        <v>183</v>
      </c>
      <c r="K2" s="482"/>
      <c r="L2" s="366" t="s">
        <v>243</v>
      </c>
      <c r="M2" s="367" t="s">
        <v>223</v>
      </c>
      <c r="N2" s="440" t="s">
        <v>95</v>
      </c>
      <c r="O2" s="369" t="s">
        <v>244</v>
      </c>
      <c r="P2" s="367" t="s">
        <v>224</v>
      </c>
      <c r="Q2" s="441" t="s">
        <v>96</v>
      </c>
      <c r="R2" s="368" t="s">
        <v>137</v>
      </c>
      <c r="T2" s="434"/>
    </row>
    <row r="3" spans="1:20" s="9" customFormat="1" ht="13.5" customHeight="1" thickBot="1" x14ac:dyDescent="0.25">
      <c r="A3" s="483">
        <v>44713</v>
      </c>
      <c r="B3" s="484"/>
      <c r="C3" s="485" t="s">
        <v>9</v>
      </c>
      <c r="D3" s="486"/>
      <c r="E3" s="486"/>
      <c r="F3" s="486"/>
      <c r="G3" s="486"/>
      <c r="H3" s="487"/>
      <c r="I3" s="454"/>
      <c r="J3" s="483">
        <f>+A3</f>
        <v>44713</v>
      </c>
      <c r="K3" s="484"/>
      <c r="L3" s="478" t="s">
        <v>184</v>
      </c>
      <c r="M3" s="479"/>
      <c r="N3" s="479"/>
      <c r="O3" s="479"/>
      <c r="P3" s="479"/>
      <c r="Q3" s="479"/>
      <c r="R3" s="480"/>
      <c r="T3" s="434"/>
    </row>
    <row r="4" spans="1:20" x14ac:dyDescent="0.2">
      <c r="A4" s="276"/>
      <c r="B4" s="277"/>
      <c r="C4" s="278"/>
      <c r="D4" s="279"/>
      <c r="E4" s="280"/>
      <c r="F4" s="416"/>
      <c r="G4" s="279"/>
      <c r="H4" s="378"/>
      <c r="I4" s="280"/>
      <c r="J4" s="281"/>
      <c r="K4" s="277"/>
      <c r="L4" s="288"/>
      <c r="M4" s="2"/>
      <c r="N4" s="66"/>
      <c r="O4" s="38"/>
      <c r="R4" s="40"/>
      <c r="T4" s="433"/>
    </row>
    <row r="5" spans="1:20" ht="14.1" customHeight="1" x14ac:dyDescent="0.2">
      <c r="A5" s="283" t="s">
        <v>210</v>
      </c>
      <c r="B5" s="40"/>
      <c r="C5" s="417">
        <f>SUM(C6:C7)</f>
        <v>130</v>
      </c>
      <c r="D5" s="417">
        <f>SUM(D6:D7)</f>
        <v>189</v>
      </c>
      <c r="E5" s="418">
        <f>(C5-D5)/D5</f>
        <v>-0.31216931216931215</v>
      </c>
      <c r="F5" s="417">
        <f>SUM(F6:F7)</f>
        <v>933</v>
      </c>
      <c r="G5" s="417">
        <f>SUM(G6:G7)</f>
        <v>804</v>
      </c>
      <c r="H5" s="419">
        <f>(F5-G5)/G5</f>
        <v>0.16044776119402984</v>
      </c>
      <c r="I5" s="418">
        <f>+F5/$F$34</f>
        <v>0.11930946291560102</v>
      </c>
      <c r="J5" s="283" t="s">
        <v>210</v>
      </c>
      <c r="K5" s="40"/>
      <c r="L5" s="417">
        <f>SUM(L6:L7)</f>
        <v>5403085</v>
      </c>
      <c r="M5" s="417">
        <f>SUM(M6:M7)</f>
        <v>6489306</v>
      </c>
      <c r="N5" s="418">
        <f>(L5-M5)/M5</f>
        <v>-0.16738631218808298</v>
      </c>
      <c r="O5" s="417">
        <f>SUM(O6:O7)</f>
        <v>32864679</v>
      </c>
      <c r="P5" s="417">
        <f>SUM(P6:P7)</f>
        <v>23993623</v>
      </c>
      <c r="Q5" s="419">
        <f>(O5-P5)/P5</f>
        <v>0.36972557249899274</v>
      </c>
      <c r="R5" s="418">
        <f>O5/$O$34</f>
        <v>0.15727949142498956</v>
      </c>
      <c r="T5" s="433"/>
    </row>
    <row r="6" spans="1:20" ht="14.1" customHeight="1" x14ac:dyDescent="0.2">
      <c r="A6" s="38"/>
      <c r="B6" s="343" t="s">
        <v>211</v>
      </c>
      <c r="C6" s="347">
        <f>+'[3]Atlas Air'!$HW$19</f>
        <v>64</v>
      </c>
      <c r="D6" s="231">
        <f>+'[3]Atlas Air'!$HI$19</f>
        <v>66</v>
      </c>
      <c r="E6" s="349">
        <f>(C6-D6)/D6</f>
        <v>-3.0303030303030304E-2</v>
      </c>
      <c r="F6" s="347">
        <f>+SUM('[3]Atlas Air'!$HR$19:$HW$19)</f>
        <v>362</v>
      </c>
      <c r="G6" s="231">
        <f>+SUM('[3]Atlas Air'!$HD$19:$HI$19)</f>
        <v>217</v>
      </c>
      <c r="H6" s="348">
        <f>(F6-G6)/G6</f>
        <v>0.66820276497695852</v>
      </c>
      <c r="I6" s="349">
        <f>+F6/$F$34</f>
        <v>4.6291560102301788E-2</v>
      </c>
      <c r="J6" s="38"/>
      <c r="K6" s="343" t="s">
        <v>211</v>
      </c>
      <c r="L6" s="347">
        <f>+'[3]Atlas Air'!$HW$64</f>
        <v>3887409</v>
      </c>
      <c r="M6" s="231">
        <f>+'[3]Atlas Air'!$HI$64</f>
        <v>2947662</v>
      </c>
      <c r="N6" s="349">
        <f>(L6-M6)/M6</f>
        <v>0.31881097629239719</v>
      </c>
      <c r="O6" s="231">
        <f>+SUM('[3]Atlas Air'!$HR$64:$HW$64)</f>
        <v>18662277</v>
      </c>
      <c r="P6" s="231">
        <f>+SUM('[3]Atlas Air'!$HD$64:$HI$64)</f>
        <v>8235015</v>
      </c>
      <c r="Q6" s="348">
        <f>(O6-P6)/P6</f>
        <v>1.2662104440611219</v>
      </c>
      <c r="R6" s="349">
        <f>O6/$O$34</f>
        <v>8.9311489559727023E-2</v>
      </c>
      <c r="T6" s="433"/>
    </row>
    <row r="7" spans="1:20" ht="14.1" customHeight="1" x14ac:dyDescent="0.2">
      <c r="A7" s="38"/>
      <c r="B7" s="343" t="s">
        <v>49</v>
      </c>
      <c r="C7" s="347">
        <f>+'[3]Sun Country Cargo'!$HW$19</f>
        <v>66</v>
      </c>
      <c r="D7" s="231">
        <f>+'[3]Sun Country Cargo'!$HI$19</f>
        <v>123</v>
      </c>
      <c r="E7" s="349">
        <f>(C7-D7)/D7</f>
        <v>-0.46341463414634149</v>
      </c>
      <c r="F7" s="347">
        <f>+SUM('[3]Sun Country Cargo'!$HR$19:$HW$19)</f>
        <v>571</v>
      </c>
      <c r="G7" s="231">
        <f>+SUM('[3]Sun Country Cargo'!$HD$19:$HI$19)</f>
        <v>587</v>
      </c>
      <c r="H7" s="348">
        <f>(F7-G7)/G7</f>
        <v>-2.7257240204429302E-2</v>
      </c>
      <c r="I7" s="349">
        <f>+F7/$F$34</f>
        <v>7.3017902813299229E-2</v>
      </c>
      <c r="J7" s="38"/>
      <c r="K7" s="343" t="s">
        <v>49</v>
      </c>
      <c r="L7" s="347">
        <f>+'[3]Sun Country Cargo'!$HW$64</f>
        <v>1515676</v>
      </c>
      <c r="M7" s="231">
        <f>+'[3]Sun Country Cargo'!$HI$64</f>
        <v>3541644</v>
      </c>
      <c r="N7" s="349">
        <f>(L7-M7)/M7</f>
        <v>-0.5720416845961932</v>
      </c>
      <c r="O7" s="231">
        <f>+SUM('[3]Sun Country Cargo'!$HR$64:$HW$64)</f>
        <v>14202402</v>
      </c>
      <c r="P7" s="231">
        <f>+SUM('[3]Sun Country Cargo'!$HD$64:$HI$64)</f>
        <v>15758608</v>
      </c>
      <c r="Q7" s="348">
        <f>(O7-P7)/P7</f>
        <v>-9.8752757857800633E-2</v>
      </c>
      <c r="R7" s="349">
        <f>O7/$O$34</f>
        <v>6.7968001865262542E-2</v>
      </c>
      <c r="T7" s="433"/>
    </row>
    <row r="8" spans="1:20" ht="14.1" customHeight="1" x14ac:dyDescent="0.2">
      <c r="A8" s="38"/>
      <c r="B8" s="40"/>
      <c r="C8" s="2"/>
      <c r="D8" s="2"/>
      <c r="E8" s="3"/>
      <c r="F8" s="420"/>
      <c r="G8" s="2"/>
      <c r="H8" s="3"/>
      <c r="I8" s="66"/>
      <c r="J8" s="399"/>
      <c r="K8" s="40"/>
      <c r="L8" s="2"/>
      <c r="M8" s="2"/>
      <c r="N8" s="66"/>
      <c r="R8" s="40"/>
      <c r="T8" s="433"/>
    </row>
    <row r="9" spans="1:20" ht="14.1" customHeight="1" x14ac:dyDescent="0.2">
      <c r="A9" s="283" t="s">
        <v>212</v>
      </c>
      <c r="B9" s="40"/>
      <c r="C9" s="417">
        <f>SUM(C10:C18)</f>
        <v>102</v>
      </c>
      <c r="D9" s="417">
        <f>SUM(D10:D18)</f>
        <v>134</v>
      </c>
      <c r="E9" s="418">
        <f>(C9-D9)/D9</f>
        <v>-0.23880597014925373</v>
      </c>
      <c r="F9" s="417">
        <f>SUM(F10:F18)</f>
        <v>836</v>
      </c>
      <c r="G9" s="417">
        <f>SUM(G10:G18)</f>
        <v>794</v>
      </c>
      <c r="H9" s="419">
        <f>(F9-G9)/G9</f>
        <v>5.2896725440806043E-2</v>
      </c>
      <c r="I9" s="418">
        <f t="shared" ref="I9:I18" si="0">+F9/$F$34</f>
        <v>0.10690537084398977</v>
      </c>
      <c r="J9" s="283" t="s">
        <v>212</v>
      </c>
      <c r="K9" s="40"/>
      <c r="L9" s="417">
        <f>SUM(L10:L18)</f>
        <v>296797</v>
      </c>
      <c r="M9" s="417">
        <f>SUM(M10:M18)</f>
        <v>1280878</v>
      </c>
      <c r="N9" s="418">
        <f t="shared" ref="N9:N18" si="1">(L9-M9)/M9</f>
        <v>-0.76828628487646755</v>
      </c>
      <c r="O9" s="417">
        <f>SUM(O10:O18)</f>
        <v>9802123</v>
      </c>
      <c r="P9" s="417">
        <f>SUM(P10:P18)</f>
        <v>7969600</v>
      </c>
      <c r="Q9" s="419">
        <f t="shared" ref="Q9:Q18" si="2">(O9-P9)/P9</f>
        <v>0.2299391437462357</v>
      </c>
      <c r="R9" s="418">
        <f t="shared" ref="R9:R18" si="3">O9/$O$34</f>
        <v>4.6909720929426788E-2</v>
      </c>
      <c r="T9" s="433"/>
    </row>
    <row r="10" spans="1:20" ht="14.1" customHeight="1" x14ac:dyDescent="0.2">
      <c r="A10" s="283"/>
      <c r="B10" s="343" t="s">
        <v>213</v>
      </c>
      <c r="C10" s="347">
        <f>+[3]Airborne!$HW$19</f>
        <v>2</v>
      </c>
      <c r="D10" s="231">
        <f>+[3]Airborne!$HI$19</f>
        <v>0</v>
      </c>
      <c r="E10" s="349" t="e">
        <f>(C10-D10)/D10</f>
        <v>#DIV/0!</v>
      </c>
      <c r="F10" s="347">
        <f>+SUM([3]Airborne!$HR$19:$HW$19)</f>
        <v>12</v>
      </c>
      <c r="G10" s="231">
        <f>+SUM([3]Airborne!$HD$19:$HI$19)</f>
        <v>0</v>
      </c>
      <c r="H10" s="348" t="e">
        <f>(F10-G10)/G10</f>
        <v>#DIV/0!</v>
      </c>
      <c r="I10" s="349">
        <f t="shared" si="0"/>
        <v>1.5345268542199489E-3</v>
      </c>
      <c r="J10" s="283"/>
      <c r="K10" s="343" t="s">
        <v>213</v>
      </c>
      <c r="L10" s="347">
        <f>+[3]Airborne!$HW$64</f>
        <v>51484</v>
      </c>
      <c r="M10" s="231">
        <f>+[3]Airborne!$HI$64</f>
        <v>0</v>
      </c>
      <c r="N10" s="349" t="e">
        <f t="shared" si="1"/>
        <v>#DIV/0!</v>
      </c>
      <c r="O10" s="347">
        <f>+SUM([3]Airborne!$HR$64:$HW$64)</f>
        <v>352522</v>
      </c>
      <c r="P10" s="231">
        <f>+SUM([3]Airborne!$HD$64:$HI$64)</f>
        <v>0</v>
      </c>
      <c r="Q10" s="348" t="e">
        <f t="shared" si="2"/>
        <v>#DIV/0!</v>
      </c>
      <c r="R10" s="349">
        <f t="shared" si="3"/>
        <v>1.6870537781951307E-3</v>
      </c>
      <c r="T10" s="433"/>
    </row>
    <row r="11" spans="1:20" ht="14.1" customHeight="1" x14ac:dyDescent="0.2">
      <c r="A11" s="283"/>
      <c r="B11" s="40" t="s">
        <v>211</v>
      </c>
      <c r="C11" s="347">
        <f>+[3]DHL_Atlas!$HW$19</f>
        <v>0</v>
      </c>
      <c r="D11" s="231">
        <f>+[3]DHL_Atlas!$HI$19</f>
        <v>0</v>
      </c>
      <c r="E11" s="349" t="e">
        <f t="shared" ref="E11:E18" si="4">(C11-D11)/D11</f>
        <v>#DIV/0!</v>
      </c>
      <c r="F11" s="347">
        <f>+SUM([3]DHL_Atlas!$HR$19:$HW$19)</f>
        <v>0</v>
      </c>
      <c r="G11" s="231">
        <f>+SUM([3]DHL_Atlas!$HD$19:$HI$19)</f>
        <v>12</v>
      </c>
      <c r="H11" s="348">
        <f t="shared" ref="H11:H18" si="5">(F11-G11)/G11</f>
        <v>-1</v>
      </c>
      <c r="I11" s="349">
        <f t="shared" si="0"/>
        <v>0</v>
      </c>
      <c r="J11" s="283"/>
      <c r="K11" s="40" t="s">
        <v>211</v>
      </c>
      <c r="L11" s="347">
        <f>+[3]DHL_Atlas!$HW$64</f>
        <v>0</v>
      </c>
      <c r="M11" s="231">
        <f>+[3]DHL_Atlas!$HI$64</f>
        <v>0</v>
      </c>
      <c r="N11" s="349" t="e">
        <f t="shared" si="1"/>
        <v>#DIV/0!</v>
      </c>
      <c r="O11" s="347">
        <f>+SUM([3]DHL_Atlas!$HR$64:$HW$64)</f>
        <v>0</v>
      </c>
      <c r="P11" s="231">
        <f>+SUM([3]DHL_Atlas!$HD$64:$HI$64)</f>
        <v>259570</v>
      </c>
      <c r="Q11" s="348">
        <f t="shared" si="2"/>
        <v>-1</v>
      </c>
      <c r="R11" s="349">
        <f t="shared" si="3"/>
        <v>0</v>
      </c>
      <c r="T11" s="433"/>
    </row>
    <row r="12" spans="1:20" ht="14.1" customHeight="1" x14ac:dyDescent="0.2">
      <c r="A12" s="283"/>
      <c r="B12" s="40" t="s">
        <v>214</v>
      </c>
      <c r="C12" s="347">
        <f>+[3]DHL!$HW$19</f>
        <v>0</v>
      </c>
      <c r="D12" s="231">
        <f>+[3]DHL!$HI$19</f>
        <v>0</v>
      </c>
      <c r="E12" s="349" t="e">
        <f t="shared" si="4"/>
        <v>#DIV/0!</v>
      </c>
      <c r="F12" s="347">
        <f>+SUM([3]DHL!$HR$19:$HW$19)</f>
        <v>0</v>
      </c>
      <c r="G12" s="231">
        <f>+SUM([3]DHL!$HD$19:$HI$19)</f>
        <v>0</v>
      </c>
      <c r="H12" s="348" t="e">
        <f t="shared" si="5"/>
        <v>#DIV/0!</v>
      </c>
      <c r="I12" s="349">
        <f t="shared" si="0"/>
        <v>0</v>
      </c>
      <c r="J12" s="283"/>
      <c r="K12" s="40" t="s">
        <v>214</v>
      </c>
      <c r="L12" s="347">
        <f>+[3]DHL!$HW$64</f>
        <v>0</v>
      </c>
      <c r="M12" s="231">
        <f>+[3]DHL!$HI$64</f>
        <v>0</v>
      </c>
      <c r="N12" s="349" t="e">
        <f t="shared" si="1"/>
        <v>#DIV/0!</v>
      </c>
      <c r="O12" s="347">
        <f>+SUM([3]DHL!$HR$64:$HW$64)</f>
        <v>0</v>
      </c>
      <c r="P12" s="231">
        <f>+SUM([3]DHL!$HD$64:$HI$64)</f>
        <v>0</v>
      </c>
      <c r="Q12" s="348" t="e">
        <f t="shared" si="2"/>
        <v>#DIV/0!</v>
      </c>
      <c r="R12" s="349">
        <f t="shared" si="3"/>
        <v>0</v>
      </c>
      <c r="T12" s="433"/>
    </row>
    <row r="13" spans="1:20" ht="14.1" customHeight="1" x14ac:dyDescent="0.2">
      <c r="A13" s="283"/>
      <c r="B13" s="343" t="s">
        <v>83</v>
      </c>
      <c r="C13" s="347">
        <f>+[3]DHL_Bemidji!$HW$19</f>
        <v>88</v>
      </c>
      <c r="D13" s="231">
        <f>+[3]DHL_Bemidji!$HI$19</f>
        <v>0</v>
      </c>
      <c r="E13" s="349" t="e">
        <f>(C13-D13)/D13</f>
        <v>#DIV/0!</v>
      </c>
      <c r="F13" s="347">
        <f>+SUM([3]DHL_Bemidji!$HR$19:$HW$19)</f>
        <v>474</v>
      </c>
      <c r="G13" s="231">
        <f>+SUM([3]DHL_Bemidji!$HD$19:$HI$19)</f>
        <v>0</v>
      </c>
      <c r="H13" s="348" t="e">
        <f t="shared" si="5"/>
        <v>#DIV/0!</v>
      </c>
      <c r="I13" s="349">
        <f t="shared" si="0"/>
        <v>6.0613810741687979E-2</v>
      </c>
      <c r="J13" s="283"/>
      <c r="K13" s="343" t="s">
        <v>83</v>
      </c>
      <c r="L13" s="347">
        <f>+[3]DHL_Bemidji!$HW$64</f>
        <v>106736</v>
      </c>
      <c r="M13" s="231">
        <f>+[3]DHL_Bemidji!$HI$64</f>
        <v>0</v>
      </c>
      <c r="N13" s="349" t="e">
        <f t="shared" si="1"/>
        <v>#DIV/0!</v>
      </c>
      <c r="O13" s="347">
        <f>+SUM([3]DHL_Bemidji!$HR$64:$HW$64)</f>
        <v>653709</v>
      </c>
      <c r="P13" s="231">
        <f>+SUM([3]DHL_Bemidji!$HD$64:$HI$64)</f>
        <v>0</v>
      </c>
      <c r="Q13" s="348" t="e">
        <f t="shared" si="2"/>
        <v>#DIV/0!</v>
      </c>
      <c r="R13" s="349">
        <f t="shared" si="3"/>
        <v>3.1284352133772097E-3</v>
      </c>
      <c r="T13" s="433"/>
    </row>
    <row r="14" spans="1:20" ht="14.1" customHeight="1" x14ac:dyDescent="0.2">
      <c r="A14" s="283"/>
      <c r="B14" s="40" t="s">
        <v>201</v>
      </c>
      <c r="C14" s="347">
        <f>+[3]Encore!$HW$19+[3]DHL_Encore!$HW$12</f>
        <v>0</v>
      </c>
      <c r="D14" s="231">
        <f>+[3]Encore!$HI$19+[3]DHL_Encore!$HI$19</f>
        <v>86</v>
      </c>
      <c r="E14" s="349">
        <f t="shared" si="4"/>
        <v>-1</v>
      </c>
      <c r="F14" s="347">
        <f>+SUM([3]Encore!$HR$19:$HW$19)+SUM([3]DHL_Encore!$HR$19:$HW$19)</f>
        <v>0</v>
      </c>
      <c r="G14" s="231">
        <f>+SUM([3]Encore!$HD$19:$HI$19)+SUM([3]DHL_Encore!$HD$19:$HI$19)</f>
        <v>502</v>
      </c>
      <c r="H14" s="348">
        <f t="shared" si="5"/>
        <v>-1</v>
      </c>
      <c r="I14" s="349">
        <f t="shared" si="0"/>
        <v>0</v>
      </c>
      <c r="J14" s="283"/>
      <c r="K14" s="40" t="s">
        <v>201</v>
      </c>
      <c r="L14" s="347">
        <f>+[3]Encore!$HW$64+[3]DHL_Encore!$HW$64</f>
        <v>0</v>
      </c>
      <c r="M14" s="231">
        <f>+[3]Encore!$HEW$64+[3]DHL_Encore!$HI$64</f>
        <v>145930</v>
      </c>
      <c r="N14" s="349">
        <f>(L14-M14)/M14</f>
        <v>-1</v>
      </c>
      <c r="O14" s="347">
        <f>+SUM([3]Encore!$HR$64:$HW$64)+SUM([3]DHL_Encore!$HR$64:$HW$64)</f>
        <v>0</v>
      </c>
      <c r="P14" s="231">
        <f>+SUM([3]Encore!$HD$64:$HI$64)+SUM([3]DHL_Encore!$HD$64:$HI$64)</f>
        <v>870150</v>
      </c>
      <c r="Q14" s="348">
        <f t="shared" si="2"/>
        <v>-1</v>
      </c>
      <c r="R14" s="349">
        <f t="shared" si="3"/>
        <v>0</v>
      </c>
      <c r="T14" s="433"/>
    </row>
    <row r="15" spans="1:20" ht="14.1" customHeight="1" x14ac:dyDescent="0.2">
      <c r="A15" s="283"/>
      <c r="B15" s="40" t="s">
        <v>215</v>
      </c>
      <c r="C15" s="347">
        <f>+[3]DHL_Kalitta!$HW$19</f>
        <v>0</v>
      </c>
      <c r="D15" s="231">
        <f>+[3]DHL_Kalitta!$HI$19</f>
        <v>6</v>
      </c>
      <c r="E15" s="349">
        <f t="shared" si="4"/>
        <v>-1</v>
      </c>
      <c r="F15" s="347">
        <f>+SUM([3]DHL_Kalitta!$HR$19:$HW$19)</f>
        <v>2</v>
      </c>
      <c r="G15" s="231">
        <f>+SUM([3]DHL_Kalitta!$HD$19:$HI$19)</f>
        <v>74</v>
      </c>
      <c r="H15" s="348">
        <f t="shared" si="5"/>
        <v>-0.97297297297297303</v>
      </c>
      <c r="I15" s="349">
        <f t="shared" si="0"/>
        <v>2.5575447570332479E-4</v>
      </c>
      <c r="J15" s="283"/>
      <c r="K15" s="40" t="s">
        <v>215</v>
      </c>
      <c r="L15" s="347">
        <f>+[3]DHL_Kalitta!$HW$64</f>
        <v>0</v>
      </c>
      <c r="M15" s="231">
        <f>+[3]DHL_Kalitta!$HI$64</f>
        <v>131963</v>
      </c>
      <c r="N15" s="349">
        <f t="shared" si="1"/>
        <v>-1</v>
      </c>
      <c r="O15" s="347">
        <f>+SUM([3]DHL_Kalitta!$HR$64:$HW$64)</f>
        <v>43161</v>
      </c>
      <c r="P15" s="231">
        <f>+SUM([3]DHL_Kalitta!$HD$64:$HI$64)</f>
        <v>1896154</v>
      </c>
      <c r="Q15" s="348">
        <f t="shared" si="2"/>
        <v>-0.97723760833771944</v>
      </c>
      <c r="R15" s="349">
        <f t="shared" si="3"/>
        <v>2.0655428064256993E-4</v>
      </c>
      <c r="T15" s="433"/>
    </row>
    <row r="16" spans="1:20" ht="14.1" customHeight="1" x14ac:dyDescent="0.2">
      <c r="A16" s="283"/>
      <c r="B16" s="343" t="s">
        <v>51</v>
      </c>
      <c r="C16" s="347">
        <f>+[3]Encore!$HW$19+[3]DHL_Mesa!$HW$12</f>
        <v>0</v>
      </c>
      <c r="D16" s="231">
        <f>+[3]Encore!$HI$19+[3]DHL_Mesa!$HI$19</f>
        <v>0</v>
      </c>
      <c r="E16" s="349" t="e">
        <f t="shared" ref="E16" si="6">(C16-D16)/D16</f>
        <v>#DIV/0!</v>
      </c>
      <c r="F16" s="347">
        <f>+SUM([3]Encore!$HR$19:$HW$19)+SUM([3]DHL_Mesa!$HR$19:$HW$19)</f>
        <v>78</v>
      </c>
      <c r="G16" s="231">
        <f>+SUM([3]Encore!$HD$19:$HI$19)+SUM([3]DHL_Mesa!$HD$19:$HI$19)</f>
        <v>0</v>
      </c>
      <c r="H16" s="348" t="e">
        <f t="shared" ref="H16" si="7">(F16-G16)/G16</f>
        <v>#DIV/0!</v>
      </c>
      <c r="I16" s="349">
        <f t="shared" si="0"/>
        <v>9.9744245524296671E-3</v>
      </c>
      <c r="J16" s="283"/>
      <c r="K16" s="343" t="s">
        <v>51</v>
      </c>
      <c r="L16" s="347">
        <f>+[3]Encore!$HW$64+[3]DHL_Mesa!$HW$64</f>
        <v>0</v>
      </c>
      <c r="M16" s="231">
        <f>+[3]Encore!$HEW$64+[3]DHL_Mesa!$HI$64</f>
        <v>0</v>
      </c>
      <c r="N16" s="349" t="e">
        <f t="shared" ref="N16" si="8">(L16-M16)/M16</f>
        <v>#DIV/0!</v>
      </c>
      <c r="O16" s="347">
        <f>+SUM([3]Encore!$HR$64:$HW$64)+SUM([3]DHL_Mesa!$HR$64:$HW$64)</f>
        <v>1540094</v>
      </c>
      <c r="P16" s="231">
        <f>+SUM([3]Encore!$HD$64:$HI$64)+SUM([3]DHL_Mesa!$HD$64:$HI$64)</f>
        <v>0</v>
      </c>
      <c r="Q16" s="348" t="e">
        <f t="shared" ref="Q16" si="9">(O16-P16)/P16</f>
        <v>#DIV/0!</v>
      </c>
      <c r="R16" s="349">
        <f t="shared" si="3"/>
        <v>7.3703808598488936E-3</v>
      </c>
      <c r="T16" s="433"/>
    </row>
    <row r="17" spans="1:20" ht="14.1" customHeight="1" x14ac:dyDescent="0.2">
      <c r="A17" s="283"/>
      <c r="B17" s="40" t="s">
        <v>216</v>
      </c>
      <c r="C17" s="347">
        <f>+[3]DHL_Southair!$HW$19</f>
        <v>0</v>
      </c>
      <c r="D17" s="231">
        <f>+[3]DHL_Southair!$HI$19</f>
        <v>0</v>
      </c>
      <c r="E17" s="349" t="e">
        <f t="shared" si="4"/>
        <v>#DIV/0!</v>
      </c>
      <c r="F17" s="347">
        <f>+SUM([3]DHL_Southair!$HR$19:$HW$19)</f>
        <v>0</v>
      </c>
      <c r="G17" s="231">
        <f>+SUM([3]DHL_Southair!$HD$19:$HI$19)</f>
        <v>0</v>
      </c>
      <c r="H17" s="348" t="e">
        <f t="shared" si="5"/>
        <v>#DIV/0!</v>
      </c>
      <c r="I17" s="349">
        <f t="shared" si="0"/>
        <v>0</v>
      </c>
      <c r="J17" s="283"/>
      <c r="K17" s="40" t="s">
        <v>216</v>
      </c>
      <c r="L17" s="347">
        <f>+[3]DHL_Southair!$HW$64</f>
        <v>0</v>
      </c>
      <c r="M17" s="231">
        <f>+[3]DHL_Southair!$HI$64</f>
        <v>0</v>
      </c>
      <c r="N17" s="349" t="e">
        <f t="shared" si="1"/>
        <v>#DIV/0!</v>
      </c>
      <c r="O17" s="347">
        <f>+SUM([3]DHL_Southair!$HR$64:$HW$64)</f>
        <v>0</v>
      </c>
      <c r="P17" s="231">
        <f>+SUM([3]DHL_Southair!$HD$64:$HI$64)</f>
        <v>0</v>
      </c>
      <c r="Q17" s="348" t="e">
        <f t="shared" si="2"/>
        <v>#DIV/0!</v>
      </c>
      <c r="R17" s="349">
        <f t="shared" si="3"/>
        <v>0</v>
      </c>
      <c r="T17" s="433"/>
    </row>
    <row r="18" spans="1:20" ht="14.1" customHeight="1" x14ac:dyDescent="0.2">
      <c r="A18" s="283"/>
      <c r="B18" s="40" t="s">
        <v>217</v>
      </c>
      <c r="C18" s="347">
        <f>+[3]DHL_Swift!$HW$19</f>
        <v>12</v>
      </c>
      <c r="D18" s="231">
        <f>+[3]DHL_Swift!$HI$19</f>
        <v>42</v>
      </c>
      <c r="E18" s="349">
        <f t="shared" si="4"/>
        <v>-0.7142857142857143</v>
      </c>
      <c r="F18" s="347">
        <f>+SUM([3]DHL_Swift!$HR$19:$HW$19)</f>
        <v>270</v>
      </c>
      <c r="G18" s="231">
        <f>+SUM([3]DHL_Swift!$HD$19:$HI$19)</f>
        <v>206</v>
      </c>
      <c r="H18" s="348">
        <f t="shared" si="5"/>
        <v>0.31067961165048541</v>
      </c>
      <c r="I18" s="349">
        <f t="shared" si="0"/>
        <v>3.4526854219948847E-2</v>
      </c>
      <c r="J18" s="283"/>
      <c r="K18" s="40" t="s">
        <v>217</v>
      </c>
      <c r="L18" s="347">
        <f>+[3]DHL_Swift!$HW$64</f>
        <v>138577</v>
      </c>
      <c r="M18" s="231">
        <f>+[3]DHL_Swift!$HI$64</f>
        <v>1002985</v>
      </c>
      <c r="N18" s="349">
        <f t="shared" si="1"/>
        <v>-0.86183542126751644</v>
      </c>
      <c r="O18" s="347">
        <f>+SUM([3]DHL_Swift!$HR$64:$HW$64)</f>
        <v>7212637</v>
      </c>
      <c r="P18" s="231">
        <f>+SUM([3]DHL_Swift!$HD$64:$HI$64)</f>
        <v>4943726</v>
      </c>
      <c r="Q18" s="348">
        <f t="shared" si="2"/>
        <v>0.45894756303241724</v>
      </c>
      <c r="R18" s="349">
        <f t="shared" si="3"/>
        <v>3.4517296797362984E-2</v>
      </c>
      <c r="T18" s="433"/>
    </row>
    <row r="19" spans="1:20" ht="14.1" customHeight="1" x14ac:dyDescent="0.2">
      <c r="A19" s="283"/>
      <c r="B19" s="40"/>
      <c r="C19" s="284"/>
      <c r="D19" s="286"/>
      <c r="E19" s="287"/>
      <c r="F19" s="284"/>
      <c r="G19" s="286"/>
      <c r="H19" s="285"/>
      <c r="I19" s="287"/>
      <c r="J19" s="283" t="s">
        <v>185</v>
      </c>
      <c r="K19" s="40"/>
      <c r="L19" s="288"/>
      <c r="M19" s="2"/>
      <c r="N19" s="66"/>
      <c r="O19" s="288"/>
      <c r="P19" s="286"/>
      <c r="Q19" s="3"/>
      <c r="R19" s="66"/>
      <c r="T19" s="433"/>
    </row>
    <row r="20" spans="1:20" ht="14.1" customHeight="1" x14ac:dyDescent="0.2">
      <c r="A20" s="283" t="s">
        <v>185</v>
      </c>
      <c r="B20" s="40"/>
      <c r="C20" s="421">
        <f>SUM(C21:C24)</f>
        <v>340</v>
      </c>
      <c r="D20" s="417">
        <f>SUM(D21:D24)</f>
        <v>358</v>
      </c>
      <c r="E20" s="418">
        <f>(C20-D20)/D20</f>
        <v>-5.027932960893855E-2</v>
      </c>
      <c r="F20" s="421">
        <f>SUM(F21:F24)</f>
        <v>1986</v>
      </c>
      <c r="G20" s="417">
        <f>SUM(G21:G24)</f>
        <v>2136</v>
      </c>
      <c r="H20" s="419">
        <f t="shared" ref="H20:H21" si="10">(F20-G20)/G20</f>
        <v>-7.02247191011236E-2</v>
      </c>
      <c r="I20" s="418">
        <f>+F20/$F$34</f>
        <v>0.25396419437340151</v>
      </c>
      <c r="J20" s="283"/>
      <c r="K20" s="40"/>
      <c r="L20" s="421">
        <f>SUM(L21:L24)</f>
        <v>15871300</v>
      </c>
      <c r="M20" s="417">
        <f>SUM(M21:M24)</f>
        <v>17045519</v>
      </c>
      <c r="N20" s="418">
        <f>(L20-M20)/M20</f>
        <v>-6.8887254180996185E-2</v>
      </c>
      <c r="O20" s="421">
        <f>SUM(O21:O24)</f>
        <v>89918264</v>
      </c>
      <c r="P20" s="417">
        <f>SUM(P21:P24)</f>
        <v>99524127</v>
      </c>
      <c r="Q20" s="419">
        <f t="shared" ref="Q20:Q22" si="11">(O20-P20)/P20</f>
        <v>-9.6517932782268973E-2</v>
      </c>
      <c r="R20" s="418">
        <f>O20/$O$34</f>
        <v>0.43031909216998432</v>
      </c>
      <c r="T20" s="433"/>
    </row>
    <row r="21" spans="1:20" ht="14.1" customHeight="1" x14ac:dyDescent="0.2">
      <c r="A21" s="38"/>
      <c r="B21" s="343" t="s">
        <v>185</v>
      </c>
      <c r="C21" s="347">
        <f>+[3]FedEx!$HW$19</f>
        <v>262</v>
      </c>
      <c r="D21" s="231">
        <f>+[3]FedEx!$HI$19</f>
        <v>280</v>
      </c>
      <c r="E21" s="349">
        <f>(C21-D21)/D21</f>
        <v>-6.4285714285714279E-2</v>
      </c>
      <c r="F21" s="347">
        <f>+SUM([3]FedEx!$HR$19:$HW$19)</f>
        <v>1560</v>
      </c>
      <c r="G21" s="231">
        <f>+SUM([3]FedEx!$HD$19:$HI$19)</f>
        <v>1694</v>
      </c>
      <c r="H21" s="348">
        <f t="shared" si="10"/>
        <v>-7.9102715466351836E-2</v>
      </c>
      <c r="I21" s="349">
        <f>+F21/$F$34</f>
        <v>0.19948849104859334</v>
      </c>
      <c r="J21" s="399"/>
      <c r="K21" s="343" t="s">
        <v>185</v>
      </c>
      <c r="L21" s="347">
        <f>+[3]FedEx!$HW$64</f>
        <v>15748743</v>
      </c>
      <c r="M21" s="231">
        <f>+[3]FedEx!$HI$64</f>
        <v>16798628</v>
      </c>
      <c r="N21" s="349">
        <f>(L21-M21)/M21</f>
        <v>-6.2498258786372315E-2</v>
      </c>
      <c r="O21" s="347">
        <f>+SUM([3]FedEx!$HR$64:$HW$64)</f>
        <v>88747375</v>
      </c>
      <c r="P21" s="231">
        <f>+SUM([3]FedEx!$HD$64:$HI$64)</f>
        <v>98454448</v>
      </c>
      <c r="Q21" s="348">
        <f t="shared" si="11"/>
        <v>-9.8594560197016193E-2</v>
      </c>
      <c r="R21" s="349">
        <f>O21/$O$34</f>
        <v>0.42471560441234896</v>
      </c>
      <c r="T21" s="433"/>
    </row>
    <row r="22" spans="1:20" ht="14.1" customHeight="1" x14ac:dyDescent="0.2">
      <c r="A22" s="38"/>
      <c r="B22" s="343" t="s">
        <v>218</v>
      </c>
      <c r="C22" s="347">
        <f>+'[3]Mountain Cargo'!$HW$19</f>
        <v>46</v>
      </c>
      <c r="D22" s="231">
        <f>+'[3]Mountain Cargo'!$HI$19</f>
        <v>42</v>
      </c>
      <c r="E22" s="349">
        <f>(C22-D22)/D22</f>
        <v>9.5238095238095233E-2</v>
      </c>
      <c r="F22" s="347">
        <f>+SUM('[3]Mountain Cargo'!$HR$19:$HW$19)</f>
        <v>248</v>
      </c>
      <c r="G22" s="231">
        <f>+SUM('[3]Mountain Cargo'!$HD$19:$HI$19)</f>
        <v>254</v>
      </c>
      <c r="H22" s="348">
        <f>(F22-G22)/G22</f>
        <v>-2.3622047244094488E-2</v>
      </c>
      <c r="I22" s="349">
        <f>+F22/$F$34</f>
        <v>3.1713554987212275E-2</v>
      </c>
      <c r="J22" s="399"/>
      <c r="K22" s="343" t="s">
        <v>218</v>
      </c>
      <c r="L22" s="347">
        <f>+'[3]Mountain Cargo'!$HW$64</f>
        <v>53727</v>
      </c>
      <c r="M22" s="231">
        <f>+'[3]Mountain Cargo'!$HI$64</f>
        <v>178462</v>
      </c>
      <c r="N22" s="349">
        <f>(L22-M22)/M22</f>
        <v>-0.69894431307505234</v>
      </c>
      <c r="O22" s="347">
        <f>+SUM('[3]Mountain Cargo'!$HR$64:$HW$64)</f>
        <v>833852</v>
      </c>
      <c r="P22" s="231">
        <f>+SUM('[3]Mountain Cargo'!$HD$64:$HI$64)</f>
        <v>793545</v>
      </c>
      <c r="Q22" s="348">
        <f t="shared" si="11"/>
        <v>5.0793590785651731E-2</v>
      </c>
      <c r="R22" s="349">
        <f>O22/$O$34</f>
        <v>3.9905400714155886E-3</v>
      </c>
      <c r="T22" s="433"/>
    </row>
    <row r="23" spans="1:20" ht="14.1" customHeight="1" x14ac:dyDescent="0.2">
      <c r="A23" s="38"/>
      <c r="B23" s="343" t="s">
        <v>177</v>
      </c>
      <c r="C23" s="347">
        <f>+[3]IFL!$HW$19</f>
        <v>32</v>
      </c>
      <c r="D23" s="231">
        <f>+[3]IFL!$HI$19</f>
        <v>36</v>
      </c>
      <c r="E23" s="349">
        <f>(C23-D23)/D23</f>
        <v>-0.1111111111111111</v>
      </c>
      <c r="F23" s="347">
        <f>+SUM([3]IFL!$HR$19:$HW$19)</f>
        <v>178</v>
      </c>
      <c r="G23" s="231">
        <f>+SUM([3]IFL!$HD$19:$HI$19)</f>
        <v>188</v>
      </c>
      <c r="H23" s="348">
        <f>(F23-G23)/G23</f>
        <v>-5.3191489361702128E-2</v>
      </c>
      <c r="I23" s="349">
        <f>+F23/$F$34</f>
        <v>2.2762148337595909E-2</v>
      </c>
      <c r="J23" s="283"/>
      <c r="K23" s="343" t="s">
        <v>177</v>
      </c>
      <c r="L23" s="347">
        <f>+[3]IFL!$HW$64</f>
        <v>68830</v>
      </c>
      <c r="M23" s="231">
        <f>+[3]IFL!$HI$64</f>
        <v>68429</v>
      </c>
      <c r="N23" s="349">
        <f>(L23-M23)/M23</f>
        <v>5.8600885589443069E-3</v>
      </c>
      <c r="O23" s="347">
        <f>+SUM([3]IFL!$HR$64:$HW$64)</f>
        <v>337037</v>
      </c>
      <c r="P23" s="231">
        <f>+SUM([3]IFL!$HD$64:$HI$64)</f>
        <v>276134</v>
      </c>
      <c r="Q23" s="348">
        <f>(O23-P23)/P23</f>
        <v>0.22055596196049743</v>
      </c>
      <c r="R23" s="349">
        <f>O23/$O$34</f>
        <v>1.6129476862197316E-3</v>
      </c>
      <c r="T23" s="433"/>
    </row>
    <row r="24" spans="1:20" ht="14.1" customHeight="1" x14ac:dyDescent="0.2">
      <c r="A24" s="283"/>
      <c r="B24" s="343" t="s">
        <v>84</v>
      </c>
      <c r="C24" s="347">
        <f>+'[3]CSA Air'!$HW$19</f>
        <v>0</v>
      </c>
      <c r="D24" s="231">
        <f>+'[3]CSA Air'!$HI$19</f>
        <v>0</v>
      </c>
      <c r="E24" s="349" t="e">
        <f>(C24-D24)/D24</f>
        <v>#DIV/0!</v>
      </c>
      <c r="F24" s="347">
        <f>+SUM('[3]CSA Air'!$HR$19:$HW$19)</f>
        <v>0</v>
      </c>
      <c r="G24" s="231">
        <f>+SUM('[3]CSA Air'!$HD$19:$HI$19)</f>
        <v>0</v>
      </c>
      <c r="H24" s="348" t="e">
        <f t="shared" ref="H24" si="12">(F24-G24)/G24</f>
        <v>#DIV/0!</v>
      </c>
      <c r="I24" s="349">
        <f>+F24/$F$34</f>
        <v>0</v>
      </c>
      <c r="J24" s="283"/>
      <c r="K24" s="343" t="s">
        <v>84</v>
      </c>
      <c r="L24" s="347">
        <f>+'[3]CSA Air'!$HW$64</f>
        <v>0</v>
      </c>
      <c r="M24" s="231">
        <f>+'[3]CSA Air'!$HI$64</f>
        <v>0</v>
      </c>
      <c r="N24" s="349" t="e">
        <f>(L24-M24)/M24</f>
        <v>#DIV/0!</v>
      </c>
      <c r="O24" s="347">
        <f>+SUM('[3]CSA Air'!$HR$64:$HW$64)</f>
        <v>0</v>
      </c>
      <c r="P24" s="231">
        <f>+SUM('[3]CSA Air'!$HD$64:$HI$64)</f>
        <v>0</v>
      </c>
      <c r="Q24" s="348" t="e">
        <f t="shared" ref="Q24" si="13">(O24-P24)/P24</f>
        <v>#DIV/0!</v>
      </c>
      <c r="R24" s="349">
        <f>O24/$O$34</f>
        <v>0</v>
      </c>
      <c r="T24" s="433"/>
    </row>
    <row r="25" spans="1:20" ht="14.1" customHeight="1" x14ac:dyDescent="0.2">
      <c r="A25" s="283"/>
      <c r="B25" s="40"/>
      <c r="C25" s="284"/>
      <c r="D25" s="286"/>
      <c r="E25" s="287"/>
      <c r="F25" s="284"/>
      <c r="G25" s="286"/>
      <c r="H25" s="285"/>
      <c r="I25" s="287"/>
      <c r="L25" s="288"/>
      <c r="M25" s="2"/>
      <c r="N25" s="66"/>
      <c r="O25" s="288"/>
      <c r="P25" s="2"/>
      <c r="Q25" s="3"/>
      <c r="R25" s="66"/>
      <c r="S25" s="261"/>
      <c r="T25" s="433"/>
    </row>
    <row r="26" spans="1:20" ht="14.1" customHeight="1" x14ac:dyDescent="0.2">
      <c r="A26" s="283" t="s">
        <v>82</v>
      </c>
      <c r="B26" s="40"/>
      <c r="C26" s="417">
        <f>SUM(C27:C28)</f>
        <v>696</v>
      </c>
      <c r="D26" s="417">
        <f>SUM(D27:D28)</f>
        <v>762</v>
      </c>
      <c r="E26" s="418">
        <f>(C26-D26)/D26</f>
        <v>-8.6614173228346455E-2</v>
      </c>
      <c r="F26" s="417">
        <f>SUM(F27:F28)</f>
        <v>4063</v>
      </c>
      <c r="G26" s="417">
        <f>SUM(G27:G28)</f>
        <v>4308</v>
      </c>
      <c r="H26" s="419">
        <f>(F26-G26)/G26</f>
        <v>-5.6870937790157845E-2</v>
      </c>
      <c r="I26" s="418">
        <f>+F26/$F$34</f>
        <v>0.51956521739130435</v>
      </c>
      <c r="J26" s="283" t="s">
        <v>82</v>
      </c>
      <c r="K26" s="40"/>
      <c r="L26" s="417">
        <f>SUM(L27:L28)</f>
        <v>13859463</v>
      </c>
      <c r="M26" s="417">
        <f>SUM(M27:M28)</f>
        <v>14408897</v>
      </c>
      <c r="N26" s="418">
        <f>(L26-M26)/M26</f>
        <v>-3.8131579398478596E-2</v>
      </c>
      <c r="O26" s="417">
        <f>SUM(O27:O28)</f>
        <v>76372114</v>
      </c>
      <c r="P26" s="417">
        <f>SUM(P27:P28)</f>
        <v>81587265</v>
      </c>
      <c r="Q26" s="419">
        <f>(O26-P26)/P26</f>
        <v>-6.3921140143624128E-2</v>
      </c>
      <c r="R26" s="418">
        <f>O26/$O$34</f>
        <v>0.36549169547559934</v>
      </c>
      <c r="S26" s="370"/>
      <c r="T26" s="435"/>
    </row>
    <row r="27" spans="1:20" ht="14.1" customHeight="1" x14ac:dyDescent="0.2">
      <c r="A27" s="283"/>
      <c r="B27" s="343" t="s">
        <v>82</v>
      </c>
      <c r="C27" s="347">
        <f>+[3]UPS!$HW$19</f>
        <v>300</v>
      </c>
      <c r="D27" s="231">
        <f>+[3]UPS!$HI$19</f>
        <v>318</v>
      </c>
      <c r="E27" s="349">
        <f>(C27-D27)/D27</f>
        <v>-5.6603773584905662E-2</v>
      </c>
      <c r="F27" s="347">
        <f>+SUM([3]UPS!$HR$19:$HW$19)</f>
        <v>1719</v>
      </c>
      <c r="G27" s="231">
        <f>+SUM([3]UPS!$HD$19:$HI$19)</f>
        <v>1838</v>
      </c>
      <c r="H27" s="348">
        <f>(F27-G27)/G27</f>
        <v>-6.4744287268770406E-2</v>
      </c>
      <c r="I27" s="349">
        <f>+F27/$F$34</f>
        <v>0.21982097186700766</v>
      </c>
      <c r="J27" s="283"/>
      <c r="K27" s="343" t="s">
        <v>82</v>
      </c>
      <c r="L27" s="347">
        <f>+[3]UPS!$HW$64</f>
        <v>13859463</v>
      </c>
      <c r="M27" s="231">
        <f>+[3]UPS!$HI$64</f>
        <v>14408897</v>
      </c>
      <c r="N27" s="349">
        <f>(L27-M27)/M27</f>
        <v>-3.8131579398478596E-2</v>
      </c>
      <c r="O27" s="347">
        <f>+SUM([3]UPS!$HR$64:$HW$64)</f>
        <v>76372114</v>
      </c>
      <c r="P27" s="231">
        <f>+SUM([3]UPS!$HD$64:$HI$64)</f>
        <v>81587265</v>
      </c>
      <c r="Q27" s="348">
        <f>(O27-P27)/P27</f>
        <v>-6.3921140143624128E-2</v>
      </c>
      <c r="R27" s="349">
        <f>O27/$O$34</f>
        <v>0.36549169547559934</v>
      </c>
      <c r="S27" s="370"/>
      <c r="T27" s="435"/>
    </row>
    <row r="28" spans="1:20" x14ac:dyDescent="0.2">
      <c r="A28" s="283"/>
      <c r="B28" s="343" t="s">
        <v>83</v>
      </c>
      <c r="C28" s="347">
        <f>+[3]Bemidji!$HW$19</f>
        <v>396</v>
      </c>
      <c r="D28" s="231">
        <f>+[3]Bemidji!$HI$19</f>
        <v>444</v>
      </c>
      <c r="E28" s="349">
        <f>(C28-D28)/D28</f>
        <v>-0.10810810810810811</v>
      </c>
      <c r="F28" s="347">
        <f>+SUM([3]Bemidji!$HR$19:$HW$19)</f>
        <v>2344</v>
      </c>
      <c r="G28" s="231">
        <f>+SUM([3]Bemidji!$HD$19:$HI$19)</f>
        <v>2470</v>
      </c>
      <c r="H28" s="348">
        <f t="shared" ref="H28" si="14">(F28-G28)/G28</f>
        <v>-5.1012145748987853E-2</v>
      </c>
      <c r="I28" s="349">
        <f>+F28/$F$34</f>
        <v>0.29974424552429668</v>
      </c>
      <c r="J28" s="283"/>
      <c r="K28" s="343" t="s">
        <v>83</v>
      </c>
      <c r="L28" s="451" t="s">
        <v>188</v>
      </c>
      <c r="M28" s="452"/>
      <c r="N28" s="452"/>
      <c r="O28" s="452"/>
      <c r="P28" s="452"/>
      <c r="Q28" s="452"/>
      <c r="R28" s="453"/>
      <c r="T28" s="433"/>
    </row>
    <row r="29" spans="1:20" x14ac:dyDescent="0.2">
      <c r="A29" s="38"/>
      <c r="B29" s="40"/>
      <c r="C29" s="284"/>
      <c r="D29" s="2"/>
      <c r="E29" s="66"/>
      <c r="F29" s="288"/>
      <c r="G29" s="2"/>
      <c r="H29" s="3"/>
      <c r="I29" s="66"/>
      <c r="K29" s="40"/>
      <c r="L29" s="288"/>
      <c r="M29" s="2"/>
      <c r="N29" s="66"/>
      <c r="O29" s="288"/>
      <c r="P29" s="2"/>
      <c r="Q29" s="3"/>
      <c r="R29" s="66"/>
      <c r="T29" s="433"/>
    </row>
    <row r="30" spans="1:20" x14ac:dyDescent="0.2">
      <c r="A30" s="283" t="s">
        <v>127</v>
      </c>
      <c r="B30" s="40"/>
      <c r="C30" s="421">
        <f>+'[3]Misc Cargo'!$HW$19</f>
        <v>0</v>
      </c>
      <c r="D30" s="417">
        <f>+'[3]Misc Cargo'!$HI$19</f>
        <v>2</v>
      </c>
      <c r="E30" s="418">
        <f>(C30-D30)/D30</f>
        <v>-1</v>
      </c>
      <c r="F30" s="421">
        <f>+SUM('[3]Misc Cargo'!$HR$19:$HW$19)</f>
        <v>2</v>
      </c>
      <c r="G30" s="417">
        <f>+SUM('[3]Misc Cargo'!$HD$19:$HI$19)</f>
        <v>6</v>
      </c>
      <c r="H30" s="419">
        <f>(F30-G30)/G30</f>
        <v>-0.66666666666666663</v>
      </c>
      <c r="I30" s="418">
        <f>+F30/$F$34</f>
        <v>2.5575447570332479E-4</v>
      </c>
      <c r="J30" s="283" t="s">
        <v>127</v>
      </c>
      <c r="K30" s="40"/>
      <c r="L30" s="421">
        <f>+'[3]Misc Cargo'!$HW$64</f>
        <v>0</v>
      </c>
      <c r="M30" s="417">
        <f>+'[3]Misc Cargo'!$HI$64</f>
        <v>2979</v>
      </c>
      <c r="N30" s="418">
        <f>(L30-M30)/M30</f>
        <v>-1</v>
      </c>
      <c r="O30" s="421">
        <f>+SUM('[3]Misc Cargo'!$HR$64:$HW$64)</f>
        <v>0</v>
      </c>
      <c r="P30" s="417">
        <f>+SUM('[3]Misc Cargo'!$HD$64:$HI$64)</f>
        <v>7505</v>
      </c>
      <c r="Q30" s="419">
        <f>(O30-P30)/P30</f>
        <v>-1</v>
      </c>
      <c r="R30" s="418">
        <f>O30/$O$34</f>
        <v>0</v>
      </c>
      <c r="T30" s="433"/>
    </row>
    <row r="31" spans="1:20" x14ac:dyDescent="0.2">
      <c r="A31" s="38"/>
      <c r="B31" s="40"/>
      <c r="C31" s="284"/>
      <c r="D31" s="2"/>
      <c r="E31" s="66"/>
      <c r="F31" s="288"/>
      <c r="G31" s="2"/>
      <c r="H31" s="3"/>
      <c r="I31" s="66"/>
      <c r="J31" s="283"/>
      <c r="K31" s="40"/>
      <c r="L31" s="288"/>
      <c r="M31" s="2"/>
      <c r="N31" s="66"/>
      <c r="O31" s="288"/>
      <c r="P31" s="2"/>
      <c r="Q31" s="3"/>
      <c r="R31" s="66"/>
      <c r="T31" s="433"/>
    </row>
    <row r="32" spans="1:20" ht="13.5" thickBot="1" x14ac:dyDescent="0.25">
      <c r="A32" s="371"/>
      <c r="B32" s="372"/>
      <c r="C32" s="422"/>
      <c r="D32" s="423"/>
      <c r="E32" s="424"/>
      <c r="F32" s="422"/>
      <c r="G32" s="423"/>
      <c r="H32" s="425"/>
      <c r="I32" s="424"/>
      <c r="K32" s="40"/>
      <c r="L32" s="292"/>
      <c r="M32" s="294"/>
      <c r="N32" s="295"/>
      <c r="O32" s="292"/>
      <c r="P32" s="294"/>
      <c r="Q32" s="293"/>
      <c r="R32" s="372"/>
      <c r="T32" s="433"/>
    </row>
    <row r="33" spans="2:20" ht="13.5" thickBot="1" x14ac:dyDescent="0.25">
      <c r="C33" s="2"/>
      <c r="D33" s="3"/>
      <c r="E33" s="3"/>
      <c r="F33" s="2"/>
      <c r="K33" s="40"/>
      <c r="L33" s="2"/>
      <c r="T33" s="433"/>
    </row>
    <row r="34" spans="2:20" ht="15.75" thickBot="1" x14ac:dyDescent="0.3">
      <c r="B34" s="373" t="s">
        <v>186</v>
      </c>
      <c r="C34" s="374">
        <f>+C30+C26+C20+C9+C5</f>
        <v>1268</v>
      </c>
      <c r="D34" s="374">
        <f>+D30+D26+D20+D9+D5</f>
        <v>1445</v>
      </c>
      <c r="E34" s="375">
        <f>(C34-D34)/D34</f>
        <v>-0.12249134948096886</v>
      </c>
      <c r="F34" s="374">
        <f>+F30+F26+F20+F9+F5</f>
        <v>7820</v>
      </c>
      <c r="G34" s="374">
        <f>+G30+G26+G20+G9+G5</f>
        <v>8048</v>
      </c>
      <c r="H34" s="376">
        <f>(F34-G34)/G34</f>
        <v>-2.8330019880715707E-2</v>
      </c>
      <c r="I34" s="385"/>
      <c r="K34" s="40"/>
      <c r="L34" s="374">
        <f>+L30+L26+L20+L9+L5</f>
        <v>35430645</v>
      </c>
      <c r="M34" s="374">
        <f>+M30+M26+M20+M9+M5</f>
        <v>39227579</v>
      </c>
      <c r="N34" s="377">
        <f>(L34-M34)/M34</f>
        <v>-9.6792463282019015E-2</v>
      </c>
      <c r="O34" s="374">
        <f>+O30+O26+O20+O9+O5</f>
        <v>208957180</v>
      </c>
      <c r="P34" s="374">
        <f>+P30+P26+P20+P9+P5</f>
        <v>213082120</v>
      </c>
      <c r="Q34" s="376">
        <f t="shared" ref="Q34" si="15">(O34-P34)/P34</f>
        <v>-1.9358452037177027E-2</v>
      </c>
      <c r="R34" s="385"/>
      <c r="T34" s="433"/>
    </row>
    <row r="35" spans="2:20" x14ac:dyDescent="0.2">
      <c r="L35" s="282"/>
      <c r="T35" s="433"/>
    </row>
  </sheetData>
  <mergeCells count="6"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orientation="portrait" r:id="rId1"/>
  <headerFooter>
    <oddHeader>&amp;C&amp;"Arial,Bold"MSP Cargo 
June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2023-01-26T18:21:05Z</dcterms:modified>
</cp:coreProperties>
</file>