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42B27A04-827F-4582-8A28-E2C68885FECA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6">Cargo!$A$1:$N$37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Activity'!$A$1:$AA$68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F29" i="17"/>
  <c r="G27" i="17"/>
  <c r="F27" i="17"/>
  <c r="G26" i="17"/>
  <c r="G25" i="17" s="1"/>
  <c r="F26" i="17"/>
  <c r="G22" i="17"/>
  <c r="F22" i="17"/>
  <c r="G21" i="17"/>
  <c r="F21" i="17"/>
  <c r="G20" i="17"/>
  <c r="F20" i="17"/>
  <c r="G19" i="17"/>
  <c r="F19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7" i="17"/>
  <c r="F7" i="17"/>
  <c r="G6" i="17"/>
  <c r="F6" i="17"/>
  <c r="P29" i="17"/>
  <c r="M29" i="17"/>
  <c r="D29" i="17"/>
  <c r="D27" i="17"/>
  <c r="P26" i="17"/>
  <c r="P25" i="17" s="1"/>
  <c r="M26" i="17"/>
  <c r="D26" i="17"/>
  <c r="P22" i="17"/>
  <c r="M22" i="17"/>
  <c r="D22" i="17"/>
  <c r="P21" i="17"/>
  <c r="M21" i="17"/>
  <c r="D21" i="17"/>
  <c r="P20" i="17"/>
  <c r="M20" i="17"/>
  <c r="D20" i="17"/>
  <c r="P19" i="17"/>
  <c r="M19" i="17"/>
  <c r="D19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D11" i="17"/>
  <c r="P10" i="17"/>
  <c r="M10" i="17"/>
  <c r="D10" i="17"/>
  <c r="P7" i="17"/>
  <c r="M7" i="17"/>
  <c r="D7" i="17"/>
  <c r="P6" i="17"/>
  <c r="M6" i="17"/>
  <c r="D6" i="17"/>
  <c r="O29" i="17"/>
  <c r="L29" i="17"/>
  <c r="C29" i="17"/>
  <c r="C27" i="17"/>
  <c r="O26" i="17"/>
  <c r="L26" i="17"/>
  <c r="L25" i="17" s="1"/>
  <c r="C26" i="17"/>
  <c r="O22" i="17"/>
  <c r="L22" i="17"/>
  <c r="C22" i="17"/>
  <c r="O21" i="17"/>
  <c r="L21" i="17"/>
  <c r="C21" i="17"/>
  <c r="O20" i="17"/>
  <c r="L20" i="17"/>
  <c r="C20" i="17"/>
  <c r="O19" i="17"/>
  <c r="L19" i="17"/>
  <c r="C19" i="17"/>
  <c r="O16" i="17"/>
  <c r="L16" i="17"/>
  <c r="C16" i="17"/>
  <c r="O15" i="17"/>
  <c r="L15" i="17"/>
  <c r="C15" i="17"/>
  <c r="O14" i="17"/>
  <c r="L14" i="17"/>
  <c r="C14" i="17"/>
  <c r="O13" i="17"/>
  <c r="L13" i="17"/>
  <c r="C13" i="17"/>
  <c r="O12" i="17"/>
  <c r="L12" i="17"/>
  <c r="C12" i="17"/>
  <c r="O11" i="17"/>
  <c r="L11" i="17"/>
  <c r="C11" i="17"/>
  <c r="O10" i="17"/>
  <c r="L10" i="17"/>
  <c r="C10" i="17"/>
  <c r="O7" i="17"/>
  <c r="L7" i="17"/>
  <c r="C7" i="17"/>
  <c r="O6" i="17"/>
  <c r="L6" i="17"/>
  <c r="C6" i="17"/>
  <c r="J3" i="17"/>
  <c r="Q10" i="17" l="1"/>
  <c r="Q20" i="17"/>
  <c r="E16" i="17"/>
  <c r="E22" i="17"/>
  <c r="N12" i="17"/>
  <c r="N22" i="17"/>
  <c r="H20" i="17"/>
  <c r="N10" i="17"/>
  <c r="H6" i="17"/>
  <c r="H22" i="17"/>
  <c r="Q15" i="17"/>
  <c r="H26" i="17"/>
  <c r="N16" i="17"/>
  <c r="E21" i="17"/>
  <c r="L9" i="17"/>
  <c r="E14" i="17"/>
  <c r="Q16" i="17"/>
  <c r="E27" i="17"/>
  <c r="M5" i="17"/>
  <c r="E12" i="17"/>
  <c r="H11" i="17"/>
  <c r="H15" i="17"/>
  <c r="Q6" i="17"/>
  <c r="L5" i="17"/>
  <c r="L18" i="17"/>
  <c r="N7" i="17"/>
  <c r="E20" i="17"/>
  <c r="Q22" i="17"/>
  <c r="D5" i="17"/>
  <c r="D18" i="17"/>
  <c r="E10" i="17"/>
  <c r="D25" i="17"/>
  <c r="G9" i="17"/>
  <c r="G18" i="17"/>
  <c r="N20" i="17"/>
  <c r="C25" i="17"/>
  <c r="Q12" i="17"/>
  <c r="D9" i="17"/>
  <c r="G5" i="17"/>
  <c r="E7" i="17"/>
  <c r="N14" i="17"/>
  <c r="E19" i="17"/>
  <c r="M18" i="17"/>
  <c r="Q14" i="17"/>
  <c r="P5" i="17"/>
  <c r="H29" i="17"/>
  <c r="N6" i="17"/>
  <c r="N11" i="17"/>
  <c r="N13" i="17"/>
  <c r="N15" i="17"/>
  <c r="N19" i="17"/>
  <c r="N21" i="17"/>
  <c r="N26" i="17"/>
  <c r="Q7" i="17"/>
  <c r="F25" i="17"/>
  <c r="H25" i="17" s="1"/>
  <c r="O18" i="17"/>
  <c r="C5" i="17"/>
  <c r="F5" i="17"/>
  <c r="H13" i="17"/>
  <c r="Q29" i="17"/>
  <c r="M25" i="17"/>
  <c r="N25" i="17" s="1"/>
  <c r="Q11" i="17"/>
  <c r="Q13" i="17"/>
  <c r="Q26" i="17"/>
  <c r="M9" i="17"/>
  <c r="Q19" i="17"/>
  <c r="E11" i="17"/>
  <c r="O9" i="17"/>
  <c r="E15" i="17"/>
  <c r="Q21" i="17"/>
  <c r="E13" i="17"/>
  <c r="N29" i="17"/>
  <c r="F9" i="17"/>
  <c r="P9" i="17"/>
  <c r="H10" i="17"/>
  <c r="H14" i="17"/>
  <c r="F18" i="17"/>
  <c r="P18" i="17"/>
  <c r="H19" i="17"/>
  <c r="E29" i="17"/>
  <c r="E6" i="17"/>
  <c r="E26" i="17"/>
  <c r="H7" i="17"/>
  <c r="H12" i="17"/>
  <c r="H16" i="17"/>
  <c r="H21" i="17"/>
  <c r="H27" i="17"/>
  <c r="O5" i="17"/>
  <c r="C9" i="17"/>
  <c r="C18" i="17"/>
  <c r="O25" i="17"/>
  <c r="E18" i="17" l="1"/>
  <c r="L33" i="17"/>
  <c r="N5" i="17"/>
  <c r="G33" i="17"/>
  <c r="E5" i="17"/>
  <c r="N18" i="17"/>
  <c r="E25" i="17"/>
  <c r="H5" i="17"/>
  <c r="D33" i="17"/>
  <c r="Q18" i="17"/>
  <c r="Q9" i="17"/>
  <c r="E9" i="17"/>
  <c r="P33" i="17"/>
  <c r="M33" i="17"/>
  <c r="N9" i="17"/>
  <c r="Q25" i="17"/>
  <c r="C33" i="17"/>
  <c r="E33" i="17" s="1"/>
  <c r="O33" i="17"/>
  <c r="R5" i="17" s="1"/>
  <c r="H18" i="17"/>
  <c r="F33" i="17"/>
  <c r="I18" i="17" s="1"/>
  <c r="H9" i="17"/>
  <c r="Q5" i="17"/>
  <c r="N33" i="17" l="1"/>
  <c r="I9" i="17"/>
  <c r="I26" i="17"/>
  <c r="I20" i="17"/>
  <c r="I15" i="17"/>
  <c r="I11" i="17"/>
  <c r="I6" i="17"/>
  <c r="I22" i="17"/>
  <c r="I13" i="17"/>
  <c r="H33" i="17"/>
  <c r="I16" i="17"/>
  <c r="I12" i="17"/>
  <c r="I14" i="17"/>
  <c r="I5" i="17"/>
  <c r="I29" i="17"/>
  <c r="I21" i="17"/>
  <c r="I10" i="17"/>
  <c r="I25" i="17"/>
  <c r="I7" i="17"/>
  <c r="I27" i="17"/>
  <c r="I19" i="17"/>
  <c r="Q33" i="17"/>
  <c r="R26" i="17"/>
  <c r="R20" i="17"/>
  <c r="R15" i="17"/>
  <c r="R11" i="17"/>
  <c r="R6" i="17"/>
  <c r="R29" i="17"/>
  <c r="R22" i="17"/>
  <c r="R18" i="17"/>
  <c r="R13" i="17"/>
  <c r="R9" i="17"/>
  <c r="R21" i="17"/>
  <c r="R16" i="17"/>
  <c r="R19" i="17"/>
  <c r="R12" i="17"/>
  <c r="R10" i="17"/>
  <c r="R14" i="17"/>
  <c r="R7" i="17"/>
  <c r="R25" i="17"/>
  <c r="O27" i="8" l="1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O28" i="8" s="1"/>
  <c r="N26" i="8"/>
  <c r="M26" i="8"/>
  <c r="M28" i="8" s="1"/>
  <c r="L26" i="8"/>
  <c r="K26" i="8"/>
  <c r="J26" i="8"/>
  <c r="I26" i="8"/>
  <c r="H26" i="8"/>
  <c r="G26" i="8"/>
  <c r="G28" i="8" s="1"/>
  <c r="F26" i="8"/>
  <c r="E26" i="8"/>
  <c r="E28" i="8" s="1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O23" i="8" s="1"/>
  <c r="N21" i="8"/>
  <c r="M21" i="8"/>
  <c r="L21" i="8"/>
  <c r="K21" i="8"/>
  <c r="J21" i="8"/>
  <c r="I21" i="8"/>
  <c r="I23" i="8" s="1"/>
  <c r="H21" i="8"/>
  <c r="G21" i="8"/>
  <c r="G23" i="8" s="1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K18" i="8" s="1"/>
  <c r="J16" i="8"/>
  <c r="I16" i="8"/>
  <c r="I18" i="8" s="1"/>
  <c r="H16" i="8"/>
  <c r="G16" i="8"/>
  <c r="F16" i="8"/>
  <c r="E16" i="8"/>
  <c r="C16" i="8"/>
  <c r="B16" i="8"/>
  <c r="O9" i="8"/>
  <c r="P9" i="8" s="1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O6" i="8" s="1"/>
  <c r="N4" i="8"/>
  <c r="M4" i="8"/>
  <c r="L4" i="8"/>
  <c r="K4" i="8"/>
  <c r="J4" i="8"/>
  <c r="I4" i="8"/>
  <c r="H4" i="8"/>
  <c r="G4" i="8"/>
  <c r="F4" i="8"/>
  <c r="E4" i="8"/>
  <c r="D4" i="8"/>
  <c r="C4" i="8"/>
  <c r="B4" i="8"/>
  <c r="D33" i="8"/>
  <c r="O32" i="8"/>
  <c r="M32" i="8"/>
  <c r="H28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E18" i="8" l="1"/>
  <c r="M18" i="8"/>
  <c r="K23" i="8"/>
  <c r="B6" i="8"/>
  <c r="J6" i="8"/>
  <c r="J12" i="8" s="1"/>
  <c r="F18" i="8"/>
  <c r="N18" i="8"/>
  <c r="C23" i="8"/>
  <c r="L23" i="8"/>
  <c r="C28" i="8"/>
  <c r="E6" i="8"/>
  <c r="E12" i="8" s="1"/>
  <c r="F23" i="8"/>
  <c r="G32" i="8"/>
  <c r="I28" i="8"/>
  <c r="D6" i="8"/>
  <c r="D12" i="8" s="1"/>
  <c r="L6" i="8"/>
  <c r="L12" i="8" s="1"/>
  <c r="M6" i="8"/>
  <c r="M12" i="8" s="1"/>
  <c r="H18" i="8"/>
  <c r="N23" i="8"/>
  <c r="C6" i="8"/>
  <c r="C12" i="8" s="1"/>
  <c r="K6" i="8"/>
  <c r="K12" i="8" s="1"/>
  <c r="L18" i="8"/>
  <c r="P22" i="8"/>
  <c r="J32" i="8"/>
  <c r="B23" i="8"/>
  <c r="P21" i="8"/>
  <c r="D10" i="5" s="1"/>
  <c r="B18" i="8"/>
  <c r="P16" i="8"/>
  <c r="D5" i="5" s="1"/>
  <c r="H6" i="8"/>
  <c r="H12" i="8" s="1"/>
  <c r="P17" i="8"/>
  <c r="K32" i="8"/>
  <c r="O10" i="8"/>
  <c r="O12" i="8" s="1"/>
  <c r="E31" i="8"/>
  <c r="J31" i="8"/>
  <c r="E32" i="8"/>
  <c r="B32" i="8"/>
  <c r="C32" i="8"/>
  <c r="I6" i="8"/>
  <c r="I12" i="8" s="1"/>
  <c r="J18" i="8"/>
  <c r="H23" i="8"/>
  <c r="C18" i="8"/>
  <c r="P8" i="8"/>
  <c r="F6" i="8"/>
  <c r="F12" i="8" s="1"/>
  <c r="N6" i="8"/>
  <c r="N12" i="8" s="1"/>
  <c r="G18" i="8"/>
  <c r="O18" i="8"/>
  <c r="O33" i="8" s="1"/>
  <c r="E23" i="8"/>
  <c r="E33" i="8" s="1"/>
  <c r="M31" i="8"/>
  <c r="B31" i="8"/>
  <c r="K31" i="8"/>
  <c r="P27" i="8"/>
  <c r="N32" i="8"/>
  <c r="G6" i="8"/>
  <c r="G12" i="8" s="1"/>
  <c r="I32" i="8"/>
  <c r="C31" i="8"/>
  <c r="L31" i="8"/>
  <c r="N28" i="8"/>
  <c r="F32" i="8"/>
  <c r="L32" i="8"/>
  <c r="F28" i="8"/>
  <c r="F33" i="8" s="1"/>
  <c r="B28" i="8"/>
  <c r="P5" i="8"/>
  <c r="C19" i="1" s="1"/>
  <c r="J28" i="8"/>
  <c r="K28" i="8"/>
  <c r="K33" i="8" s="1"/>
  <c r="I33" i="8"/>
  <c r="M23" i="8"/>
  <c r="M33" i="8" s="1"/>
  <c r="L28" i="8"/>
  <c r="P4" i="8"/>
  <c r="B19" i="1" s="1"/>
  <c r="P26" i="8"/>
  <c r="F31" i="8"/>
  <c r="N31" i="8"/>
  <c r="H32" i="8"/>
  <c r="G31" i="8"/>
  <c r="O31" i="8"/>
  <c r="B12" i="8"/>
  <c r="H31" i="8"/>
  <c r="I31" i="8"/>
  <c r="D11" i="5"/>
  <c r="J23" i="8"/>
  <c r="C33" i="8" l="1"/>
  <c r="L33" i="8"/>
  <c r="N33" i="8"/>
  <c r="H33" i="8"/>
  <c r="B33" i="8"/>
  <c r="P32" i="8"/>
  <c r="P31" i="8"/>
  <c r="D6" i="5"/>
  <c r="P18" i="8"/>
  <c r="P6" i="8"/>
  <c r="P10" i="8"/>
  <c r="G33" i="8"/>
  <c r="J33" i="8"/>
  <c r="P12" i="8"/>
  <c r="P28" i="8"/>
  <c r="P23" i="8"/>
  <c r="Y63" i="9"/>
  <c r="X63" i="9"/>
  <c r="V63" i="9"/>
  <c r="U63" i="9"/>
  <c r="Y62" i="9"/>
  <c r="X62" i="9"/>
  <c r="V62" i="9"/>
  <c r="U62" i="9"/>
  <c r="Y61" i="9"/>
  <c r="X61" i="9"/>
  <c r="V61" i="9"/>
  <c r="U61" i="9"/>
  <c r="Y60" i="9"/>
  <c r="X60" i="9"/>
  <c r="V60" i="9"/>
  <c r="U60" i="9"/>
  <c r="Y59" i="9"/>
  <c r="X59" i="9"/>
  <c r="V59" i="9"/>
  <c r="U59" i="9"/>
  <c r="Y58" i="9"/>
  <c r="X58" i="9"/>
  <c r="V58" i="9"/>
  <c r="U58" i="9"/>
  <c r="Y57" i="9"/>
  <c r="X57" i="9"/>
  <c r="V57" i="9"/>
  <c r="U57" i="9"/>
  <c r="Y54" i="9"/>
  <c r="X54" i="9"/>
  <c r="V54" i="9"/>
  <c r="U54" i="9"/>
  <c r="Y52" i="9"/>
  <c r="X52" i="9"/>
  <c r="V52" i="9"/>
  <c r="U52" i="9"/>
  <c r="Y50" i="9"/>
  <c r="X50" i="9"/>
  <c r="V50" i="9"/>
  <c r="U50" i="9"/>
  <c r="Y48" i="9"/>
  <c r="X48" i="9"/>
  <c r="V48" i="9"/>
  <c r="U48" i="9"/>
  <c r="Y46" i="9"/>
  <c r="X46" i="9"/>
  <c r="V46" i="9"/>
  <c r="U46" i="9"/>
  <c r="Y44" i="9"/>
  <c r="X44" i="9"/>
  <c r="V44" i="9"/>
  <c r="U44" i="9"/>
  <c r="Y42" i="9"/>
  <c r="X42" i="9"/>
  <c r="V42" i="9"/>
  <c r="U42" i="9"/>
  <c r="Y40" i="9"/>
  <c r="X40" i="9"/>
  <c r="V40" i="9"/>
  <c r="U40" i="9"/>
  <c r="Y39" i="9"/>
  <c r="X39" i="9"/>
  <c r="V39" i="9"/>
  <c r="U39" i="9"/>
  <c r="Y38" i="9"/>
  <c r="X38" i="9"/>
  <c r="V38" i="9"/>
  <c r="U38" i="9"/>
  <c r="Y37" i="9"/>
  <c r="X37" i="9"/>
  <c r="V37" i="9"/>
  <c r="U37" i="9"/>
  <c r="Y36" i="9"/>
  <c r="X36" i="9"/>
  <c r="V36" i="9"/>
  <c r="U36" i="9"/>
  <c r="Y35" i="9"/>
  <c r="X35" i="9"/>
  <c r="V35" i="9"/>
  <c r="U35" i="9"/>
  <c r="Y34" i="9"/>
  <c r="X34" i="9"/>
  <c r="V34" i="9"/>
  <c r="U34" i="9"/>
  <c r="Y31" i="9"/>
  <c r="X31" i="9"/>
  <c r="V31" i="9"/>
  <c r="U31" i="9"/>
  <c r="Y29" i="9"/>
  <c r="X29" i="9"/>
  <c r="V29" i="9"/>
  <c r="U29" i="9"/>
  <c r="Y27" i="9"/>
  <c r="X27" i="9"/>
  <c r="V27" i="9"/>
  <c r="U27" i="9"/>
  <c r="Y26" i="9"/>
  <c r="X26" i="9"/>
  <c r="V26" i="9"/>
  <c r="U26" i="9"/>
  <c r="Y25" i="9"/>
  <c r="X25" i="9"/>
  <c r="V25" i="9"/>
  <c r="U25" i="9"/>
  <c r="Y24" i="9"/>
  <c r="X24" i="9"/>
  <c r="V24" i="9"/>
  <c r="U24" i="9"/>
  <c r="Y23" i="9"/>
  <c r="X23" i="9"/>
  <c r="V23" i="9"/>
  <c r="U23" i="9"/>
  <c r="Y22" i="9"/>
  <c r="X22" i="9"/>
  <c r="V22" i="9"/>
  <c r="U22" i="9"/>
  <c r="Y21" i="9"/>
  <c r="X21" i="9"/>
  <c r="V21" i="9"/>
  <c r="U21" i="9"/>
  <c r="Y18" i="9"/>
  <c r="X18" i="9"/>
  <c r="V18" i="9"/>
  <c r="U18" i="9"/>
  <c r="Y17" i="9"/>
  <c r="X17" i="9"/>
  <c r="V17" i="9"/>
  <c r="U17" i="9"/>
  <c r="Y16" i="9"/>
  <c r="X16" i="9"/>
  <c r="V16" i="9"/>
  <c r="U16" i="9"/>
  <c r="Y13" i="9"/>
  <c r="X13" i="9"/>
  <c r="V13" i="9"/>
  <c r="U13" i="9"/>
  <c r="Y11" i="9"/>
  <c r="X11" i="9"/>
  <c r="V11" i="9"/>
  <c r="U11" i="9"/>
  <c r="Y9" i="9"/>
  <c r="X9" i="9"/>
  <c r="V9" i="9"/>
  <c r="U9" i="9"/>
  <c r="Y8" i="9"/>
  <c r="X8" i="9"/>
  <c r="V8" i="9"/>
  <c r="U8" i="9"/>
  <c r="Y7" i="9"/>
  <c r="X7" i="9"/>
  <c r="V7" i="9"/>
  <c r="U7" i="9"/>
  <c r="Y4" i="9"/>
  <c r="X4" i="9"/>
  <c r="V4" i="9"/>
  <c r="U4" i="9"/>
  <c r="P33" i="8" l="1"/>
  <c r="Z9" i="9"/>
  <c r="Y56" i="9"/>
  <c r="X56" i="9"/>
  <c r="W63" i="9" l="1"/>
  <c r="W62" i="9"/>
  <c r="W61" i="9"/>
  <c r="Z60" i="9"/>
  <c r="W60" i="9"/>
  <c r="Z59" i="9"/>
  <c r="W59" i="9"/>
  <c r="W58" i="9"/>
  <c r="U56" i="9"/>
  <c r="W54" i="9"/>
  <c r="W52" i="9"/>
  <c r="W48" i="9"/>
  <c r="Z44" i="9"/>
  <c r="W44" i="9"/>
  <c r="Z42" i="9"/>
  <c r="W42" i="9"/>
  <c r="W40" i="9"/>
  <c r="W38" i="9"/>
  <c r="Z36" i="9"/>
  <c r="W36" i="9"/>
  <c r="Z35" i="9"/>
  <c r="V33" i="9"/>
  <c r="Z34" i="9"/>
  <c r="Z31" i="9"/>
  <c r="W31" i="9"/>
  <c r="W29" i="9"/>
  <c r="W27" i="9"/>
  <c r="W26" i="9"/>
  <c r="Z25" i="9"/>
  <c r="Z24" i="9"/>
  <c r="W24" i="9"/>
  <c r="W23" i="9"/>
  <c r="Z22" i="9"/>
  <c r="W21" i="9"/>
  <c r="W18" i="9"/>
  <c r="Z13" i="9"/>
  <c r="W13" i="9"/>
  <c r="Z11" i="9"/>
  <c r="W11" i="9"/>
  <c r="W9" i="9"/>
  <c r="Z8" i="9"/>
  <c r="Y6" i="9"/>
  <c r="W7" i="9"/>
  <c r="V6" i="9"/>
  <c r="W4" i="9"/>
  <c r="Z16" i="9" l="1"/>
  <c r="W17" i="9"/>
  <c r="X20" i="9"/>
  <c r="W22" i="9"/>
  <c r="X33" i="9"/>
  <c r="Z57" i="9"/>
  <c r="U6" i="9"/>
  <c r="W6" i="9" s="1"/>
  <c r="U20" i="9"/>
  <c r="Y33" i="9"/>
  <c r="Z21" i="9"/>
  <c r="W50" i="9"/>
  <c r="U15" i="9"/>
  <c r="W46" i="9"/>
  <c r="Z48" i="9"/>
  <c r="U67" i="9"/>
  <c r="W35" i="9"/>
  <c r="V67" i="9"/>
  <c r="Z61" i="9"/>
  <c r="X67" i="9"/>
  <c r="Z4" i="9"/>
  <c r="W8" i="9"/>
  <c r="Z23" i="9"/>
  <c r="W25" i="9"/>
  <c r="W34" i="9"/>
  <c r="W37" i="9"/>
  <c r="W39" i="9"/>
  <c r="Z40" i="9"/>
  <c r="Z46" i="9"/>
  <c r="W57" i="9"/>
  <c r="Z58" i="9"/>
  <c r="W16" i="9"/>
  <c r="Z29" i="9"/>
  <c r="Z39" i="9"/>
  <c r="Z7" i="9"/>
  <c r="Z18" i="9"/>
  <c r="Z27" i="9"/>
  <c r="U33" i="9"/>
  <c r="W33" i="9" s="1"/>
  <c r="Z38" i="9"/>
  <c r="Z52" i="9"/>
  <c r="Z54" i="9"/>
  <c r="Z63" i="9"/>
  <c r="X6" i="9"/>
  <c r="X15" i="9"/>
  <c r="Z17" i="9"/>
  <c r="Z26" i="9"/>
  <c r="Z37" i="9"/>
  <c r="Z50" i="9"/>
  <c r="Z62" i="9"/>
  <c r="V15" i="9"/>
  <c r="Y15" i="9"/>
  <c r="V20" i="9"/>
  <c r="V56" i="9"/>
  <c r="Y67" i="9"/>
  <c r="Y20" i="9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4" i="9"/>
  <c r="M54" i="9"/>
  <c r="G54" i="9"/>
  <c r="D54" i="9"/>
  <c r="P52" i="9"/>
  <c r="M52" i="9"/>
  <c r="G52" i="9"/>
  <c r="D52" i="9"/>
  <c r="P50" i="9"/>
  <c r="M50" i="9"/>
  <c r="G50" i="9"/>
  <c r="D50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1" i="9"/>
  <c r="M31" i="9"/>
  <c r="G31" i="9"/>
  <c r="D31" i="9"/>
  <c r="P29" i="9"/>
  <c r="M29" i="9"/>
  <c r="G29" i="9"/>
  <c r="D29" i="9"/>
  <c r="P27" i="9"/>
  <c r="M27" i="9"/>
  <c r="G27" i="9"/>
  <c r="D27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18" i="9"/>
  <c r="M18" i="9"/>
  <c r="G18" i="9"/>
  <c r="D18" i="9"/>
  <c r="P17" i="9"/>
  <c r="M17" i="9"/>
  <c r="G17" i="9"/>
  <c r="D17" i="9"/>
  <c r="P16" i="9"/>
  <c r="M16" i="9"/>
  <c r="G16" i="9"/>
  <c r="D16" i="9"/>
  <c r="P13" i="9"/>
  <c r="M13" i="9"/>
  <c r="G13" i="9"/>
  <c r="D13" i="9"/>
  <c r="P11" i="9"/>
  <c r="M11" i="9"/>
  <c r="G11" i="9"/>
  <c r="D11" i="9"/>
  <c r="P9" i="9"/>
  <c r="M9" i="9"/>
  <c r="G9" i="9"/>
  <c r="D9" i="9"/>
  <c r="P8" i="9"/>
  <c r="M8" i="9"/>
  <c r="G8" i="9"/>
  <c r="D8" i="9"/>
  <c r="P7" i="9"/>
  <c r="M7" i="9"/>
  <c r="G7" i="9"/>
  <c r="D7" i="9"/>
  <c r="P4" i="9"/>
  <c r="M4" i="9"/>
  <c r="G4" i="9"/>
  <c r="D4" i="9"/>
  <c r="O63" i="9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4" i="9"/>
  <c r="L54" i="9"/>
  <c r="F54" i="9"/>
  <c r="C54" i="9"/>
  <c r="O52" i="9"/>
  <c r="L52" i="9"/>
  <c r="F52" i="9"/>
  <c r="C52" i="9"/>
  <c r="O50" i="9"/>
  <c r="L50" i="9"/>
  <c r="F50" i="9"/>
  <c r="C50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1" i="9"/>
  <c r="L31" i="9"/>
  <c r="F31" i="9"/>
  <c r="C31" i="9"/>
  <c r="O29" i="9"/>
  <c r="L29" i="9"/>
  <c r="F29" i="9"/>
  <c r="C29" i="9"/>
  <c r="O27" i="9"/>
  <c r="L27" i="9"/>
  <c r="F27" i="9"/>
  <c r="C27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18" i="9"/>
  <c r="L18" i="9"/>
  <c r="F18" i="9"/>
  <c r="C18" i="9"/>
  <c r="O17" i="9"/>
  <c r="L17" i="9"/>
  <c r="F17" i="9"/>
  <c r="C17" i="9"/>
  <c r="O16" i="9"/>
  <c r="L16" i="9"/>
  <c r="F16" i="9"/>
  <c r="C16" i="9"/>
  <c r="O13" i="9"/>
  <c r="L13" i="9"/>
  <c r="F13" i="9"/>
  <c r="C13" i="9"/>
  <c r="O11" i="9"/>
  <c r="L11" i="9"/>
  <c r="F11" i="9"/>
  <c r="C11" i="9"/>
  <c r="O9" i="9"/>
  <c r="L9" i="9"/>
  <c r="F9" i="9"/>
  <c r="C9" i="9"/>
  <c r="O8" i="9"/>
  <c r="L8" i="9"/>
  <c r="F8" i="9"/>
  <c r="C8" i="9"/>
  <c r="O7" i="9"/>
  <c r="L7" i="9"/>
  <c r="F7" i="9"/>
  <c r="C7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25" i="7"/>
  <c r="O24" i="7"/>
  <c r="M24" i="7"/>
  <c r="L24" i="7"/>
  <c r="J25" i="7"/>
  <c r="E25" i="7"/>
  <c r="E24" i="7"/>
  <c r="C24" i="7"/>
  <c r="B24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D24" i="7" l="1"/>
  <c r="N24" i="7"/>
  <c r="V68" i="9"/>
  <c r="V66" i="9" s="1"/>
  <c r="W67" i="9"/>
  <c r="Z67" i="9"/>
  <c r="Z33" i="9"/>
  <c r="W15" i="9"/>
  <c r="X68" i="9"/>
  <c r="Y68" i="9"/>
  <c r="Y66" i="9" s="1"/>
  <c r="U68" i="9"/>
  <c r="Z20" i="9"/>
  <c r="Z56" i="9"/>
  <c r="W20" i="9"/>
  <c r="W56" i="9"/>
  <c r="Z15" i="9"/>
  <c r="Z6" i="9"/>
  <c r="M23" i="7"/>
  <c r="L23" i="7"/>
  <c r="J24" i="7"/>
  <c r="C23" i="7"/>
  <c r="B23" i="7"/>
  <c r="W68" i="9" l="1"/>
  <c r="U66" i="9"/>
  <c r="W66" i="9" s="1"/>
  <c r="AA68" i="9"/>
  <c r="AA57" i="9"/>
  <c r="AA42" i="9"/>
  <c r="AA33" i="9"/>
  <c r="AA22" i="9"/>
  <c r="AA11" i="9"/>
  <c r="AA63" i="9"/>
  <c r="AA39" i="9"/>
  <c r="AA20" i="9"/>
  <c r="AA62" i="9"/>
  <c r="AA38" i="9"/>
  <c r="AA27" i="9"/>
  <c r="AA7" i="9"/>
  <c r="AA15" i="9"/>
  <c r="AA44" i="9"/>
  <c r="AA34" i="9"/>
  <c r="AA13" i="9"/>
  <c r="AA40" i="9"/>
  <c r="AA31" i="9"/>
  <c r="AA21" i="9"/>
  <c r="AA9" i="9"/>
  <c r="AA54" i="9"/>
  <c r="AA29" i="9"/>
  <c r="AA8" i="9"/>
  <c r="AA53" i="9"/>
  <c r="AA18" i="9"/>
  <c r="AA58" i="9"/>
  <c r="AA61" i="9"/>
  <c r="AA52" i="9"/>
  <c r="AA37" i="9"/>
  <c r="AA26" i="9"/>
  <c r="AA17" i="9"/>
  <c r="AA6" i="9"/>
  <c r="AA60" i="9"/>
  <c r="AA50" i="9"/>
  <c r="AA36" i="9"/>
  <c r="AA25" i="9"/>
  <c r="AA16" i="9"/>
  <c r="AA4" i="9"/>
  <c r="AA59" i="9"/>
  <c r="AA46" i="9"/>
  <c r="AA35" i="9"/>
  <c r="AA24" i="9"/>
  <c r="AA48" i="9"/>
  <c r="AA23" i="9"/>
  <c r="AA56" i="9"/>
  <c r="X66" i="9"/>
  <c r="AA66" i="9" s="1"/>
  <c r="AA67" i="9"/>
  <c r="Z68" i="9"/>
  <c r="D23" i="7"/>
  <c r="N23" i="7"/>
  <c r="Z66" i="9" l="1"/>
  <c r="O23" i="7"/>
  <c r="J23" i="7"/>
  <c r="E23" i="7"/>
  <c r="E22" i="7" l="1"/>
  <c r="J22" i="7"/>
  <c r="E36" i="15" l="1"/>
  <c r="M6" i="16" l="1"/>
  <c r="O22" i="7"/>
  <c r="O21" i="7"/>
  <c r="M21" i="7"/>
  <c r="L21" i="7"/>
  <c r="J21" i="7"/>
  <c r="E21" i="7"/>
  <c r="J17" i="4"/>
  <c r="G17" i="4"/>
  <c r="H17" i="4" l="1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D40" i="3" l="1"/>
  <c r="D35" i="3"/>
  <c r="D18" i="3"/>
  <c r="D12" i="3"/>
  <c r="D7" i="3"/>
  <c r="D30" i="3"/>
  <c r="D44" i="3" l="1"/>
  <c r="D22" i="3"/>
  <c r="D23" i="3" s="1"/>
  <c r="D43" i="3"/>
  <c r="D45" i="3" l="1"/>
  <c r="D67" i="9" l="1"/>
  <c r="L67" i="9" l="1"/>
  <c r="G67" i="9"/>
  <c r="O67" i="9"/>
  <c r="C67" i="9"/>
  <c r="F67" i="9"/>
  <c r="M67" i="9"/>
  <c r="P67" i="9"/>
  <c r="E67" i="9" l="1"/>
  <c r="H67" i="9"/>
  <c r="Q67" i="9"/>
  <c r="N67" i="9"/>
  <c r="Q63" i="9"/>
  <c r="E63" i="9"/>
  <c r="N63" i="9"/>
  <c r="E46" i="9" l="1"/>
  <c r="N46" i="9"/>
  <c r="Q46" i="9"/>
  <c r="H46" i="9"/>
  <c r="H63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27" i="4"/>
  <c r="C15" i="9"/>
  <c r="G12" i="4"/>
  <c r="G20" i="4"/>
  <c r="G32" i="4"/>
  <c r="C20" i="9"/>
  <c r="C33" i="9"/>
  <c r="C6" i="9"/>
  <c r="C56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68" i="9" l="1"/>
  <c r="G21" i="4"/>
  <c r="D21" i="15"/>
  <c r="G42" i="4"/>
  <c r="D42" i="15"/>
  <c r="O56" i="9"/>
  <c r="N62" i="9"/>
  <c r="H62" i="9"/>
  <c r="E62" i="9"/>
  <c r="Q61" i="9"/>
  <c r="N60" i="9"/>
  <c r="H60" i="9"/>
  <c r="E60" i="9"/>
  <c r="Q59" i="9"/>
  <c r="N58" i="9"/>
  <c r="H58" i="9"/>
  <c r="E58" i="9"/>
  <c r="P56" i="9"/>
  <c r="Q57" i="9"/>
  <c r="M56" i="9"/>
  <c r="D56" i="9"/>
  <c r="Q54" i="9"/>
  <c r="N54" i="9"/>
  <c r="E54" i="9"/>
  <c r="N52" i="9"/>
  <c r="E52" i="9"/>
  <c r="Q50" i="9"/>
  <c r="N50" i="9"/>
  <c r="H50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C66" i="9" l="1"/>
  <c r="M68" i="9"/>
  <c r="M66" i="9" s="1"/>
  <c r="N9" i="9"/>
  <c r="L33" i="9"/>
  <c r="N33" i="9" s="1"/>
  <c r="D33" i="9"/>
  <c r="E33" i="9" s="1"/>
  <c r="G6" i="9"/>
  <c r="P6" i="9"/>
  <c r="Q6" i="9" s="1"/>
  <c r="N11" i="9"/>
  <c r="E13" i="9"/>
  <c r="L15" i="9"/>
  <c r="N15" i="9" s="1"/>
  <c r="Q16" i="9"/>
  <c r="E38" i="9"/>
  <c r="P33" i="9"/>
  <c r="E8" i="9"/>
  <c r="N8" i="9"/>
  <c r="F20" i="9"/>
  <c r="H20" i="9" s="1"/>
  <c r="O33" i="9"/>
  <c r="O68" i="9" s="1"/>
  <c r="N35" i="9"/>
  <c r="Q36" i="9"/>
  <c r="E39" i="9"/>
  <c r="N39" i="9"/>
  <c r="Q40" i="9"/>
  <c r="E59" i="9"/>
  <c r="N59" i="9"/>
  <c r="E61" i="9"/>
  <c r="N61" i="9"/>
  <c r="H37" i="9"/>
  <c r="H52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E50" i="9"/>
  <c r="H15" i="9"/>
  <c r="H22" i="9"/>
  <c r="E6" i="9"/>
  <c r="E9" i="9"/>
  <c r="L20" i="9"/>
  <c r="N20" i="9" s="1"/>
  <c r="D20" i="9"/>
  <c r="E23" i="9"/>
  <c r="H26" i="9"/>
  <c r="H42" i="9"/>
  <c r="Q56" i="9"/>
  <c r="G56" i="9"/>
  <c r="Q58" i="9"/>
  <c r="H17" i="9"/>
  <c r="E25" i="9"/>
  <c r="H29" i="9"/>
  <c r="E34" i="9"/>
  <c r="E36" i="9"/>
  <c r="H39" i="9"/>
  <c r="H44" i="9"/>
  <c r="E57" i="9"/>
  <c r="N57" i="9"/>
  <c r="Q60" i="9"/>
  <c r="Q62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Q52" i="9"/>
  <c r="H54" i="9"/>
  <c r="F56" i="9"/>
  <c r="L56" i="9"/>
  <c r="H57" i="9"/>
  <c r="H59" i="9"/>
  <c r="H61" i="9"/>
  <c r="D68" i="9" l="1"/>
  <c r="D66" i="9" s="1"/>
  <c r="P68" i="9"/>
  <c r="P66" i="9" s="1"/>
  <c r="G68" i="9"/>
  <c r="G66" i="9" s="1"/>
  <c r="L68" i="9"/>
  <c r="N68" i="9" s="1"/>
  <c r="F68" i="9"/>
  <c r="R68" i="9"/>
  <c r="O66" i="9"/>
  <c r="R67" i="9"/>
  <c r="Q33" i="9"/>
  <c r="E20" i="9"/>
  <c r="H56" i="9"/>
  <c r="H33" i="9"/>
  <c r="H6" i="9"/>
  <c r="N56" i="9"/>
  <c r="E15" i="9"/>
  <c r="E56" i="9"/>
  <c r="E68" i="9" l="1"/>
  <c r="E66" i="9"/>
  <c r="R66" i="9"/>
  <c r="Q68" i="9"/>
  <c r="H68" i="9"/>
  <c r="I68" i="9" s="1"/>
  <c r="I67" i="9"/>
  <c r="F66" i="9"/>
  <c r="I4" i="9"/>
  <c r="L66" i="9"/>
  <c r="Q66" i="9"/>
  <c r="R46" i="9"/>
  <c r="R4" i="9"/>
  <c r="I46" i="9"/>
  <c r="I6" i="9"/>
  <c r="I63" i="9"/>
  <c r="R59" i="9"/>
  <c r="R63" i="9"/>
  <c r="R57" i="9"/>
  <c r="R37" i="9"/>
  <c r="R24" i="9"/>
  <c r="R48" i="9"/>
  <c r="R33" i="9"/>
  <c r="R25" i="9"/>
  <c r="R35" i="9"/>
  <c r="R26" i="9"/>
  <c r="R21" i="9"/>
  <c r="R44" i="9"/>
  <c r="R16" i="9"/>
  <c r="R56" i="9"/>
  <c r="R22" i="9"/>
  <c r="R62" i="9"/>
  <c r="R15" i="9"/>
  <c r="R58" i="9"/>
  <c r="R11" i="9"/>
  <c r="R52" i="9"/>
  <c r="R29" i="9"/>
  <c r="R61" i="9"/>
  <c r="R9" i="9"/>
  <c r="R8" i="9"/>
  <c r="R34" i="9"/>
  <c r="R54" i="9"/>
  <c r="R42" i="9"/>
  <c r="R60" i="9"/>
  <c r="R7" i="9"/>
  <c r="R36" i="9"/>
  <c r="R18" i="9"/>
  <c r="R27" i="9"/>
  <c r="R20" i="9"/>
  <c r="R31" i="9"/>
  <c r="R53" i="9"/>
  <c r="R17" i="9"/>
  <c r="R6" i="9"/>
  <c r="R39" i="9"/>
  <c r="R38" i="9"/>
  <c r="R23" i="9"/>
  <c r="R50" i="9"/>
  <c r="R13" i="9"/>
  <c r="R40" i="9"/>
  <c r="I33" i="9"/>
  <c r="I56" i="9"/>
  <c r="I62" i="9"/>
  <c r="I60" i="9"/>
  <c r="I11" i="9"/>
  <c r="I58" i="9"/>
  <c r="I7" i="9"/>
  <c r="I38" i="9"/>
  <c r="I54" i="9"/>
  <c r="I15" i="9"/>
  <c r="I16" i="9"/>
  <c r="I26" i="9"/>
  <c r="I42" i="9"/>
  <c r="I21" i="9"/>
  <c r="I39" i="9"/>
  <c r="I44" i="9"/>
  <c r="I61" i="9"/>
  <c r="I8" i="9"/>
  <c r="I52" i="9"/>
  <c r="I25" i="9"/>
  <c r="I34" i="9"/>
  <c r="I36" i="9"/>
  <c r="I23" i="9"/>
  <c r="I31" i="9"/>
  <c r="I50" i="9"/>
  <c r="I37" i="9"/>
  <c r="I24" i="9"/>
  <c r="I35" i="9"/>
  <c r="I22" i="9"/>
  <c r="I13" i="9"/>
  <c r="I59" i="9"/>
  <c r="I18" i="9"/>
  <c r="I29" i="9"/>
  <c r="I20" i="9"/>
  <c r="I57" i="9"/>
  <c r="I9" i="9"/>
  <c r="I27" i="9"/>
  <c r="I17" i="9"/>
  <c r="I40" i="9"/>
  <c r="I48" i="9"/>
  <c r="I66" i="9" l="1"/>
  <c r="N66" i="9"/>
  <c r="H66" i="9"/>
  <c r="J2" i="9"/>
  <c r="S2" i="9" s="1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F35" i="3"/>
  <c r="H35" i="3"/>
  <c r="E32" i="4"/>
  <c r="B32" i="15"/>
  <c r="H32" i="15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J45" i="15"/>
  <c r="J44" i="15"/>
  <c r="P20" i="16"/>
  <c r="P8" i="16"/>
  <c r="K42" i="2"/>
  <c r="K37" i="2"/>
  <c r="K36" i="2"/>
  <c r="K32" i="2"/>
  <c r="K8" i="2"/>
  <c r="M34" i="4"/>
  <c r="M33" i="4"/>
  <c r="M14" i="4"/>
  <c r="O37" i="16" l="1"/>
  <c r="H18" i="3"/>
  <c r="H23" i="3" s="1"/>
  <c r="C17" i="4"/>
  <c r="K37" i="4"/>
  <c r="J37" i="16"/>
  <c r="H37" i="16"/>
  <c r="B18" i="3"/>
  <c r="B37" i="16"/>
  <c r="E37" i="16"/>
  <c r="H44" i="3"/>
  <c r="J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G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I22" i="3"/>
  <c r="I23" i="3" s="1"/>
  <c r="B17" i="15"/>
  <c r="F12" i="7"/>
  <c r="B12" i="7"/>
  <c r="D20" i="1"/>
  <c r="G20" i="1" s="1"/>
  <c r="F41" i="15"/>
  <c r="B41" i="15"/>
  <c r="D41" i="4"/>
  <c r="K40" i="4"/>
  <c r="H18" i="16"/>
  <c r="E43" i="2"/>
  <c r="B43" i="2"/>
  <c r="G32" i="15"/>
  <c r="C32" i="15"/>
  <c r="G44" i="3"/>
  <c r="B23" i="16"/>
  <c r="G11" i="16"/>
  <c r="E6" i="16"/>
  <c r="B6" i="16"/>
  <c r="J11" i="16"/>
  <c r="H6" i="16"/>
  <c r="H12" i="15"/>
  <c r="H12" i="4"/>
  <c r="G12" i="3"/>
  <c r="C21" i="2"/>
  <c r="C23" i="2" s="1"/>
  <c r="H20" i="4"/>
  <c r="H17" i="15"/>
  <c r="D32" i="4"/>
  <c r="I35" i="3"/>
  <c r="F27" i="15"/>
  <c r="J28" i="3"/>
  <c r="J28" i="2" s="1"/>
  <c r="K28" i="2" s="1"/>
  <c r="C30" i="16"/>
  <c r="G30" i="16"/>
  <c r="G7" i="3"/>
  <c r="E7" i="7"/>
  <c r="C12" i="7"/>
  <c r="K32" i="4"/>
  <c r="D27" i="4"/>
  <c r="H23" i="16"/>
  <c r="G6" i="16"/>
  <c r="C6" i="16"/>
  <c r="F7" i="3"/>
  <c r="I7" i="3"/>
  <c r="B40" i="4"/>
  <c r="J23" i="16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D40" i="4"/>
  <c r="H40" i="3"/>
  <c r="B40" i="3"/>
  <c r="D40" i="2"/>
  <c r="F44" i="3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J20" i="3"/>
  <c r="J19" i="2" s="1"/>
  <c r="K19" i="2" s="1"/>
  <c r="G43" i="3"/>
  <c r="B27" i="4"/>
  <c r="L19" i="4"/>
  <c r="M19" i="4" s="1"/>
  <c r="D7" i="4"/>
  <c r="J39" i="3"/>
  <c r="J39" i="2" s="1"/>
  <c r="K39" i="2" s="1"/>
  <c r="B16" i="5" s="1"/>
  <c r="B32" i="4"/>
  <c r="E35" i="2"/>
  <c r="B35" i="2"/>
  <c r="D43" i="2"/>
  <c r="E23" i="16"/>
  <c r="N11" i="16"/>
  <c r="C40" i="4"/>
  <c r="F43" i="3"/>
  <c r="B41" i="4"/>
  <c r="C32" i="4"/>
  <c r="B18" i="16"/>
  <c r="E18" i="16"/>
  <c r="P21" i="16"/>
  <c r="H7" i="3"/>
  <c r="C6" i="2"/>
  <c r="G7" i="15"/>
  <c r="E7" i="4"/>
  <c r="J16" i="3"/>
  <c r="J15" i="2" s="1"/>
  <c r="K15" i="2" s="1"/>
  <c r="H40" i="15"/>
  <c r="D16" i="5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J29" i="3"/>
  <c r="J29" i="2" s="1"/>
  <c r="F12" i="3"/>
  <c r="G35" i="3"/>
  <c r="J31" i="15"/>
  <c r="L31" i="4" s="1"/>
  <c r="C30" i="2"/>
  <c r="I40" i="3"/>
  <c r="I44" i="3"/>
  <c r="J30" i="16"/>
  <c r="P28" i="16"/>
  <c r="P17" i="16"/>
  <c r="G18" i="16"/>
  <c r="D23" i="16"/>
  <c r="H40" i="4"/>
  <c r="H37" i="4"/>
  <c r="J38" i="3"/>
  <c r="J38" i="2" s="1"/>
  <c r="F40" i="3"/>
  <c r="G37" i="15"/>
  <c r="L18" i="4"/>
  <c r="M18" i="4" s="1"/>
  <c r="P10" i="16"/>
  <c r="B11" i="16"/>
  <c r="K51" i="2"/>
  <c r="J21" i="3"/>
  <c r="J20" i="2" s="1"/>
  <c r="K20" i="2" s="1"/>
  <c r="G22" i="3"/>
  <c r="H41" i="4"/>
  <c r="D15" i="5"/>
  <c r="C37" i="15"/>
  <c r="G30" i="3"/>
  <c r="J46" i="15"/>
  <c r="L44" i="4" s="1"/>
  <c r="M44" i="4" s="1"/>
  <c r="N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G27" i="15"/>
  <c r="C41" i="15"/>
  <c r="E41" i="4"/>
  <c r="F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D12" i="7"/>
  <c r="E12" i="7"/>
  <c r="H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5" i="7" s="1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B11" i="5" l="1"/>
  <c r="B5" i="5"/>
  <c r="G21" i="1"/>
  <c r="C25" i="7"/>
  <c r="F24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D33" i="1" s="1"/>
  <c r="H45" i="3"/>
  <c r="G45" i="3"/>
  <c r="D45" i="2"/>
  <c r="G23" i="3"/>
  <c r="G42" i="15"/>
  <c r="H21" i="15"/>
  <c r="B42" i="4"/>
  <c r="D7" i="1"/>
  <c r="J17" i="2"/>
  <c r="K17" i="2" s="1"/>
  <c r="J12" i="3"/>
  <c r="J44" i="3"/>
  <c r="E45" i="2"/>
  <c r="E21" i="4"/>
  <c r="D17" i="5"/>
  <c r="F45" i="3"/>
  <c r="F42" i="15"/>
  <c r="D18" i="1"/>
  <c r="C10" i="1"/>
  <c r="L27" i="4"/>
  <c r="M27" i="4" s="1"/>
  <c r="C21" i="15"/>
  <c r="D42" i="4"/>
  <c r="J11" i="2"/>
  <c r="K11" i="2" s="1"/>
  <c r="K9" i="2"/>
  <c r="J35" i="3"/>
  <c r="J40" i="3"/>
  <c r="J44" i="2"/>
  <c r="K44" i="2" s="1"/>
  <c r="J32" i="15"/>
  <c r="M25" i="4"/>
  <c r="C5" i="5" s="1"/>
  <c r="J30" i="3"/>
  <c r="P6" i="16"/>
  <c r="J7" i="3"/>
  <c r="B21" i="4"/>
  <c r="G12" i="7"/>
  <c r="P11" i="16"/>
  <c r="J22" i="5"/>
  <c r="K29" i="2"/>
  <c r="J21" i="2"/>
  <c r="K21" i="2" s="1"/>
  <c r="H42" i="4"/>
  <c r="P23" i="16"/>
  <c r="L32" i="4"/>
  <c r="M32" i="4" s="1"/>
  <c r="C37" i="1"/>
  <c r="H42" i="15"/>
  <c r="J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D21" i="5"/>
  <c r="K33" i="2"/>
  <c r="J37" i="15"/>
  <c r="J18" i="3"/>
  <c r="L17" i="4"/>
  <c r="M17" i="4" s="1"/>
  <c r="D20" i="5"/>
  <c r="E42" i="4"/>
  <c r="C42" i="15"/>
  <c r="J40" i="15"/>
  <c r="J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J43" i="3"/>
  <c r="B6" i="5" l="1"/>
  <c r="B28" i="1"/>
  <c r="B27" i="1"/>
  <c r="B10" i="5"/>
  <c r="E10" i="5" s="1"/>
  <c r="F10" i="5" s="1"/>
  <c r="I10" i="5" s="1"/>
  <c r="C27" i="1"/>
  <c r="E5" i="5"/>
  <c r="F5" i="5" s="1"/>
  <c r="I5" i="5" s="1"/>
  <c r="G18" i="1"/>
  <c r="G19" i="1"/>
  <c r="G5" i="1"/>
  <c r="G7" i="1"/>
  <c r="D22" i="5"/>
  <c r="D25" i="7"/>
  <c r="F25" i="7" s="1"/>
  <c r="F23" i="7"/>
  <c r="B8" i="1"/>
  <c r="F18" i="1"/>
  <c r="J21" i="15"/>
  <c r="D6" i="1"/>
  <c r="C8" i="1"/>
  <c r="C33" i="1" s="1"/>
  <c r="B10" i="1"/>
  <c r="F19" i="1"/>
  <c r="J45" i="2"/>
  <c r="K45" i="2" s="1"/>
  <c r="J45" i="3"/>
  <c r="F7" i="1"/>
  <c r="J23" i="2"/>
  <c r="K23" i="2" s="1"/>
  <c r="L42" i="4"/>
  <c r="M42" i="4" s="1"/>
  <c r="J42" i="15"/>
  <c r="J23" i="3"/>
  <c r="B17" i="1"/>
  <c r="D17" i="1" s="1"/>
  <c r="G17" i="1" s="1"/>
  <c r="K43" i="2"/>
  <c r="C11" i="5"/>
  <c r="E11" i="5" s="1"/>
  <c r="M37" i="4"/>
  <c r="H16" i="5"/>
  <c r="L21" i="4"/>
  <c r="M21" i="4" s="1"/>
  <c r="B20" i="5"/>
  <c r="C17" i="5"/>
  <c r="C20" i="5"/>
  <c r="E15" i="5"/>
  <c r="D12" i="5"/>
  <c r="D7" i="5"/>
  <c r="C22" i="1"/>
  <c r="D16" i="1"/>
  <c r="F5" i="1"/>
  <c r="C7" i="5"/>
  <c r="E20" i="5" l="1"/>
  <c r="B12" i="5"/>
  <c r="B7" i="5"/>
  <c r="E6" i="5"/>
  <c r="F6" i="5" s="1"/>
  <c r="I6" i="5" s="1"/>
  <c r="B21" i="5"/>
  <c r="B22" i="5" s="1"/>
  <c r="G6" i="1"/>
  <c r="G16" i="1"/>
  <c r="D10" i="1"/>
  <c r="D8" i="1"/>
  <c r="F8" i="1" s="1"/>
  <c r="F6" i="1"/>
  <c r="C11" i="1"/>
  <c r="M25" i="7" s="1"/>
  <c r="B32" i="1"/>
  <c r="D32" i="1" s="1"/>
  <c r="B11" i="1"/>
  <c r="L25" i="7" s="1"/>
  <c r="D28" i="1"/>
  <c r="G28" i="1" s="1"/>
  <c r="B22" i="1"/>
  <c r="B29" i="1"/>
  <c r="C12" i="5"/>
  <c r="C21" i="5"/>
  <c r="F11" i="5"/>
  <c r="I11" i="5" s="1"/>
  <c r="C29" i="1"/>
  <c r="F16" i="1"/>
  <c r="D22" i="1"/>
  <c r="F22" i="1" s="1"/>
  <c r="F15" i="5"/>
  <c r="I15" i="5" s="1"/>
  <c r="E17" i="5"/>
  <c r="D27" i="1" s="1"/>
  <c r="G27" i="1" s="1"/>
  <c r="F20" i="5"/>
  <c r="F17" i="1"/>
  <c r="H25" i="7" l="1"/>
  <c r="I20" i="5"/>
  <c r="I21" i="5"/>
  <c r="E7" i="5"/>
  <c r="H6" i="5"/>
  <c r="E21" i="5"/>
  <c r="F21" i="5" s="1"/>
  <c r="H21" i="5" s="1"/>
  <c r="G10" i="1"/>
  <c r="N25" i="7"/>
  <c r="P25" i="7" s="1"/>
  <c r="G25" i="7"/>
  <c r="H23" i="7"/>
  <c r="H24" i="7"/>
  <c r="P24" i="7"/>
  <c r="G24" i="7"/>
  <c r="G23" i="7"/>
  <c r="P23" i="7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12" i="5"/>
  <c r="H12" i="5" s="1"/>
  <c r="H10" i="5"/>
  <c r="E22" i="5" l="1"/>
  <c r="I25" i="7"/>
  <c r="K25" i="7" s="1"/>
  <c r="I24" i="7"/>
  <c r="K24" i="7" s="1"/>
  <c r="I23" i="7"/>
  <c r="K23" i="7" s="1"/>
  <c r="F22" i="5"/>
  <c r="H22" i="5" s="1"/>
  <c r="H20" i="5"/>
  <c r="D21" i="7" l="1"/>
  <c r="F21" i="7" l="1"/>
  <c r="G21" i="7"/>
  <c r="N21" i="7" l="1"/>
  <c r="H21" i="7"/>
  <c r="P21" i="7" l="1"/>
  <c r="I21" i="7"/>
  <c r="K21" i="7" s="1"/>
  <c r="I20" i="1" l="1"/>
  <c r="B22" i="7"/>
  <c r="B33" i="7" l="1"/>
  <c r="I21" i="1"/>
  <c r="C22" i="7"/>
  <c r="C33" i="7" s="1"/>
  <c r="D22" i="7" l="1"/>
  <c r="I18" i="1" l="1"/>
  <c r="I7" i="1"/>
  <c r="I19" i="1"/>
  <c r="I5" i="1"/>
  <c r="K6" i="5"/>
  <c r="F22" i="7"/>
  <c r="D33" i="7"/>
  <c r="I17" i="1"/>
  <c r="M22" i="7"/>
  <c r="L22" i="7"/>
  <c r="I28" i="1"/>
  <c r="K11" i="5"/>
  <c r="I6" i="1" l="1"/>
  <c r="F33" i="7"/>
  <c r="I7" i="5"/>
  <c r="K7" i="5" s="1"/>
  <c r="K5" i="5"/>
  <c r="N22" i="7"/>
  <c r="G22" i="7"/>
  <c r="L33" i="7"/>
  <c r="D34" i="1"/>
  <c r="E33" i="1" s="1"/>
  <c r="I27" i="1"/>
  <c r="G29" i="1"/>
  <c r="I29" i="1" s="1"/>
  <c r="H22" i="7"/>
  <c r="H33" i="7" s="1"/>
  <c r="M33" i="7"/>
  <c r="K15" i="5"/>
  <c r="I17" i="5"/>
  <c r="K17" i="5" s="1"/>
  <c r="K21" i="5"/>
  <c r="G8" i="1"/>
  <c r="I12" i="5"/>
  <c r="K12" i="5" s="1"/>
  <c r="K10" i="5"/>
  <c r="G22" i="1"/>
  <c r="I22" i="1" s="1"/>
  <c r="I16" i="1"/>
  <c r="I10" i="1" l="1"/>
  <c r="E32" i="1"/>
  <c r="I22" i="7"/>
  <c r="G33" i="7"/>
  <c r="P22" i="7"/>
  <c r="N33" i="7"/>
  <c r="P33" i="7" s="1"/>
  <c r="I8" i="1"/>
  <c r="G11" i="1"/>
  <c r="I11" i="1" s="1"/>
  <c r="I22" i="5"/>
  <c r="K22" i="5" s="1"/>
  <c r="K20" i="5"/>
  <c r="K22" i="7" l="1"/>
  <c r="I33" i="7"/>
  <c r="K33" i="7" l="1"/>
</calcChain>
</file>

<file path=xl/sharedStrings.xml><?xml version="1.0" encoding="utf-8"?>
<sst xmlns="http://schemas.openxmlformats.org/spreadsheetml/2006/main" count="678" uniqueCount="241">
  <si>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</si>
  <si>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</si>
  <si>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</si>
  <si>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</si>
  <si>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</si>
  <si>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</si>
  <si>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</si>
  <si>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</si>
  <si>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</si>
  <si>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</si>
  <si>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</si>
  <si>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</si>
  <si>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</si>
  <si>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</si>
  <si>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</si>
  <si>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</si>
  <si>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</si>
  <si>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</si>
  <si>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</si>
  <si>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</si>
  <si>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</si>
  <si>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</si>
  <si>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</si>
  <si>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</si>
  <si>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</si>
  <si>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</si>
  <si>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</si>
  <si>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</si>
  <si>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</si>
  <si>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</si>
  <si>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</si>
  <si>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</si>
  <si>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</si>
  <si>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</si>
  <si>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</si>
  <si>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</si>
  <si>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</si>
  <si>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</si>
  <si>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</si>
  <si>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</si>
  <si>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</si>
  <si>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</si>
  <si>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</si>
  <si>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</si>
  <si>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</si>
  <si>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</si>
  <si>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</si>
  <si>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</si>
  <si>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</si>
  <si>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</si>
  <si>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</si>
  <si>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</si>
  <si>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</si>
  <si>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</si>
  <si>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</si>
  <si>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</si>
  <si>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</si>
  <si>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</si>
  <si>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</si>
  <si>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</si>
  <si>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</si>
  <si>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</si>
  <si>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</si>
  <si>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</si>
  <si>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</si>
  <si>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</si>
  <si>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</si>
  <si>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</si>
  <si>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</si>
  <si>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</si>
  <si>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</si>
  <si>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</si>
  <si>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</si>
  <si>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</si>
  <si>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</si>
  <si>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</si>
  <si>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</si>
  <si>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</si>
  <si>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</si>
  <si>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</si>
  <si>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</si>
  <si>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</si>
  <si>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</si>
  <si>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</si>
  <si>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</si>
  <si>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</si>
  <si>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</si>
  <si>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</si>
  <si>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</si>
  <si>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</si>
  <si>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</si>
  <si>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</si>
  <si>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</si>
  <si>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</si>
  <si>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</si>
  <si>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</si>
  <si>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</si>
  <si>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</si>
  <si>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</si>
  <si>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</si>
  <si>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</si>
  <si>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</si>
  <si>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</si>
  <si>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</si>
  <si>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</si>
  <si>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</si>
  <si>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</si>
  <si>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</si>
  <si>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</si>
  <si>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</si>
  <si>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</si>
  <si>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</si>
  <si>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</si>
  <si>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</si>
  <si>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</si>
  <si>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</si>
  <si>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</si>
  <si>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</si>
  <si>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</si>
  <si>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</si>
  <si>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</si>
  <si>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</si>
  <si>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</si>
  <si>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</si>
  <si>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</si>
  <si>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</si>
  <si>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</si>
  <si>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</si>
  <si>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</si>
  <si>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</si>
  <si>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</si>
  <si>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</si>
  <si>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</si>
  <si>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</si>
  <si>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</si>
  <si>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</si>
  <si>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</si>
  <si>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</si>
  <si>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</si>
  <si>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</si>
  <si>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</si>
  <si>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</si>
  <si>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</si>
  <si>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</si>
  <si>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</si>
  <si>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</si>
  <si>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</si>
  <si>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</si>
  <si>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</si>
  <si>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</si>
  <si>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</si>
  <si>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</si>
  <si>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</si>
  <si>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</si>
  <si>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</si>
  <si>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</si>
  <si>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</si>
  <si>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</si>
  <si>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</si>
  <si>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</si>
  <si>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</si>
  <si>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</si>
  <si>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</si>
  <si>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</si>
  <si>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</si>
  <si>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</si>
  <si>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</si>
  <si>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</si>
  <si>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</si>
  <si>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</si>
  <si>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</si>
  <si>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</si>
  <si>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</si>
  <si>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</si>
  <si>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</si>
  <si>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</si>
  <si>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</si>
  <si>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</si>
  <si>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</si>
  <si>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</si>
  <si>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</si>
  <si>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</si>
  <si>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</si>
  <si>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</si>
  <si>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</si>
  <si>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</si>
  <si>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</si>
  <si>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</si>
  <si>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</si>
  <si>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</si>
  <si>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</si>
  <si>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</si>
  <si>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</si>
  <si>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</si>
  <si>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</si>
  <si>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</si>
  <si>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</si>
  <si>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</si>
  <si>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</si>
  <si>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</si>
  <si>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</si>
  <si>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</si>
  <si>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</si>
  <si>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</si>
  <si>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</si>
  <si>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</si>
  <si>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</si>
  <si>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</si>
  <si>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</si>
  <si>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</si>
  <si>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</si>
  <si>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</si>
  <si>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</si>
  <si>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</si>
  <si>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</si>
  <si>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</si>
  <si>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</si>
  <si>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</si>
  <si>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</si>
  <si>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</si>
  <si>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</si>
  <si>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</si>
  <si>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Air Wisconsin - American</t>
  </si>
  <si>
    <t>May 2019</t>
  </si>
  <si>
    <t>Belly Cargo/Mail in Pounds</t>
  </si>
  <si>
    <t>Belly Cargo/Mail In Pounds</t>
  </si>
  <si>
    <t>Sun Country - Amazon</t>
  </si>
  <si>
    <t>DHL</t>
  </si>
  <si>
    <t>MSP Cargo</t>
  </si>
  <si>
    <t>Encore -DHL</t>
  </si>
  <si>
    <t>Kalitta - DHL</t>
  </si>
  <si>
    <t>Southern Air - DHL</t>
  </si>
  <si>
    <t>Swift Air - DHL</t>
  </si>
  <si>
    <t xml:space="preserve">Amazon </t>
  </si>
  <si>
    <t>Atlas Air</t>
  </si>
  <si>
    <t>ABX Air</t>
  </si>
  <si>
    <t>ATI</t>
  </si>
  <si>
    <t>Kalitta</t>
  </si>
  <si>
    <t>Southern Air</t>
  </si>
  <si>
    <t>Swift</t>
  </si>
  <si>
    <t>Mountain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</si>
</sst>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6" fillId="3" borderId="17" xfId="0" applyNumberFormat="1" applyFont="1" applyFill="1" applyBorder="1" applyAlignment="1">
      <alignment horizontal="center"/>
    </xf>
    <xf numFmtId="41" fontId="16" fillId="3" borderId="34" xfId="0" applyNumberFormat="1" applyFont="1" applyFill="1" applyBorder="1" applyAlignment="1">
      <alignment horizontal="center"/>
    </xf>
    <xf numFmtId="41" fontId="16" fillId="3" borderId="43" xfId="0" applyNumberFormat="1" applyFont="1" applyFill="1" applyBorder="1" applyAlignment="1">
      <alignment horizontal="center"/>
    </xf>
    <xf numFmtId="41" fontId="16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41" fontId="0" fillId="0" borderId="48" xfId="0" applyNumberFormat="1" applyBorder="1" applyAlignment="1">
      <alignment horizontal="center"/>
    </xf>
    <xf numFmtId="41" fontId="0" fillId="0" borderId="49" xfId="0" applyNumberFormat="1" applyBorder="1" applyAlignment="1">
      <alignment horizontal="center"/>
    </xf>
    <xf numFmtId="41" fontId="0" fillId="0" borderId="50" xfId="0" applyNumberFormat="1" applyBorder="1" applyAlignment="1">
      <alignment horizontal="center"/>
    </xf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8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7" fillId="11" borderId="0" xfId="0" applyFont="1" applyFill="1" applyAlignment="1">
      <alignment horizontal="center"/>
    </xf>
    <xf numFmtId="3" fontId="28" fillId="0" borderId="63" xfId="0" applyNumberFormat="1" applyFont="1" applyBorder="1"/>
    <xf numFmtId="10" fontId="28" fillId="0" borderId="63" xfId="0" applyNumberFormat="1" applyFont="1" applyBorder="1"/>
    <xf numFmtId="10" fontId="28" fillId="0" borderId="46" xfId="3" applyNumberFormat="1" applyFont="1" applyBorder="1"/>
    <xf numFmtId="10" fontId="28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0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0" fontId="4" fillId="0" borderId="35" xfId="0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7" fontId="0" fillId="0" borderId="49" xfId="0" applyNumberFormat="1" applyBorder="1" applyAlignment="1">
      <alignment horizontal="center"/>
    </xf>
    <xf numFmtId="37" fontId="0" fillId="0" borderId="4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3" fontId="3" fillId="0" borderId="0" xfId="0" applyNumberFormat="1" applyFont="1"/>
    <xf numFmtId="41" fontId="0" fillId="14" borderId="3" xfId="0" applyNumberForma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10" fontId="4" fillId="14" borderId="46" xfId="0" applyNumberFormat="1" applyFont="1" applyFill="1" applyBorder="1" applyAlignment="1">
      <alignment horizontal="center"/>
    </xf>
    <xf numFmtId="0" fontId="4" fillId="14" borderId="3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/>
    </xf>
    <xf numFmtId="10" fontId="4" fillId="14" borderId="46" xfId="0" applyNumberFormat="1" applyFont="1" applyFill="1" applyBorder="1" applyAlignment="1">
      <alignment horizontal="center" wrapText="1"/>
    </xf>
    <xf numFmtId="3" fontId="29" fillId="11" borderId="45" xfId="0" applyNumberFormat="1" applyFont="1" applyFill="1" applyBorder="1" applyAlignment="1">
      <alignment horizontal="center" wrapText="1"/>
    </xf>
    <xf numFmtId="166" fontId="1" fillId="0" borderId="0" xfId="0" applyNumberFormat="1" applyFont="1" applyAlignment="1">
      <alignment horizontal="center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0" xfId="0" applyNumberFormat="1" applyFont="1" applyFill="1" applyBorder="1" applyAlignment="1">
      <alignment horizontal="center"/>
    </xf>
    <xf numFmtId="3" fontId="4" fillId="15" borderId="0" xfId="0" applyNumberFormat="1" applyFont="1" applyFill="1"/>
    <xf numFmtId="10" fontId="4" fillId="15" borderId="11" xfId="0" applyNumberFormat="1" applyFont="1" applyFill="1" applyBorder="1"/>
    <xf numFmtId="10" fontId="4" fillId="15" borderId="0" xfId="0" applyNumberFormat="1" applyFont="1" applyFill="1"/>
    <xf numFmtId="1" fontId="0" fillId="0" borderId="9" xfId="0" applyNumberFormat="1" applyBorder="1"/>
    <xf numFmtId="3" fontId="4" fillId="15" borderId="9" xfId="0" applyNumberFormat="1" applyFont="1" applyFill="1" applyBorder="1"/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31" fillId="6" borderId="35" xfId="0" applyFont="1" applyFill="1" applyBorder="1" applyAlignment="1">
      <alignment horizontal="center"/>
    </xf>
    <xf numFmtId="0" fontId="31" fillId="6" borderId="45" xfId="0" applyFont="1" applyFill="1" applyBorder="1" applyAlignment="1">
      <alignment horizontal="center"/>
    </xf>
    <xf numFmtId="0" fontId="31" fillId="6" borderId="46" xfId="0" applyFont="1" applyFill="1" applyBorder="1" applyAlignment="1">
      <alignment horizontal="center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3" fontId="4" fillId="0" borderId="48" xfId="0" applyNumberFormat="1" applyFon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3" fontId="4" fillId="0" borderId="71" xfId="0" applyNumberFormat="1" applyFont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29" fillId="11" borderId="35" xfId="0" applyNumberFormat="1" applyFont="1" applyFill="1" applyBorder="1" applyAlignment="1">
      <alignment horizontal="center" wrapText="1"/>
    </xf>
    <xf numFmtId="3" fontId="29" fillId="11" borderId="45" xfId="0" applyNumberFormat="1" applyFont="1" applyFill="1" applyBorder="1" applyAlignment="1">
      <alignment horizontal="center" wrapText="1"/>
    </xf>
    <xf numFmtId="3" fontId="29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4" fillId="9" borderId="7" xfId="0" applyFont="1" applyFill="1" applyBorder="1" applyAlignment="1">
      <alignment horizontal="center"/>
    </xf>
    <xf numFmtId="0" fontId="24" fillId="9" borderId="8" xfId="0" applyFont="1" applyFill="1" applyBorder="1" applyAlignment="1">
      <alignment horizontal="center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/>
    </xf>
    <xf numFmtId="166" fontId="3" fillId="0" borderId="46" xfId="0" applyNumberFormat="1" applyFon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3" fontId="4" fillId="14" borderId="46" xfId="0" applyNumberFormat="1" applyFont="1" applyFill="1" applyBorder="1" applyAlignment="1">
      <alignment horizontal="center" wrapText="1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y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pri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2561130</v>
          </cell>
          <cell r="G5">
            <v>11852020</v>
          </cell>
        </row>
        <row r="6">
          <cell r="D6">
            <v>673867</v>
          </cell>
          <cell r="G6">
            <v>3027017</v>
          </cell>
        </row>
        <row r="7">
          <cell r="D7">
            <v>309</v>
          </cell>
          <cell r="G7">
            <v>2408</v>
          </cell>
        </row>
        <row r="10">
          <cell r="D10">
            <v>105506</v>
          </cell>
          <cell r="G10">
            <v>494653</v>
          </cell>
        </row>
        <row r="16">
          <cell r="D16">
            <v>18996</v>
          </cell>
          <cell r="G16">
            <v>90094</v>
          </cell>
        </row>
        <row r="17">
          <cell r="D17">
            <v>12332</v>
          </cell>
          <cell r="G17">
            <v>57940</v>
          </cell>
        </row>
        <row r="18">
          <cell r="D18">
            <v>5</v>
          </cell>
          <cell r="G18">
            <v>34</v>
          </cell>
        </row>
        <row r="19">
          <cell r="D19">
            <v>1278</v>
          </cell>
          <cell r="G19">
            <v>5845</v>
          </cell>
        </row>
        <row r="20">
          <cell r="D20">
            <v>1571</v>
          </cell>
          <cell r="G20">
            <v>8162</v>
          </cell>
        </row>
        <row r="21">
          <cell r="D21">
            <v>97</v>
          </cell>
          <cell r="G21">
            <v>451</v>
          </cell>
        </row>
        <row r="27">
          <cell r="D27">
            <v>15878.49260597908</v>
          </cell>
          <cell r="G27">
            <v>81814.5932153881</v>
          </cell>
        </row>
        <row r="28">
          <cell r="D28">
            <v>2158.6923552517401</v>
          </cell>
          <cell r="G28">
            <v>10636.84494915273</v>
          </cell>
        </row>
        <row r="32">
          <cell r="B32">
            <v>977623</v>
          </cell>
          <cell r="D32">
            <v>4841285</v>
          </cell>
        </row>
        <row r="33">
          <cell r="B33">
            <v>632167</v>
          </cell>
          <cell r="D33">
            <v>2579067</v>
          </cell>
        </row>
      </sheetData>
      <sheetData sheetId="1"/>
      <sheetData sheetId="2"/>
      <sheetData sheetId="3"/>
      <sheetData sheetId="4"/>
      <sheetData sheetId="5">
        <row r="25">
          <cell r="D25">
            <v>253273</v>
          </cell>
          <cell r="I25">
            <v>3087539</v>
          </cell>
          <cell r="N25">
            <v>3340812</v>
          </cell>
        </row>
      </sheetData>
      <sheetData sheetId="6"/>
      <sheetData sheetId="7">
        <row r="5">
          <cell r="F5">
            <v>7615.31739428537</v>
          </cell>
          <cell r="I5">
            <v>43659.375553029393</v>
          </cell>
        </row>
        <row r="6">
          <cell r="F6">
            <v>898.78012697627003</v>
          </cell>
          <cell r="I6">
            <v>4255.7977528743604</v>
          </cell>
        </row>
        <row r="10">
          <cell r="F10">
            <v>8263.1752116937096</v>
          </cell>
          <cell r="I10">
            <v>38155.217662358715</v>
          </cell>
        </row>
        <row r="11">
          <cell r="F11">
            <v>1259.9122282754699</v>
          </cell>
          <cell r="I11">
            <v>6381.0471962783695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15878.49260597908</v>
          </cell>
        </row>
        <row r="21">
          <cell r="F21">
            <v>2158.6923552517401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249952</v>
          </cell>
          <cell r="I24">
            <v>2886078</v>
          </cell>
          <cell r="N24">
            <v>3136030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5895327</v>
          </cell>
        </row>
        <row r="6">
          <cell r="G6">
            <v>1543451</v>
          </cell>
        </row>
        <row r="7">
          <cell r="G7">
            <v>893</v>
          </cell>
        </row>
        <row r="10">
          <cell r="G10">
            <v>275979</v>
          </cell>
        </row>
        <row r="16">
          <cell r="G16">
            <v>53944</v>
          </cell>
        </row>
        <row r="17">
          <cell r="G17">
            <v>38880</v>
          </cell>
        </row>
        <row r="18">
          <cell r="G18">
            <v>8</v>
          </cell>
        </row>
        <row r="19">
          <cell r="G19">
            <v>4614</v>
          </cell>
        </row>
        <row r="20">
          <cell r="G20">
            <v>3557</v>
          </cell>
        </row>
        <row r="21">
          <cell r="G21">
            <v>245</v>
          </cell>
        </row>
        <row r="27">
          <cell r="G27">
            <v>62140.249602045995</v>
          </cell>
        </row>
        <row r="28">
          <cell r="G28">
            <v>6059.15446372313</v>
          </cell>
        </row>
        <row r="32">
          <cell r="D32">
            <v>2434025</v>
          </cell>
        </row>
        <row r="33">
          <cell r="D33">
            <v>1241385</v>
          </cell>
        </row>
      </sheetData>
      <sheetData sheetId="1"/>
      <sheetData sheetId="2"/>
      <sheetData sheetId="3"/>
      <sheetData sheetId="4"/>
      <sheetData sheetId="5">
        <row r="24">
          <cell r="B24">
            <v>347</v>
          </cell>
          <cell r="C24">
            <v>541</v>
          </cell>
          <cell r="L24">
            <v>80991</v>
          </cell>
          <cell r="M24">
            <v>70492</v>
          </cell>
        </row>
      </sheetData>
      <sheetData sheetId="6"/>
      <sheetData sheetId="7">
        <row r="5">
          <cell r="I5">
            <v>34022.34570971621</v>
          </cell>
        </row>
        <row r="6">
          <cell r="I6">
            <v>2384.0792287581498</v>
          </cell>
        </row>
        <row r="10">
          <cell r="I10">
            <v>28117.903892329789</v>
          </cell>
        </row>
        <row r="11">
          <cell r="I11">
            <v>3675.0752349649806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T4">
            <v>94</v>
          </cell>
        </row>
        <row r="5">
          <cell r="GT5">
            <v>94</v>
          </cell>
        </row>
        <row r="19"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</row>
        <row r="22">
          <cell r="GT22">
            <v>82</v>
          </cell>
        </row>
        <row r="23">
          <cell r="GT23">
            <v>98</v>
          </cell>
        </row>
        <row r="41"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3"/>
      <sheetData sheetId="4">
        <row r="19"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323534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5">
        <row r="15">
          <cell r="GP15">
            <v>19</v>
          </cell>
          <cell r="GQ15">
            <v>16</v>
          </cell>
          <cell r="GR15">
            <v>9</v>
          </cell>
          <cell r="GS15">
            <v>0</v>
          </cell>
        </row>
        <row r="16">
          <cell r="GP16">
            <v>19</v>
          </cell>
          <cell r="GQ16">
            <v>16</v>
          </cell>
          <cell r="GR16">
            <v>9</v>
          </cell>
          <cell r="GS16">
            <v>0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</row>
        <row r="32">
          <cell r="GP32">
            <v>2632</v>
          </cell>
          <cell r="GQ32">
            <v>1343</v>
          </cell>
          <cell r="GR32">
            <v>1053</v>
          </cell>
        </row>
        <row r="33">
          <cell r="GP33">
            <v>2360</v>
          </cell>
          <cell r="GQ33">
            <v>1355</v>
          </cell>
          <cell r="GR33">
            <v>879</v>
          </cell>
        </row>
        <row r="37">
          <cell r="GP37">
            <v>20</v>
          </cell>
          <cell r="GQ37">
            <v>10</v>
          </cell>
          <cell r="GR37">
            <v>5</v>
          </cell>
        </row>
        <row r="38">
          <cell r="GP38">
            <v>22</v>
          </cell>
          <cell r="GQ38">
            <v>8</v>
          </cell>
          <cell r="GR38">
            <v>7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</row>
      </sheetData>
      <sheetData sheetId="6">
        <row r="4">
          <cell r="GT4">
            <v>61</v>
          </cell>
        </row>
        <row r="5">
          <cell r="GT5">
            <v>61</v>
          </cell>
        </row>
        <row r="19"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</row>
        <row r="22">
          <cell r="GT22">
            <v>1806</v>
          </cell>
        </row>
        <row r="23">
          <cell r="GT23">
            <v>1834</v>
          </cell>
        </row>
        <row r="27">
          <cell r="GT27">
            <v>157</v>
          </cell>
        </row>
        <row r="28">
          <cell r="GT28">
            <v>117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</row>
        <row r="47">
          <cell r="GT47">
            <v>32380</v>
          </cell>
        </row>
        <row r="48">
          <cell r="GT48">
            <v>2138</v>
          </cell>
        </row>
        <row r="52">
          <cell r="GT52">
            <v>4620</v>
          </cell>
        </row>
        <row r="64">
          <cell r="GB64">
            <v>22116</v>
          </cell>
          <cell r="GC64">
            <v>16924</v>
          </cell>
          <cell r="GD64">
            <v>26258</v>
          </cell>
          <cell r="GE64">
            <v>58046</v>
          </cell>
          <cell r="GF64">
            <v>51736</v>
          </cell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</row>
      </sheetData>
      <sheetData sheetId="7"/>
      <sheetData sheetId="8">
        <row r="4">
          <cell r="GT4">
            <v>152</v>
          </cell>
        </row>
        <row r="5">
          <cell r="GT5">
            <v>151</v>
          </cell>
        </row>
        <row r="19"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</row>
        <row r="22">
          <cell r="GT22">
            <v>12480</v>
          </cell>
        </row>
        <row r="23">
          <cell r="GT23">
            <v>11877</v>
          </cell>
        </row>
        <row r="27">
          <cell r="GT27">
            <v>850</v>
          </cell>
        </row>
        <row r="28">
          <cell r="GT28">
            <v>900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</row>
        <row r="47">
          <cell r="GT47">
            <v>9368</v>
          </cell>
        </row>
        <row r="48">
          <cell r="GT48">
            <v>104017</v>
          </cell>
        </row>
        <row r="52">
          <cell r="GT52">
            <v>3094</v>
          </cell>
        </row>
        <row r="53">
          <cell r="GT53">
            <v>143534</v>
          </cell>
        </row>
        <row r="64">
          <cell r="GB64">
            <v>141626</v>
          </cell>
          <cell r="GC64">
            <v>136211</v>
          </cell>
          <cell r="GD64">
            <v>180344</v>
          </cell>
          <cell r="GE64">
            <v>180297</v>
          </cell>
          <cell r="GF64">
            <v>148617</v>
          </cell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</row>
      </sheetData>
      <sheetData sheetId="9"/>
      <sheetData sheetId="10">
        <row r="4">
          <cell r="GT4">
            <v>187</v>
          </cell>
        </row>
        <row r="5">
          <cell r="GT5">
            <v>186</v>
          </cell>
        </row>
        <row r="8">
          <cell r="GT8">
            <v>41</v>
          </cell>
        </row>
        <row r="9">
          <cell r="GT9">
            <v>40</v>
          </cell>
        </row>
        <row r="15">
          <cell r="GP15">
            <v>166</v>
          </cell>
          <cell r="GQ15">
            <v>224</v>
          </cell>
          <cell r="GR15">
            <v>227</v>
          </cell>
          <cell r="GS15">
            <v>1</v>
          </cell>
        </row>
        <row r="16">
          <cell r="GP16">
            <v>170</v>
          </cell>
          <cell r="GQ16">
            <v>226</v>
          </cell>
          <cell r="GR16">
            <v>227</v>
          </cell>
          <cell r="GS16">
            <v>1</v>
          </cell>
        </row>
        <row r="19"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</row>
        <row r="22">
          <cell r="GT22">
            <v>17442</v>
          </cell>
        </row>
        <row r="23">
          <cell r="GT23">
            <v>15755</v>
          </cell>
        </row>
        <row r="27">
          <cell r="GT27">
            <v>462</v>
          </cell>
        </row>
        <row r="28">
          <cell r="GT28">
            <v>432</v>
          </cell>
        </row>
        <row r="32">
          <cell r="GP32">
            <v>22253</v>
          </cell>
          <cell r="GQ32">
            <v>31287</v>
          </cell>
          <cell r="GR32">
            <v>32497</v>
          </cell>
          <cell r="GS32">
            <v>0</v>
          </cell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</row>
        <row r="37">
          <cell r="GP37">
            <v>350</v>
          </cell>
          <cell r="GQ37">
            <v>418</v>
          </cell>
          <cell r="GR37">
            <v>238</v>
          </cell>
          <cell r="GS37">
            <v>5</v>
          </cell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</row>
        <row r="41"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</row>
        <row r="47">
          <cell r="GT47">
            <v>18479</v>
          </cell>
        </row>
        <row r="48">
          <cell r="GT48">
            <v>25756</v>
          </cell>
        </row>
        <row r="52">
          <cell r="GT52">
            <v>130</v>
          </cell>
        </row>
        <row r="53">
          <cell r="GT53">
            <v>30981</v>
          </cell>
        </row>
        <row r="64">
          <cell r="GB64">
            <v>558618</v>
          </cell>
          <cell r="GC64">
            <v>619656</v>
          </cell>
          <cell r="GD64">
            <v>566894</v>
          </cell>
          <cell r="GE64">
            <v>961871</v>
          </cell>
          <cell r="GF64">
            <v>796997</v>
          </cell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</row>
        <row r="70">
          <cell r="GT70">
            <v>15755</v>
          </cell>
        </row>
        <row r="71">
          <cell r="GT71">
            <v>0</v>
          </cell>
        </row>
      </sheetData>
      <sheetData sheetId="11">
        <row r="4">
          <cell r="GT4">
            <v>75</v>
          </cell>
        </row>
        <row r="5">
          <cell r="GT5">
            <v>77</v>
          </cell>
        </row>
        <row r="19"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</row>
        <row r="22">
          <cell r="GT22">
            <v>77</v>
          </cell>
        </row>
        <row r="41"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12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1166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13">
        <row r="4">
          <cell r="GT4">
            <v>1004</v>
          </cell>
        </row>
        <row r="5">
          <cell r="GT5">
            <v>1013</v>
          </cell>
        </row>
        <row r="9">
          <cell r="GT9">
            <v>2</v>
          </cell>
        </row>
        <row r="15">
          <cell r="GP15">
            <v>606</v>
          </cell>
          <cell r="GQ15">
            <v>594</v>
          </cell>
          <cell r="GR15">
            <v>426</v>
          </cell>
          <cell r="GS15">
            <v>2</v>
          </cell>
          <cell r="GT15">
            <v>2</v>
          </cell>
        </row>
        <row r="16">
          <cell r="GP16">
            <v>602</v>
          </cell>
          <cell r="GQ16">
            <v>589</v>
          </cell>
          <cell r="GR16">
            <v>427</v>
          </cell>
          <cell r="GS16">
            <v>1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</row>
        <row r="22">
          <cell r="GT22">
            <v>54396</v>
          </cell>
        </row>
        <row r="23">
          <cell r="GT23">
            <v>50950</v>
          </cell>
        </row>
        <row r="27">
          <cell r="GT27">
            <v>8145</v>
          </cell>
        </row>
        <row r="28">
          <cell r="GT28">
            <v>8260</v>
          </cell>
        </row>
        <row r="32">
          <cell r="GP32">
            <v>95014</v>
          </cell>
          <cell r="GQ32">
            <v>90193</v>
          </cell>
          <cell r="GR32">
            <v>54807</v>
          </cell>
          <cell r="GS32">
            <v>15</v>
          </cell>
          <cell r="GT32">
            <v>476</v>
          </cell>
        </row>
        <row r="33">
          <cell r="GP33">
            <v>89201</v>
          </cell>
          <cell r="GQ33">
            <v>89765</v>
          </cell>
          <cell r="GR33">
            <v>42383</v>
          </cell>
          <cell r="GS33">
            <v>5</v>
          </cell>
        </row>
        <row r="37">
          <cell r="GP37">
            <v>2723</v>
          </cell>
          <cell r="GQ37">
            <v>2645</v>
          </cell>
          <cell r="GR37">
            <v>1160</v>
          </cell>
          <cell r="GT37">
            <v>6</v>
          </cell>
        </row>
        <row r="38">
          <cell r="GP38">
            <v>2526</v>
          </cell>
          <cell r="GQ38">
            <v>2342</v>
          </cell>
          <cell r="GR38">
            <v>855</v>
          </cell>
          <cell r="GS38">
            <v>1</v>
          </cell>
        </row>
        <row r="41"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</row>
        <row r="47">
          <cell r="GT47">
            <v>328289</v>
          </cell>
        </row>
        <row r="48">
          <cell r="GT48">
            <v>564545</v>
          </cell>
        </row>
        <row r="52">
          <cell r="GT52">
            <v>212907</v>
          </cell>
        </row>
        <row r="53">
          <cell r="GT53">
            <v>563170</v>
          </cell>
        </row>
        <row r="64">
          <cell r="GB64">
            <v>9219011</v>
          </cell>
          <cell r="GC64">
            <v>9235204</v>
          </cell>
          <cell r="GD64">
            <v>10006346</v>
          </cell>
          <cell r="GE64">
            <v>9885530</v>
          </cell>
          <cell r="GF64">
            <v>9194643</v>
          </cell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</row>
        <row r="70">
          <cell r="GT70">
            <v>29103</v>
          </cell>
        </row>
        <row r="71">
          <cell r="GT71">
            <v>21847</v>
          </cell>
        </row>
      </sheetData>
      <sheetData sheetId="14"/>
      <sheetData sheetId="15">
        <row r="4">
          <cell r="GT4">
            <v>17</v>
          </cell>
        </row>
        <row r="5">
          <cell r="GT5">
            <v>17</v>
          </cell>
        </row>
        <row r="19"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</row>
        <row r="22">
          <cell r="GT22">
            <v>1814</v>
          </cell>
        </row>
        <row r="23">
          <cell r="GT23">
            <v>1616</v>
          </cell>
        </row>
        <row r="27">
          <cell r="GT27">
            <v>41</v>
          </cell>
        </row>
        <row r="28">
          <cell r="GT28">
            <v>27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16"/>
      <sheetData sheetId="17">
        <row r="15">
          <cell r="GP15">
            <v>4</v>
          </cell>
          <cell r="GR15">
            <v>5</v>
          </cell>
        </row>
        <row r="16">
          <cell r="GP16">
            <v>4</v>
          </cell>
          <cell r="GR16">
            <v>5</v>
          </cell>
        </row>
        <row r="19"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</row>
        <row r="32">
          <cell r="GP32">
            <v>705</v>
          </cell>
          <cell r="GR32">
            <v>306</v>
          </cell>
        </row>
        <row r="33">
          <cell r="GP33">
            <v>387</v>
          </cell>
          <cell r="GR33">
            <v>660</v>
          </cell>
        </row>
        <row r="37">
          <cell r="GP37">
            <v>11</v>
          </cell>
          <cell r="GR37">
            <v>11</v>
          </cell>
        </row>
        <row r="38">
          <cell r="GP38">
            <v>9</v>
          </cell>
          <cell r="GR38">
            <v>11</v>
          </cell>
        </row>
        <row r="41"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8977</v>
          </cell>
          <cell r="GE64">
            <v>47433</v>
          </cell>
          <cell r="GF64">
            <v>41695</v>
          </cell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</row>
      </sheetData>
      <sheetData sheetId="18">
        <row r="4">
          <cell r="GT4">
            <v>5</v>
          </cell>
        </row>
        <row r="5">
          <cell r="GT5">
            <v>5</v>
          </cell>
        </row>
        <row r="19"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</row>
        <row r="22">
          <cell r="GT22">
            <v>33</v>
          </cell>
        </row>
        <row r="23">
          <cell r="GT23">
            <v>25</v>
          </cell>
        </row>
        <row r="27">
          <cell r="GT27">
            <v>6</v>
          </cell>
        </row>
        <row r="28">
          <cell r="GT28">
            <v>2</v>
          </cell>
        </row>
        <row r="41"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19">
        <row r="4">
          <cell r="GT4">
            <v>31</v>
          </cell>
        </row>
        <row r="5">
          <cell r="GT5">
            <v>31</v>
          </cell>
        </row>
        <row r="19"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</row>
        <row r="22">
          <cell r="GT22">
            <v>1780</v>
          </cell>
        </row>
        <row r="23">
          <cell r="GT23">
            <v>1447</v>
          </cell>
        </row>
        <row r="27">
          <cell r="GT27">
            <v>273</v>
          </cell>
        </row>
        <row r="28">
          <cell r="GT28">
            <v>337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</row>
        <row r="47">
          <cell r="GT47">
            <v>2644</v>
          </cell>
        </row>
        <row r="48">
          <cell r="GT48">
            <v>44</v>
          </cell>
        </row>
        <row r="52">
          <cell r="GT52">
            <v>62</v>
          </cell>
        </row>
        <row r="64">
          <cell r="GB64">
            <v>144068</v>
          </cell>
          <cell r="GC64">
            <v>149765</v>
          </cell>
          <cell r="GD64">
            <v>167698</v>
          </cell>
          <cell r="GE64">
            <v>120514</v>
          </cell>
          <cell r="GF64">
            <v>176613</v>
          </cell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</row>
      </sheetData>
      <sheetData sheetId="20">
        <row r="15">
          <cell r="GP15">
            <v>16</v>
          </cell>
          <cell r="GQ15">
            <v>16</v>
          </cell>
          <cell r="GR15">
            <v>8</v>
          </cell>
        </row>
        <row r="16">
          <cell r="GP16">
            <v>16</v>
          </cell>
          <cell r="GQ16">
            <v>16</v>
          </cell>
          <cell r="GR16">
            <v>8</v>
          </cell>
        </row>
        <row r="19"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</row>
        <row r="32">
          <cell r="GP32">
            <v>4308</v>
          </cell>
          <cell r="GQ32">
            <v>3420</v>
          </cell>
          <cell r="GR32">
            <v>1562</v>
          </cell>
        </row>
        <row r="33">
          <cell r="GP33">
            <v>3030</v>
          </cell>
          <cell r="GQ33">
            <v>2577</v>
          </cell>
          <cell r="GR33">
            <v>1071</v>
          </cell>
        </row>
        <row r="37">
          <cell r="GP37">
            <v>12</v>
          </cell>
          <cell r="GQ37">
            <v>10</v>
          </cell>
          <cell r="GR37">
            <v>13</v>
          </cell>
        </row>
        <row r="38">
          <cell r="GP38">
            <v>5</v>
          </cell>
          <cell r="GQ38">
            <v>20</v>
          </cell>
          <cell r="GR38">
            <v>1</v>
          </cell>
        </row>
        <row r="41"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</row>
        <row r="64">
          <cell r="GB64">
            <v>720521</v>
          </cell>
          <cell r="GC64">
            <v>752745</v>
          </cell>
          <cell r="GD64">
            <v>777743</v>
          </cell>
          <cell r="GE64">
            <v>381171</v>
          </cell>
          <cell r="GF64">
            <v>523824</v>
          </cell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</row>
      </sheetData>
      <sheetData sheetId="21"/>
      <sheetData sheetId="22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</row>
      </sheetData>
      <sheetData sheetId="23">
        <row r="4">
          <cell r="GT4">
            <v>181</v>
          </cell>
        </row>
        <row r="5">
          <cell r="GT5">
            <v>189</v>
          </cell>
        </row>
        <row r="19"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</row>
        <row r="22">
          <cell r="GT22">
            <v>8723</v>
          </cell>
        </row>
        <row r="23">
          <cell r="GT23">
            <v>7809</v>
          </cell>
        </row>
        <row r="27">
          <cell r="GT27">
            <v>871</v>
          </cell>
        </row>
        <row r="28">
          <cell r="GT28">
            <v>873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</row>
        <row r="47">
          <cell r="GT47">
            <v>5357</v>
          </cell>
        </row>
        <row r="52">
          <cell r="GT52">
            <v>2690</v>
          </cell>
        </row>
        <row r="64">
          <cell r="GB64">
            <v>337406</v>
          </cell>
          <cell r="GC64">
            <v>315817</v>
          </cell>
          <cell r="GD64">
            <v>319941</v>
          </cell>
          <cell r="GE64">
            <v>319932</v>
          </cell>
          <cell r="GF64">
            <v>347128</v>
          </cell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</row>
        <row r="70">
          <cell r="GT70">
            <v>7799</v>
          </cell>
        </row>
        <row r="71">
          <cell r="GT71">
            <v>10</v>
          </cell>
        </row>
      </sheetData>
      <sheetData sheetId="24">
        <row r="4">
          <cell r="GT4">
            <v>3</v>
          </cell>
        </row>
        <row r="5">
          <cell r="GT5">
            <v>3</v>
          </cell>
        </row>
        <row r="19"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</row>
        <row r="22">
          <cell r="GT22">
            <v>68</v>
          </cell>
        </row>
        <row r="23">
          <cell r="GT23">
            <v>87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25"/>
      <sheetData sheetId="26"/>
      <sheetData sheetId="27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28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29">
        <row r="4">
          <cell r="GT4">
            <v>38</v>
          </cell>
        </row>
        <row r="5">
          <cell r="GT5">
            <v>37</v>
          </cell>
        </row>
        <row r="19"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</row>
        <row r="22">
          <cell r="GT22">
            <v>1558</v>
          </cell>
        </row>
        <row r="23">
          <cell r="GT23">
            <v>1761</v>
          </cell>
        </row>
        <row r="27">
          <cell r="GT27">
            <v>202</v>
          </cell>
        </row>
        <row r="28">
          <cell r="GT28">
            <v>184</v>
          </cell>
        </row>
        <row r="41"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</row>
        <row r="47">
          <cell r="GT47">
            <v>2621</v>
          </cell>
        </row>
        <row r="52">
          <cell r="GT52">
            <v>898</v>
          </cell>
        </row>
        <row r="64">
          <cell r="GB64">
            <v>0</v>
          </cell>
          <cell r="GC64">
            <v>0</v>
          </cell>
          <cell r="GD64">
            <v>129</v>
          </cell>
          <cell r="GE64">
            <v>0</v>
          </cell>
          <cell r="GF64">
            <v>144</v>
          </cell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</row>
      </sheetData>
      <sheetData sheetId="30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31"/>
      <sheetData sheetId="32"/>
      <sheetData sheetId="33"/>
      <sheetData sheetId="34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35"/>
      <sheetData sheetId="36">
        <row r="19"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</row>
        <row r="41"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37"/>
      <sheetData sheetId="38">
        <row r="19"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23</v>
          </cell>
          <cell r="GE64">
            <v>69</v>
          </cell>
          <cell r="GF64">
            <v>79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39">
        <row r="19"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40">
        <row r="19"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</row>
        <row r="41"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</row>
        <row r="64">
          <cell r="GB64">
            <v>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</row>
      </sheetData>
      <sheetData sheetId="41">
        <row r="4">
          <cell r="GT4">
            <v>3</v>
          </cell>
        </row>
        <row r="5">
          <cell r="GT5">
            <v>3</v>
          </cell>
        </row>
        <row r="19"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</row>
        <row r="22">
          <cell r="GT22">
            <v>87</v>
          </cell>
        </row>
        <row r="23">
          <cell r="GT23">
            <v>42</v>
          </cell>
        </row>
        <row r="27">
          <cell r="GT27">
            <v>12</v>
          </cell>
        </row>
        <row r="28">
          <cell r="GT28">
            <v>12</v>
          </cell>
        </row>
        <row r="41"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42"/>
      <sheetData sheetId="43"/>
      <sheetData sheetId="44">
        <row r="4">
          <cell r="GT4">
            <v>751</v>
          </cell>
        </row>
        <row r="5">
          <cell r="GT5">
            <v>747</v>
          </cell>
        </row>
        <row r="15">
          <cell r="GP15">
            <v>88</v>
          </cell>
          <cell r="GQ15">
            <v>74</v>
          </cell>
          <cell r="GR15">
            <v>67</v>
          </cell>
          <cell r="GS15">
            <v>1</v>
          </cell>
        </row>
        <row r="16">
          <cell r="GP16">
            <v>87</v>
          </cell>
          <cell r="GQ16">
            <v>71</v>
          </cell>
          <cell r="GR16">
            <v>65</v>
          </cell>
        </row>
        <row r="19"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</row>
        <row r="22">
          <cell r="GT22">
            <v>15783</v>
          </cell>
        </row>
        <row r="23">
          <cell r="GT23">
            <v>15411</v>
          </cell>
        </row>
        <row r="27">
          <cell r="GT27">
            <v>1532</v>
          </cell>
        </row>
        <row r="28">
          <cell r="GT28">
            <v>1417</v>
          </cell>
        </row>
        <row r="32">
          <cell r="GP32">
            <v>5276</v>
          </cell>
          <cell r="GQ32">
            <v>4225</v>
          </cell>
          <cell r="GR32">
            <v>1929</v>
          </cell>
        </row>
        <row r="33">
          <cell r="GP33">
            <v>5516</v>
          </cell>
          <cell r="GQ33">
            <v>4340</v>
          </cell>
          <cell r="GR33">
            <v>2321</v>
          </cell>
        </row>
        <row r="37">
          <cell r="GP37">
            <v>101</v>
          </cell>
          <cell r="GQ37">
            <v>105</v>
          </cell>
          <cell r="GR37">
            <v>58</v>
          </cell>
          <cell r="GS37">
            <v>1</v>
          </cell>
        </row>
        <row r="38">
          <cell r="GP38">
            <v>48</v>
          </cell>
          <cell r="GQ38">
            <v>57</v>
          </cell>
          <cell r="GR38">
            <v>34</v>
          </cell>
        </row>
        <row r="41"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  <row r="70">
          <cell r="GT70">
            <v>4215</v>
          </cell>
        </row>
        <row r="71">
          <cell r="GT71">
            <v>11196</v>
          </cell>
        </row>
      </sheetData>
      <sheetData sheetId="45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46">
        <row r="4">
          <cell r="GT4">
            <v>21</v>
          </cell>
        </row>
        <row r="5">
          <cell r="GT5">
            <v>21</v>
          </cell>
        </row>
        <row r="19"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</row>
        <row r="22">
          <cell r="GT22">
            <v>791</v>
          </cell>
        </row>
        <row r="23">
          <cell r="GT23">
            <v>836</v>
          </cell>
        </row>
        <row r="27">
          <cell r="GT27">
            <v>39</v>
          </cell>
        </row>
        <row r="28">
          <cell r="GT28">
            <v>53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</row>
        <row r="47">
          <cell r="GT47">
            <v>471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658</v>
          </cell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</row>
      </sheetData>
      <sheetData sheetId="47">
        <row r="4">
          <cell r="GT4">
            <v>4</v>
          </cell>
        </row>
        <row r="5">
          <cell r="GT5">
            <v>4</v>
          </cell>
        </row>
        <row r="19"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</row>
        <row r="22">
          <cell r="GT22">
            <v>60</v>
          </cell>
        </row>
        <row r="23">
          <cell r="GT23">
            <v>81</v>
          </cell>
        </row>
        <row r="27">
          <cell r="GT27">
            <v>5</v>
          </cell>
        </row>
        <row r="28">
          <cell r="GT28">
            <v>30</v>
          </cell>
        </row>
        <row r="41"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48">
        <row r="15">
          <cell r="GP15">
            <v>69</v>
          </cell>
          <cell r="GQ15">
            <v>69</v>
          </cell>
          <cell r="GR15">
            <v>57</v>
          </cell>
        </row>
        <row r="16">
          <cell r="GP16">
            <v>69</v>
          </cell>
          <cell r="GQ16">
            <v>69</v>
          </cell>
          <cell r="GR16">
            <v>57</v>
          </cell>
        </row>
        <row r="19"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</row>
        <row r="32">
          <cell r="GP32">
            <v>3613</v>
          </cell>
          <cell r="GQ32">
            <v>3119</v>
          </cell>
          <cell r="GR32">
            <v>1757</v>
          </cell>
        </row>
        <row r="33">
          <cell r="GP33">
            <v>3610</v>
          </cell>
          <cell r="GQ33">
            <v>3151</v>
          </cell>
          <cell r="GR33">
            <v>1691</v>
          </cell>
        </row>
        <row r="37">
          <cell r="GP37">
            <v>48</v>
          </cell>
          <cell r="GQ37">
            <v>47</v>
          </cell>
          <cell r="GR37">
            <v>21</v>
          </cell>
        </row>
        <row r="38">
          <cell r="GP38">
            <v>52</v>
          </cell>
          <cell r="GQ38">
            <v>44</v>
          </cell>
          <cell r="GR38">
            <v>20</v>
          </cell>
        </row>
        <row r="41"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</row>
        <row r="64">
          <cell r="GB64">
            <v>1808</v>
          </cell>
          <cell r="GC64">
            <v>2473</v>
          </cell>
          <cell r="GD64">
            <v>4209</v>
          </cell>
          <cell r="GE64">
            <v>4476</v>
          </cell>
          <cell r="GF64">
            <v>5940</v>
          </cell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</row>
      </sheetData>
      <sheetData sheetId="49">
        <row r="4">
          <cell r="GT4">
            <v>730</v>
          </cell>
        </row>
        <row r="5">
          <cell r="GT5">
            <v>726</v>
          </cell>
        </row>
        <row r="15">
          <cell r="GP15">
            <v>259</v>
          </cell>
          <cell r="GQ15">
            <v>237</v>
          </cell>
          <cell r="GR15">
            <v>222</v>
          </cell>
          <cell r="GS15">
            <v>52</v>
          </cell>
          <cell r="GT15">
            <v>47</v>
          </cell>
        </row>
        <row r="16">
          <cell r="GP16">
            <v>259</v>
          </cell>
          <cell r="GQ16">
            <v>237</v>
          </cell>
          <cell r="GR16">
            <v>221</v>
          </cell>
          <cell r="GS16">
            <v>52</v>
          </cell>
          <cell r="GT16">
            <v>47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</row>
        <row r="22">
          <cell r="GT22">
            <v>12086</v>
          </cell>
        </row>
        <row r="23">
          <cell r="GT23">
            <v>12967</v>
          </cell>
        </row>
        <row r="27">
          <cell r="GT27">
            <v>1437</v>
          </cell>
        </row>
        <row r="28">
          <cell r="GT28">
            <v>1580</v>
          </cell>
        </row>
        <row r="32">
          <cell r="GP32">
            <v>16709</v>
          </cell>
          <cell r="GQ32">
            <v>15141</v>
          </cell>
          <cell r="GR32">
            <v>7322</v>
          </cell>
          <cell r="GS32">
            <v>317</v>
          </cell>
          <cell r="GT32">
            <v>476</v>
          </cell>
        </row>
        <row r="33">
          <cell r="GP33">
            <v>15643</v>
          </cell>
          <cell r="GQ33">
            <v>15465</v>
          </cell>
          <cell r="GR33">
            <v>9318</v>
          </cell>
          <cell r="GS33">
            <v>527</v>
          </cell>
          <cell r="GT33">
            <v>483</v>
          </cell>
        </row>
        <row r="37">
          <cell r="GP37">
            <v>183</v>
          </cell>
          <cell r="GQ37">
            <v>151</v>
          </cell>
          <cell r="GR37">
            <v>145</v>
          </cell>
          <cell r="GS37">
            <v>9</v>
          </cell>
          <cell r="GT37">
            <v>7</v>
          </cell>
        </row>
        <row r="38">
          <cell r="GP38">
            <v>169</v>
          </cell>
          <cell r="GQ38">
            <v>173</v>
          </cell>
          <cell r="GR38">
            <v>137</v>
          </cell>
          <cell r="GS38">
            <v>6</v>
          </cell>
          <cell r="GT38">
            <v>4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  <row r="70">
          <cell r="GT70">
            <v>3939</v>
          </cell>
        </row>
        <row r="71">
          <cell r="GT71">
            <v>9028</v>
          </cell>
        </row>
        <row r="73">
          <cell r="GT73">
            <v>147</v>
          </cell>
        </row>
        <row r="74">
          <cell r="GT74">
            <v>336</v>
          </cell>
        </row>
      </sheetData>
      <sheetData sheetId="50">
        <row r="4">
          <cell r="GT4">
            <v>30</v>
          </cell>
        </row>
        <row r="5">
          <cell r="GT5">
            <v>30</v>
          </cell>
        </row>
        <row r="19"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</row>
        <row r="22">
          <cell r="GT22">
            <v>938</v>
          </cell>
        </row>
        <row r="23">
          <cell r="GT23">
            <v>1047</v>
          </cell>
        </row>
        <row r="27">
          <cell r="GT27">
            <v>132</v>
          </cell>
        </row>
        <row r="28">
          <cell r="GT28">
            <v>174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51"/>
      <sheetData sheetId="52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</row>
      </sheetData>
      <sheetData sheetId="53">
        <row r="4">
          <cell r="GT4">
            <v>7</v>
          </cell>
        </row>
        <row r="5">
          <cell r="GT5">
            <v>6</v>
          </cell>
        </row>
        <row r="19"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</row>
        <row r="22">
          <cell r="GT22">
            <v>159</v>
          </cell>
        </row>
        <row r="23">
          <cell r="GT23">
            <v>206</v>
          </cell>
        </row>
        <row r="27">
          <cell r="GT27">
            <v>18</v>
          </cell>
        </row>
        <row r="28">
          <cell r="GT28">
            <v>26</v>
          </cell>
        </row>
        <row r="41"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</row>
        <row r="52">
          <cell r="GT52">
            <v>70</v>
          </cell>
        </row>
        <row r="64">
          <cell r="GB64">
            <v>3990</v>
          </cell>
          <cell r="GC64">
            <v>1414</v>
          </cell>
          <cell r="GD64">
            <v>3447</v>
          </cell>
          <cell r="GE64">
            <v>6255</v>
          </cell>
          <cell r="GF64">
            <v>7899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</row>
      </sheetData>
      <sheetData sheetId="54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55">
        <row r="19"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41"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</row>
        <row r="64">
          <cell r="GB64">
            <v>0</v>
          </cell>
          <cell r="GC64">
            <v>0</v>
          </cell>
          <cell r="GD64">
            <v>137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56"/>
      <sheetData sheetId="57"/>
      <sheetData sheetId="58"/>
      <sheetData sheetId="59"/>
      <sheetData sheetId="60"/>
      <sheetData sheetId="61">
        <row r="15">
          <cell r="GP15">
            <v>1</v>
          </cell>
        </row>
        <row r="32">
          <cell r="GP32">
            <v>60</v>
          </cell>
        </row>
      </sheetData>
      <sheetData sheetId="62"/>
      <sheetData sheetId="63">
        <row r="4">
          <cell r="GT4">
            <v>20</v>
          </cell>
        </row>
        <row r="5">
          <cell r="GT5">
            <v>20</v>
          </cell>
        </row>
        <row r="19"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F19">
            <v>64</v>
          </cell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</row>
        <row r="47">
          <cell r="GT47">
            <v>1682654</v>
          </cell>
        </row>
        <row r="52">
          <cell r="GT52">
            <v>532881</v>
          </cell>
        </row>
        <row r="64"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</row>
      </sheetData>
      <sheetData sheetId="64">
        <row r="4">
          <cell r="GT4">
            <v>19</v>
          </cell>
        </row>
        <row r="5">
          <cell r="GT5">
            <v>19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</row>
        <row r="47">
          <cell r="GT47">
            <v>409600</v>
          </cell>
        </row>
        <row r="52">
          <cell r="GT52">
            <v>298000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</row>
      </sheetData>
      <sheetData sheetId="65">
        <row r="19"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F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66">
        <row r="4">
          <cell r="GT4">
            <v>1</v>
          </cell>
        </row>
        <row r="5">
          <cell r="GT5">
            <v>1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</row>
        <row r="47">
          <cell r="GT47">
            <v>43513</v>
          </cell>
        </row>
        <row r="52">
          <cell r="GT52">
            <v>62348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</row>
      </sheetData>
      <sheetData sheetId="67">
        <row r="4">
          <cell r="GT4">
            <v>1</v>
          </cell>
        </row>
        <row r="5">
          <cell r="GT5">
            <v>1</v>
          </cell>
        </row>
        <row r="19"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F19">
            <v>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</row>
        <row r="47">
          <cell r="GT47">
            <v>39222</v>
          </cell>
        </row>
        <row r="52">
          <cell r="GT52">
            <v>21499</v>
          </cell>
        </row>
        <row r="64"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</row>
      </sheetData>
      <sheetData sheetId="68">
        <row r="4">
          <cell r="GT4">
            <v>42</v>
          </cell>
        </row>
        <row r="5">
          <cell r="GT5">
            <v>42</v>
          </cell>
        </row>
        <row r="12">
          <cell r="GT12">
            <v>84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</row>
        <row r="47">
          <cell r="GT47">
            <v>80201</v>
          </cell>
        </row>
        <row r="52">
          <cell r="GT52">
            <v>47807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</row>
      </sheetData>
      <sheetData sheetId="69">
        <row r="19"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F19">
            <v>44</v>
          </cell>
          <cell r="GP19">
            <v>8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64"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P64">
            <v>190513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70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71">
        <row r="4">
          <cell r="GT4">
            <v>19</v>
          </cell>
        </row>
        <row r="5">
          <cell r="GT5">
            <v>19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</row>
        <row r="47">
          <cell r="GT47">
            <v>628262</v>
          </cell>
        </row>
        <row r="52">
          <cell r="GT52">
            <v>435210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</row>
      </sheetData>
      <sheetData sheetId="72">
        <row r="19"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F19">
            <v>90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64"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73"/>
      <sheetData sheetId="74">
        <row r="4">
          <cell r="GT4">
            <v>118</v>
          </cell>
        </row>
        <row r="5">
          <cell r="GT5">
            <v>118</v>
          </cell>
        </row>
        <row r="19"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F19">
            <v>270</v>
          </cell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</row>
        <row r="47">
          <cell r="GT47">
            <v>8560552</v>
          </cell>
        </row>
        <row r="52">
          <cell r="GT52">
            <v>7122467</v>
          </cell>
        </row>
        <row r="64"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</row>
      </sheetData>
      <sheetData sheetId="75">
        <row r="4">
          <cell r="GT4">
            <v>21</v>
          </cell>
        </row>
        <row r="5">
          <cell r="GT5">
            <v>21</v>
          </cell>
        </row>
        <row r="19"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F19">
            <v>42</v>
          </cell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</row>
        <row r="48">
          <cell r="GT48">
            <v>61847</v>
          </cell>
        </row>
        <row r="53">
          <cell r="GT53">
            <v>121151</v>
          </cell>
        </row>
        <row r="64"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</row>
      </sheetData>
      <sheetData sheetId="76">
        <row r="4">
          <cell r="GT4">
            <v>15</v>
          </cell>
        </row>
        <row r="5">
          <cell r="GT5">
            <v>15</v>
          </cell>
        </row>
        <row r="19"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F19">
            <v>34</v>
          </cell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</row>
        <row r="47">
          <cell r="GT47">
            <v>49063</v>
          </cell>
        </row>
        <row r="64"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</row>
      </sheetData>
      <sheetData sheetId="77">
        <row r="4">
          <cell r="GT4">
            <v>116</v>
          </cell>
        </row>
        <row r="5">
          <cell r="GT5">
            <v>116</v>
          </cell>
        </row>
        <row r="15">
          <cell r="GT15">
            <v>16</v>
          </cell>
        </row>
        <row r="16">
          <cell r="GT16">
            <v>16</v>
          </cell>
        </row>
        <row r="19"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F19">
            <v>300</v>
          </cell>
          <cell r="GP19">
            <v>282</v>
          </cell>
          <cell r="GQ19">
            <v>236</v>
          </cell>
          <cell r="GR19">
            <v>252</v>
          </cell>
          <cell r="GS19">
            <v>295</v>
          </cell>
          <cell r="GT19">
            <v>264</v>
          </cell>
        </row>
        <row r="47">
          <cell r="GT47">
            <v>6117875</v>
          </cell>
        </row>
        <row r="52">
          <cell r="GT52">
            <v>4613131</v>
          </cell>
        </row>
        <row r="53">
          <cell r="GT53">
            <v>398340</v>
          </cell>
        </row>
        <row r="64"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</row>
      </sheetData>
      <sheetData sheetId="78"/>
      <sheetData sheetId="79"/>
      <sheetData sheetId="80"/>
      <sheetData sheetId="81">
        <row r="4">
          <cell r="GT4">
            <v>192</v>
          </cell>
        </row>
        <row r="5">
          <cell r="GT5">
            <v>192</v>
          </cell>
        </row>
        <row r="19"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F19">
            <v>426</v>
          </cell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</row>
      </sheetData>
      <sheetData sheetId="82">
        <row r="19"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F19">
            <v>6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64"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83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</row>
      </sheetData>
      <sheetData sheetId="84">
        <row r="4">
          <cell r="GT4">
            <v>39</v>
          </cell>
        </row>
        <row r="5">
          <cell r="GT5">
            <v>40</v>
          </cell>
        </row>
      </sheetData>
      <sheetData sheetId="85">
        <row r="4">
          <cell r="GT4">
            <v>360</v>
          </cell>
        </row>
        <row r="5">
          <cell r="GT5">
            <v>361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152114</v>
          </cell>
          <cell r="C22">
            <v>153672</v>
          </cell>
          <cell r="L22">
            <v>1422138</v>
          </cell>
          <cell r="M22">
            <v>1438475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102884</v>
          </cell>
          <cell r="C23">
            <v>82442</v>
          </cell>
          <cell r="L23">
            <v>956790</v>
          </cell>
          <cell r="M23">
            <v>831321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366937</v>
          </cell>
          <cell r="I23">
            <v>3170467</v>
          </cell>
          <cell r="N23">
            <v>3537404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7" sqref="K17"/>
    </sheetView>
  </sheetViews>
  <sheetFormatPr defaultRowHeight="12.75" x14ac:dyDescent="0.2"/>
  <cols>
    <col min="1" max="1" width="23.42578125" customWidth="1"/>
    <col min="2" max="2" width="10.28515625" bestFit="1" customWidth="1"/>
    <col min="3" max="3" width="11.5703125" bestFit="1" customWidth="1"/>
    <col min="4" max="5" width="13" customWidth="1"/>
    <col min="6" max="6" width="9.42578125" bestFit="1" customWidth="1"/>
    <col min="7" max="7" width="11.7109375" bestFit="1" customWidth="1"/>
    <col min="8" max="8" width="12.85546875" bestFit="1" customWidth="1"/>
    <col min="9" max="9" width="9.42578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7">
        <v>43952</v>
      </c>
      <c r="B2" s="10"/>
      <c r="C2" s="10"/>
      <c r="D2" s="458" t="s">
        <v>213</v>
      </c>
      <c r="E2" s="458" t="s">
        <v>199</v>
      </c>
      <c r="F2" s="5"/>
      <c r="G2" s="5"/>
      <c r="H2" s="5"/>
      <c r="I2" s="5"/>
      <c r="J2" s="5"/>
    </row>
    <row r="3" spans="1:14" ht="13.5" thickBot="1" x14ac:dyDescent="0.25">
      <c r="A3" s="262"/>
      <c r="B3" s="5" t="s">
        <v>0</v>
      </c>
      <c r="C3" s="5" t="s">
        <v>1</v>
      </c>
      <c r="D3" s="459"/>
      <c r="E3" s="460"/>
      <c r="F3" s="5" t="s">
        <v>2</v>
      </c>
      <c r="G3" s="5" t="s">
        <v>214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2">
        <f>'Major Airline Stats'!K4</f>
        <v>99177</v>
      </c>
      <c r="C5" s="10">
        <f>'Major Airline Stats'!K5</f>
        <v>91498</v>
      </c>
      <c r="D5" s="2">
        <f>'Major Airline Stats'!K6</f>
        <v>190675</v>
      </c>
      <c r="E5" s="2">
        <f>'[1]Monthly Summary'!D5</f>
        <v>2561130</v>
      </c>
      <c r="F5" s="3">
        <f>(D5-E5)/E5</f>
        <v>-0.92555044062581748</v>
      </c>
      <c r="G5" s="2">
        <f>+D5+'[2]Monthly Summary'!G5</f>
        <v>6086002</v>
      </c>
      <c r="H5" s="2">
        <f>'[1]Monthly Summary'!G5</f>
        <v>11852020</v>
      </c>
      <c r="I5" s="58">
        <f>(G5-H5)/H5</f>
        <v>-0.48650086651895624</v>
      </c>
      <c r="J5" s="2"/>
    </row>
    <row r="6" spans="1:14" x14ac:dyDescent="0.2">
      <c r="A6" s="43" t="s">
        <v>5</v>
      </c>
      <c r="B6" s="192">
        <f>'Regional Major'!M5</f>
        <v>31938</v>
      </c>
      <c r="C6" s="192">
        <f>'Regional Major'!M6</f>
        <v>32834</v>
      </c>
      <c r="D6" s="2">
        <f>B6+C6</f>
        <v>64772</v>
      </c>
      <c r="E6" s="2">
        <f>'[1]Monthly Summary'!D6</f>
        <v>673867</v>
      </c>
      <c r="F6" s="3">
        <f>(D6-E6)/E6</f>
        <v>-0.90388014252070514</v>
      </c>
      <c r="G6" s="2">
        <f>+D6+'[2]Monthly Summary'!G6</f>
        <v>1608223</v>
      </c>
      <c r="H6" s="2">
        <f>'[1]Monthly Summary'!G6</f>
        <v>3027017</v>
      </c>
      <c r="I6" s="58">
        <f>(G6-H6)/H6</f>
        <v>-0.46871028474567539</v>
      </c>
      <c r="K6" s="2"/>
    </row>
    <row r="7" spans="1:14" x14ac:dyDescent="0.2">
      <c r="A7" s="43" t="s">
        <v>6</v>
      </c>
      <c r="B7" s="2">
        <f>Charter!G5</f>
        <v>0</v>
      </c>
      <c r="C7" s="192">
        <f>Charter!G6</f>
        <v>0</v>
      </c>
      <c r="D7" s="2">
        <f>B7+C7</f>
        <v>0</v>
      </c>
      <c r="E7" s="2">
        <f>'[1]Monthly Summary'!D7</f>
        <v>309</v>
      </c>
      <c r="F7" s="3">
        <f>(D7-E7)/E7</f>
        <v>-1</v>
      </c>
      <c r="G7" s="2">
        <f>+D7+'[2]Monthly Summary'!G7</f>
        <v>893</v>
      </c>
      <c r="H7" s="2">
        <f>'[1]Monthly Summary'!G7</f>
        <v>2408</v>
      </c>
      <c r="I7" s="58">
        <f>(G7-H7)/H7</f>
        <v>-0.62915282392026584</v>
      </c>
      <c r="K7" s="2"/>
    </row>
    <row r="8" spans="1:14" x14ac:dyDescent="0.2">
      <c r="A8" s="45" t="s">
        <v>7</v>
      </c>
      <c r="B8" s="98">
        <f>SUM(B5:B7)</f>
        <v>131115</v>
      </c>
      <c r="C8" s="98">
        <f>SUM(C5:C7)</f>
        <v>124332</v>
      </c>
      <c r="D8" s="98">
        <f>SUM(D5:D7)</f>
        <v>255447</v>
      </c>
      <c r="E8" s="98">
        <f>SUM(E5:E7)</f>
        <v>3235306</v>
      </c>
      <c r="F8" s="64">
        <f>(D8-E8)/E8</f>
        <v>-0.92104394452951277</v>
      </c>
      <c r="G8" s="98">
        <f>SUM(G5:G7)</f>
        <v>7695118</v>
      </c>
      <c r="H8" s="98">
        <f>SUM(H5:H7)</f>
        <v>14881445</v>
      </c>
      <c r="I8" s="63">
        <f>(G8-H8)/H8</f>
        <v>-0.4829051883066463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3">
        <f>'Major Airline Stats'!K9+'Regional Major'!M10</f>
        <v>14195</v>
      </c>
      <c r="C10" s="193">
        <f>'Major Airline Stats'!K10+'Regional Major'!M11</f>
        <v>14428</v>
      </c>
      <c r="D10" s="84">
        <f>SUM(B10:C10)</f>
        <v>28623</v>
      </c>
      <c r="E10" s="84">
        <f>'[1]Monthly Summary'!D10</f>
        <v>105506</v>
      </c>
      <c r="F10" s="65">
        <f>(D10-E10)/E10</f>
        <v>-0.72870737209258241</v>
      </c>
      <c r="G10" s="84">
        <f>+D10+'[2]Monthly Summary'!G10</f>
        <v>304602</v>
      </c>
      <c r="H10" s="84">
        <f>'[1]Monthly Summary'!G10</f>
        <v>494653</v>
      </c>
      <c r="I10" s="68">
        <f>(G10-H10)/H10</f>
        <v>-0.38421074975791109</v>
      </c>
      <c r="J10" s="140"/>
    </row>
    <row r="11" spans="1:14" ht="15.75" thickBot="1" x14ac:dyDescent="0.3">
      <c r="A11" s="44" t="s">
        <v>13</v>
      </c>
      <c r="B11" s="179">
        <f>B10+B8</f>
        <v>145310</v>
      </c>
      <c r="C11" s="179">
        <f>C10+C8</f>
        <v>138760</v>
      </c>
      <c r="D11" s="179">
        <f>D10+D8</f>
        <v>284070</v>
      </c>
      <c r="E11" s="179">
        <f>E10+E8</f>
        <v>3340812</v>
      </c>
      <c r="F11" s="66">
        <f>(D11-E11)/E11</f>
        <v>-0.91496977381546762</v>
      </c>
      <c r="G11" s="179">
        <f>G8+G10</f>
        <v>7999720</v>
      </c>
      <c r="H11" s="179">
        <f>H8+H10</f>
        <v>15376098</v>
      </c>
      <c r="I11" s="69">
        <f>(G11-H11)/H11</f>
        <v>-0.47973016301014731</v>
      </c>
    </row>
    <row r="12" spans="1:14" ht="15" x14ac:dyDescent="0.25">
      <c r="A12" s="8"/>
      <c r="B12" s="86"/>
      <c r="C12" s="86"/>
      <c r="D12" s="86"/>
      <c r="E12" s="86"/>
      <c r="F12" s="181"/>
      <c r="G12" s="86"/>
      <c r="H12" s="86"/>
      <c r="I12" s="182"/>
      <c r="K12" s="83"/>
    </row>
    <row r="13" spans="1:14" ht="16.5" customHeight="1" x14ac:dyDescent="0.2">
      <c r="B13" s="10"/>
      <c r="C13" s="10"/>
      <c r="D13" s="458" t="s">
        <v>213</v>
      </c>
      <c r="E13" s="458" t="s">
        <v>199</v>
      </c>
      <c r="F13" s="359"/>
      <c r="G13" s="359"/>
      <c r="H13" s="359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9"/>
      <c r="E14" s="460"/>
      <c r="F14" s="359" t="s">
        <v>2</v>
      </c>
      <c r="G14" s="359" t="s">
        <v>214</v>
      </c>
      <c r="H14" s="359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0"/>
    </row>
    <row r="16" spans="1:14" x14ac:dyDescent="0.2">
      <c r="A16" s="43" t="s">
        <v>4</v>
      </c>
      <c r="B16" s="199">
        <f>'Major Airline Stats'!K15+'Major Airline Stats'!K19</f>
        <v>1853</v>
      </c>
      <c r="C16" s="199">
        <f>'Major Airline Stats'!K16+'Major Airline Stats'!K20</f>
        <v>1869</v>
      </c>
      <c r="D16" s="25">
        <f t="shared" ref="D16:D21" si="0">SUM(B16:C16)</f>
        <v>3722</v>
      </c>
      <c r="E16" s="2">
        <f>'[1]Monthly Summary'!D16</f>
        <v>18996</v>
      </c>
      <c r="F16" s="67">
        <f t="shared" ref="F16:F22" si="1">(D16-E16)/E16</f>
        <v>-0.80406401347652134</v>
      </c>
      <c r="G16" s="2">
        <f>+D16+'[2]Monthly Summary'!G16</f>
        <v>57666</v>
      </c>
      <c r="H16" s="2">
        <f>'[1]Monthly Summary'!G16</f>
        <v>90094</v>
      </c>
      <c r="I16" s="171">
        <f t="shared" ref="I16:I22" si="2">(G16-H16)/H16</f>
        <v>-0.3599351788132395</v>
      </c>
      <c r="N16" s="83"/>
    </row>
    <row r="17" spans="1:12" x14ac:dyDescent="0.2">
      <c r="A17" s="43" t="s">
        <v>5</v>
      </c>
      <c r="B17" s="25">
        <f>'Regional Major'!M15+'Regional Major'!M18</f>
        <v>1631</v>
      </c>
      <c r="C17" s="25">
        <f>'Regional Major'!M16+'Regional Major'!M19</f>
        <v>1621</v>
      </c>
      <c r="D17" s="25">
        <f>SUM(B17:C17)</f>
        <v>3252</v>
      </c>
      <c r="E17" s="2">
        <f>'[1]Monthly Summary'!D17</f>
        <v>12332</v>
      </c>
      <c r="F17" s="67">
        <f t="shared" si="1"/>
        <v>-0.73629581576386638</v>
      </c>
      <c r="G17" s="2">
        <f>+D17+'[2]Monthly Summary'!G17</f>
        <v>42132</v>
      </c>
      <c r="H17" s="2">
        <f>'[1]Monthly Summary'!G17</f>
        <v>57940</v>
      </c>
      <c r="I17" s="171">
        <f t="shared" si="2"/>
        <v>-0.27283396617190198</v>
      </c>
    </row>
    <row r="18" spans="1:12" x14ac:dyDescent="0.2">
      <c r="A18" s="43" t="s">
        <v>10</v>
      </c>
      <c r="B18" s="25">
        <f>Charter!G10</f>
        <v>0</v>
      </c>
      <c r="C18" s="25">
        <f>Charter!G11</f>
        <v>0</v>
      </c>
      <c r="D18" s="25">
        <f t="shared" si="0"/>
        <v>0</v>
      </c>
      <c r="E18" s="2">
        <f>'[1]Monthly Summary'!D18</f>
        <v>5</v>
      </c>
      <c r="F18" s="67">
        <f t="shared" si="1"/>
        <v>-1</v>
      </c>
      <c r="G18" s="2">
        <f>+D18+'[2]Monthly Summary'!G18</f>
        <v>8</v>
      </c>
      <c r="H18" s="2">
        <f>'[1]Monthly Summary'!G18</f>
        <v>34</v>
      </c>
      <c r="I18" s="171">
        <f t="shared" si="2"/>
        <v>-0.76470588235294112</v>
      </c>
    </row>
    <row r="19" spans="1:12" x14ac:dyDescent="0.2">
      <c r="A19" s="43" t="s">
        <v>11</v>
      </c>
      <c r="B19" s="25">
        <f>Cargo!P4</f>
        <v>580</v>
      </c>
      <c r="C19" s="25">
        <f>Cargo!P5</f>
        <v>580</v>
      </c>
      <c r="D19" s="25">
        <f t="shared" si="0"/>
        <v>1160</v>
      </c>
      <c r="E19" s="2">
        <f>'[1]Monthly Summary'!D19</f>
        <v>1278</v>
      </c>
      <c r="F19" s="67">
        <f t="shared" si="1"/>
        <v>-9.2331768388106417E-2</v>
      </c>
      <c r="G19" s="2">
        <f>+D19+'[2]Monthly Summary'!G19</f>
        <v>5774</v>
      </c>
      <c r="H19" s="2">
        <f>'[1]Monthly Summary'!G19</f>
        <v>5845</v>
      </c>
      <c r="I19" s="171">
        <f t="shared" si="2"/>
        <v>-1.2147134302822925E-2</v>
      </c>
    </row>
    <row r="20" spans="1:12" x14ac:dyDescent="0.2">
      <c r="A20" s="43" t="s">
        <v>149</v>
      </c>
      <c r="B20" s="25">
        <f>'[3]General Avation'!$GT$4</f>
        <v>360</v>
      </c>
      <c r="C20" s="25">
        <f>'[3]General Avation'!$GT$5</f>
        <v>361</v>
      </c>
      <c r="D20" s="25">
        <f t="shared" si="0"/>
        <v>721</v>
      </c>
      <c r="E20" s="2">
        <f>'[1]Monthly Summary'!D20</f>
        <v>1571</v>
      </c>
      <c r="F20" s="67">
        <f t="shared" si="1"/>
        <v>-0.5410566518141311</v>
      </c>
      <c r="G20" s="2">
        <f>+D20+'[2]Monthly Summary'!G20</f>
        <v>4278</v>
      </c>
      <c r="H20" s="2">
        <f>'[1]Monthly Summary'!G20</f>
        <v>8162</v>
      </c>
      <c r="I20" s="171">
        <f t="shared" si="2"/>
        <v>-0.47586375888262683</v>
      </c>
    </row>
    <row r="21" spans="1:12" ht="12.75" customHeight="1" x14ac:dyDescent="0.2">
      <c r="A21" s="43" t="s">
        <v>12</v>
      </c>
      <c r="B21" s="11">
        <f>'[3]Military '!$GT$4</f>
        <v>39</v>
      </c>
      <c r="C21" s="11">
        <f>'[3]Military '!$GT$5</f>
        <v>40</v>
      </c>
      <c r="D21" s="11">
        <f t="shared" si="0"/>
        <v>79</v>
      </c>
      <c r="E21" s="84">
        <f>'[1]Monthly Summary'!D21</f>
        <v>97</v>
      </c>
      <c r="F21" s="169">
        <f t="shared" si="1"/>
        <v>-0.18556701030927836</v>
      </c>
      <c r="G21" s="84">
        <f>+D21+'[2]Monthly Summary'!G21</f>
        <v>324</v>
      </c>
      <c r="H21" s="84">
        <f>'[1]Monthly Summary'!G21</f>
        <v>451</v>
      </c>
      <c r="I21" s="172">
        <f t="shared" si="2"/>
        <v>-0.28159645232815966</v>
      </c>
    </row>
    <row r="22" spans="1:12" ht="15.75" thickBot="1" x14ac:dyDescent="0.3">
      <c r="A22" s="44" t="s">
        <v>28</v>
      </c>
      <c r="B22" s="180">
        <f>SUM(B16:B21)</f>
        <v>4463</v>
      </c>
      <c r="C22" s="180">
        <f>SUM(C16:C21)</f>
        <v>4471</v>
      </c>
      <c r="D22" s="180">
        <f>SUM(D16:D21)</f>
        <v>8934</v>
      </c>
      <c r="E22" s="180">
        <f>SUM(E16:E21)</f>
        <v>34279</v>
      </c>
      <c r="F22" s="177">
        <f t="shared" si="1"/>
        <v>-0.7393739607339771</v>
      </c>
      <c r="G22" s="180">
        <f>SUM(G16:G21)</f>
        <v>110182</v>
      </c>
      <c r="H22" s="180">
        <f>SUM(H16:H21)</f>
        <v>162526</v>
      </c>
      <c r="I22" s="178">
        <f t="shared" si="2"/>
        <v>-0.32206539261410483</v>
      </c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58" t="s">
        <v>213</v>
      </c>
      <c r="E24" s="458" t="s">
        <v>199</v>
      </c>
      <c r="F24" s="359"/>
      <c r="G24" s="359"/>
      <c r="H24" s="359"/>
      <c r="I24" s="5"/>
    </row>
    <row r="25" spans="1:12" ht="13.5" thickBot="1" x14ac:dyDescent="0.25">
      <c r="B25" s="5" t="s">
        <v>0</v>
      </c>
      <c r="C25" s="5" t="s">
        <v>1</v>
      </c>
      <c r="D25" s="459"/>
      <c r="E25" s="460"/>
      <c r="F25" s="359" t="s">
        <v>2</v>
      </c>
      <c r="G25" s="359" t="s">
        <v>214</v>
      </c>
      <c r="H25" s="359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8169.4485130958701</v>
      </c>
      <c r="C27" s="13">
        <f>(Cargo!P21+'Major Airline Stats'!K33+'Regional Major'!M30)*0.00045359237</f>
        <v>6059.0025102791797</v>
      </c>
      <c r="D27" s="13">
        <f>(SUM(B27:C27)+('Cargo Summary'!E17*0.00045359237))</f>
        <v>14228.45102337505</v>
      </c>
      <c r="E27" s="2">
        <f>'[1]Monthly Summary'!D27</f>
        <v>15878.49260597908</v>
      </c>
      <c r="F27" s="70">
        <f>(D27-E27)/E27</f>
        <v>-0.10391676486864397</v>
      </c>
      <c r="G27" s="2">
        <f>+D27+'[2]Monthly Summary'!G27</f>
        <v>76368.700625421043</v>
      </c>
      <c r="H27" s="2">
        <f>'[1]Monthly Summary'!G27</f>
        <v>81814.5932153881</v>
      </c>
      <c r="I27" s="72">
        <f>(G27-H27)/H27</f>
        <v>-6.6563828969118027E-2</v>
      </c>
    </row>
    <row r="28" spans="1:12" x14ac:dyDescent="0.2">
      <c r="A28" s="38" t="s">
        <v>16</v>
      </c>
      <c r="B28" s="13">
        <f>(Cargo!P17+'Major Airline Stats'!K29+'Regional Major'!M26)*0.00045359237</f>
        <v>343.98041301238999</v>
      </c>
      <c r="C28" s="13">
        <f>(Cargo!P22+'Major Airline Stats'!K34+'Regional Major'!M31)*0.00045359237</f>
        <v>570.24544134711994</v>
      </c>
      <c r="D28" s="13">
        <f>SUM(B28:C28)</f>
        <v>914.22585435950987</v>
      </c>
      <c r="E28" s="2">
        <f>'[1]Monthly Summary'!D28</f>
        <v>2158.6923552517401</v>
      </c>
      <c r="F28" s="70">
        <f>(D28-E28)/E28</f>
        <v>-0.57649090101451916</v>
      </c>
      <c r="G28" s="2">
        <f>+D28+'[2]Monthly Summary'!G28</f>
        <v>6973.3803180826399</v>
      </c>
      <c r="H28" s="2">
        <f>'[1]Monthly Summary'!G28</f>
        <v>10636.84494915273</v>
      </c>
      <c r="I28" s="72">
        <f>(G28-H28)/H28</f>
        <v>-0.34441271341102897</v>
      </c>
    </row>
    <row r="29" spans="1:12" ht="15.75" thickBot="1" x14ac:dyDescent="0.3">
      <c r="A29" s="39" t="s">
        <v>62</v>
      </c>
      <c r="B29" s="32">
        <f>SUM(B27:B28)</f>
        <v>8513.4289261082595</v>
      </c>
      <c r="C29" s="32">
        <f>SUM(C27:C28)</f>
        <v>6629.2479516262993</v>
      </c>
      <c r="D29" s="32">
        <f>SUM(D27:D28)</f>
        <v>15142.676877734561</v>
      </c>
      <c r="E29" s="32">
        <f>SUM(E27:E28)</f>
        <v>18037.184961230822</v>
      </c>
      <c r="F29" s="71">
        <f>(D29-E29)/E29</f>
        <v>-0.16047449143077067</v>
      </c>
      <c r="G29" s="32">
        <f>SUM(G27:G28)</f>
        <v>83342.080943503679</v>
      </c>
      <c r="H29" s="32">
        <f>SUM(H27:H28)</f>
        <v>92451.438164540828</v>
      </c>
      <c r="I29" s="73">
        <f>(G29-H29)/H29</f>
        <v>-9.8531265731364101E-2</v>
      </c>
    </row>
    <row r="30" spans="1:12" ht="4.5" customHeight="1" thickBot="1" x14ac:dyDescent="0.3">
      <c r="A30" s="35"/>
      <c r="B30" s="263"/>
      <c r="C30" s="263"/>
      <c r="D30" s="263"/>
      <c r="E30" s="263"/>
      <c r="F30" s="181"/>
      <c r="G30" s="263"/>
      <c r="H30" s="263"/>
      <c r="I30" s="181"/>
    </row>
    <row r="31" spans="1:12" ht="13.5" thickBot="1" x14ac:dyDescent="0.25">
      <c r="B31" s="457" t="s">
        <v>145</v>
      </c>
      <c r="C31" s="456"/>
      <c r="D31" s="457" t="s">
        <v>152</v>
      </c>
      <c r="E31" s="456"/>
      <c r="F31" s="285"/>
      <c r="G31" s="286"/>
    </row>
    <row r="32" spans="1:12" x14ac:dyDescent="0.2">
      <c r="A32" s="267" t="s">
        <v>146</v>
      </c>
      <c r="B32" s="268">
        <f>C8-B33</f>
        <v>81915</v>
      </c>
      <c r="C32" s="269">
        <f>B32/C8</f>
        <v>0.65884084547823574</v>
      </c>
      <c r="D32" s="270">
        <f>+B32+'[2]Monthly Summary'!$D$32</f>
        <v>2515940</v>
      </c>
      <c r="E32" s="271">
        <f>+D32/D34</f>
        <v>0.66213442912703024</v>
      </c>
      <c r="G32" s="2"/>
      <c r="I32" s="284"/>
    </row>
    <row r="33" spans="1:14" ht="13.5" thickBot="1" x14ac:dyDescent="0.25">
      <c r="A33" s="272" t="s">
        <v>147</v>
      </c>
      <c r="B33" s="273">
        <f>'Major Airline Stats'!K51+'Regional Major'!M45</f>
        <v>42417</v>
      </c>
      <c r="C33" s="274">
        <f>+B33/C8</f>
        <v>0.34115915452176432</v>
      </c>
      <c r="D33" s="275">
        <f>+B33+'[2]Monthly Summary'!$D$33</f>
        <v>1283802</v>
      </c>
      <c r="E33" s="276">
        <f>+D33/D34</f>
        <v>0.33786557087296981</v>
      </c>
      <c r="I33" s="284"/>
    </row>
    <row r="34" spans="1:14" ht="13.5" thickBot="1" x14ac:dyDescent="0.25">
      <c r="B34" s="203"/>
      <c r="D34" s="277">
        <f>SUM(D32:D33)</f>
        <v>3799742</v>
      </c>
    </row>
    <row r="35" spans="1:14" ht="13.5" thickBot="1" x14ac:dyDescent="0.25">
      <c r="B35" s="455" t="s">
        <v>223</v>
      </c>
      <c r="C35" s="456"/>
      <c r="D35" s="457" t="s">
        <v>212</v>
      </c>
      <c r="E35" s="456"/>
    </row>
    <row r="36" spans="1:14" x14ac:dyDescent="0.2">
      <c r="A36" s="267" t="s">
        <v>146</v>
      </c>
      <c r="B36" s="268">
        <f>'[1]Monthly Summary'!$B$32</f>
        <v>977623</v>
      </c>
      <c r="C36" s="269">
        <f>+B36/B38</f>
        <v>0.60729846750197236</v>
      </c>
      <c r="D36" s="270">
        <f>'[1]Monthly Summary'!$D$32</f>
        <v>4841285</v>
      </c>
      <c r="E36" s="271">
        <f>+D36/D38</f>
        <v>0.65243333469894693</v>
      </c>
    </row>
    <row r="37" spans="1:14" ht="13.5" thickBot="1" x14ac:dyDescent="0.25">
      <c r="A37" s="272" t="s">
        <v>147</v>
      </c>
      <c r="B37" s="273">
        <f>'[1]Monthly Summary'!$B$33</f>
        <v>632167</v>
      </c>
      <c r="C37" s="276">
        <f>+B37/B38</f>
        <v>0.39270153249802769</v>
      </c>
      <c r="D37" s="275">
        <f>'[1]Monthly Summary'!$D$33</f>
        <v>2579067</v>
      </c>
      <c r="E37" s="276">
        <f>+D37/D38</f>
        <v>0.34756666530105312</v>
      </c>
      <c r="M37" s="1"/>
    </row>
    <row r="38" spans="1:14" x14ac:dyDescent="0.2">
      <c r="B38" s="289">
        <f>+SUM(B36:B37)</f>
        <v>1609790</v>
      </c>
      <c r="D38" s="277">
        <f>SUM(D36:D37)</f>
        <v>7420352</v>
      </c>
    </row>
    <row r="39" spans="1:14" x14ac:dyDescent="0.2">
      <c r="A39" s="281" t="s">
        <v>148</v>
      </c>
    </row>
    <row r="40" spans="1:14" x14ac:dyDescent="0.2">
      <c r="A40" s="141" t="s">
        <v>150</v>
      </c>
      <c r="I40" s="2"/>
    </row>
    <row r="41" spans="1:14" x14ac:dyDescent="0.2">
      <c r="N41" s="282"/>
    </row>
    <row r="42" spans="1:14" x14ac:dyDescent="0.2">
      <c r="G42" s="2"/>
      <c r="N42" s="282"/>
    </row>
    <row r="43" spans="1:14" x14ac:dyDescent="0.2">
      <c r="B43" s="203"/>
      <c r="J43" s="2"/>
      <c r="N43" s="282"/>
    </row>
    <row r="44" spans="1:14" x14ac:dyDescent="0.2">
      <c r="B44" s="203"/>
      <c r="N44" s="282"/>
    </row>
    <row r="45" spans="1:14" x14ac:dyDescent="0.2">
      <c r="J45" s="2"/>
      <c r="N45" s="282"/>
    </row>
    <row r="46" spans="1:14" x14ac:dyDescent="0.2">
      <c r="B46" s="2"/>
      <c r="F46" s="203"/>
    </row>
    <row r="47" spans="1:14" x14ac:dyDescent="0.2">
      <c r="N47" s="282"/>
    </row>
    <row r="51" spans="12:12" x14ac:dyDescent="0.2">
      <c r="L51" s="28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I10" sqref="I10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7">
        <v>43952</v>
      </c>
      <c r="B1" s="304" t="s">
        <v>18</v>
      </c>
      <c r="C1" s="303" t="s">
        <v>195</v>
      </c>
      <c r="D1" s="369" t="s">
        <v>158</v>
      </c>
      <c r="E1" s="303" t="s">
        <v>164</v>
      </c>
      <c r="F1" s="303" t="s">
        <v>163</v>
      </c>
      <c r="G1" s="303" t="s">
        <v>49</v>
      </c>
      <c r="H1" s="303" t="s">
        <v>114</v>
      </c>
      <c r="I1" s="303" t="s">
        <v>194</v>
      </c>
      <c r="J1" s="303" t="s">
        <v>191</v>
      </c>
      <c r="K1" s="303" t="s">
        <v>196</v>
      </c>
      <c r="L1" s="303" t="s">
        <v>162</v>
      </c>
      <c r="M1" s="303" t="s">
        <v>211</v>
      </c>
      <c r="N1" s="303" t="s">
        <v>157</v>
      </c>
      <c r="O1" s="303" t="s">
        <v>140</v>
      </c>
      <c r="P1" s="303" t="s">
        <v>21</v>
      </c>
    </row>
    <row r="2" spans="1:16" ht="15" x14ac:dyDescent="0.25">
      <c r="A2" s="491" t="s">
        <v>141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3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[3]Delta!$GT$32</f>
        <v>476</v>
      </c>
      <c r="C4" s="12">
        <f>'[3]Atlantic Southeast'!$GT$32</f>
        <v>0</v>
      </c>
      <c r="D4" s="12">
        <f>[3]Pinnacle!$GT$32</f>
        <v>0</v>
      </c>
      <c r="E4" s="12">
        <f>'[3]Sky West'!$GT$32</f>
        <v>476</v>
      </c>
      <c r="F4" s="12">
        <f>'[3]Go Jet'!$GT$32</f>
        <v>0</v>
      </c>
      <c r="G4" s="12">
        <f>'[3]Sun Country'!$GT$32</f>
        <v>0</v>
      </c>
      <c r="H4" s="12">
        <f>[3]Icelandair!$GT$32</f>
        <v>0</v>
      </c>
      <c r="I4" s="12">
        <f>[3]KLM!$GT$32</f>
        <v>0</v>
      </c>
      <c r="J4" s="12">
        <f>'[3]Air Georgian'!$GT$32</f>
        <v>0</v>
      </c>
      <c r="K4" s="12">
        <f>'[3]Sky Regional'!$GT$32</f>
        <v>0</v>
      </c>
      <c r="L4" s="12">
        <f>[3]Condor!$GT$32</f>
        <v>0</v>
      </c>
      <c r="M4" s="12">
        <f>'[3]Aer Lingus'!$GT$32</f>
        <v>0</v>
      </c>
      <c r="N4" s="12">
        <f>'[3]Air France'!$GT$32</f>
        <v>0</v>
      </c>
      <c r="O4" s="12">
        <f>'[3]Charter Misc'!$GT$32+[3]Ryan!$GT$32+[3]Omni!$GT$32</f>
        <v>0</v>
      </c>
      <c r="P4" s="371">
        <f>SUM(B4:O4)</f>
        <v>952</v>
      </c>
    </row>
    <row r="5" spans="1:16" x14ac:dyDescent="0.2">
      <c r="A5" s="38" t="s">
        <v>31</v>
      </c>
      <c r="B5" s="7">
        <f>[3]Delta!$GT$33</f>
        <v>0</v>
      </c>
      <c r="C5" s="7">
        <f>'[3]Atlantic Southeast'!$GT$33</f>
        <v>0</v>
      </c>
      <c r="D5" s="7">
        <f>[3]Pinnacle!$GT$33</f>
        <v>0</v>
      </c>
      <c r="E5" s="7">
        <f>'[3]Sky West'!$GT$33</f>
        <v>483</v>
      </c>
      <c r="F5" s="7">
        <f>'[3]Go Jet'!$GT$33</f>
        <v>0</v>
      </c>
      <c r="G5" s="7">
        <f>'[3]Sun Country'!$GT$33</f>
        <v>0</v>
      </c>
      <c r="H5" s="7">
        <f>[3]Icelandair!$GT$33</f>
        <v>0</v>
      </c>
      <c r="I5" s="7">
        <f>[3]KLM!$GT$33</f>
        <v>0</v>
      </c>
      <c r="J5" s="7">
        <f>'[3]Air Georgian'!$GT$33</f>
        <v>0</v>
      </c>
      <c r="K5" s="7">
        <f>'[3]Sky Regional'!$GT$33</f>
        <v>0</v>
      </c>
      <c r="L5" s="7">
        <f>[3]Condor!$GT$33</f>
        <v>0</v>
      </c>
      <c r="M5" s="7">
        <f>'[3]Aer Lingus'!$GT$33</f>
        <v>0</v>
      </c>
      <c r="N5" s="7">
        <f>'[3]Air France'!$GT$33</f>
        <v>0</v>
      </c>
      <c r="O5" s="7">
        <f>'[3]Charter Misc'!$GT$33++[3]Ryan!$GT$33+[3]Omni!$GT$33</f>
        <v>0</v>
      </c>
      <c r="P5" s="372">
        <f>SUM(B5:O5)</f>
        <v>483</v>
      </c>
    </row>
    <row r="6" spans="1:16" ht="15" x14ac:dyDescent="0.25">
      <c r="A6" s="36" t="s">
        <v>7</v>
      </c>
      <c r="B6" s="18">
        <f t="shared" ref="B6:O6" si="0">SUM(B4:B5)</f>
        <v>476</v>
      </c>
      <c r="C6" s="18">
        <f t="shared" si="0"/>
        <v>0</v>
      </c>
      <c r="D6" s="18">
        <f t="shared" si="0"/>
        <v>0</v>
      </c>
      <c r="E6" s="18">
        <f t="shared" si="0"/>
        <v>959</v>
      </c>
      <c r="F6" s="18">
        <f t="shared" ref="F6" si="1">SUM(F4:F5)</f>
        <v>0</v>
      </c>
      <c r="G6" s="18">
        <f t="shared" si="0"/>
        <v>0</v>
      </c>
      <c r="H6" s="18">
        <f t="shared" si="0"/>
        <v>0</v>
      </c>
      <c r="I6" s="18">
        <f t="shared" ref="I6" si="2">SUM(I4:I5)</f>
        <v>0</v>
      </c>
      <c r="J6" s="18">
        <f t="shared" si="0"/>
        <v>0</v>
      </c>
      <c r="K6" s="18">
        <f t="shared" ref="K6" si="3">SUM(K4:K5)</f>
        <v>0</v>
      </c>
      <c r="L6" s="18">
        <f t="shared" ref="L6:M6" si="4">SUM(L4:L5)</f>
        <v>0</v>
      </c>
      <c r="M6" s="18">
        <f t="shared" si="4"/>
        <v>0</v>
      </c>
      <c r="N6" s="18">
        <f t="shared" si="0"/>
        <v>0</v>
      </c>
      <c r="O6" s="18">
        <f t="shared" si="0"/>
        <v>0</v>
      </c>
      <c r="P6" s="373">
        <f>SUM(B6:O6)</f>
        <v>1435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1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1">
        <f>SUM(B8:O8)</f>
        <v>0</v>
      </c>
    </row>
    <row r="9" spans="1:16" x14ac:dyDescent="0.2">
      <c r="A9" s="38" t="s">
        <v>30</v>
      </c>
      <c r="B9" s="12">
        <f>[3]Delta!$GT$37</f>
        <v>6</v>
      </c>
      <c r="C9" s="12">
        <f>'[3]Atlantic Southeast'!$GT$37</f>
        <v>0</v>
      </c>
      <c r="D9" s="12">
        <f>[3]Pinnacle!$GT$37</f>
        <v>0</v>
      </c>
      <c r="E9" s="12">
        <f>'[3]Sky West'!$GT$37</f>
        <v>7</v>
      </c>
      <c r="F9" s="12">
        <f>'[3]Go Jet'!$GT$37</f>
        <v>0</v>
      </c>
      <c r="G9" s="12">
        <f>'[3]Sun Country'!$GT$37</f>
        <v>0</v>
      </c>
      <c r="H9" s="12">
        <f>[3]Icelandair!$GT$37</f>
        <v>0</v>
      </c>
      <c r="I9" s="12">
        <f>[3]KLM!$GT$37</f>
        <v>0</v>
      </c>
      <c r="J9" s="12">
        <f>'[3]Air Georgian'!$GT$37</f>
        <v>0</v>
      </c>
      <c r="K9" s="12">
        <f>'[3]Sky Regional'!$GT$37</f>
        <v>0</v>
      </c>
      <c r="L9" s="12">
        <f>[3]Condor!$GT$37</f>
        <v>0</v>
      </c>
      <c r="M9" s="12">
        <f>'[3]Aer Lingus'!$GT$37</f>
        <v>0</v>
      </c>
      <c r="N9" s="12">
        <f>'[3]Air France'!$GT$37</f>
        <v>0</v>
      </c>
      <c r="O9" s="12">
        <f>'[3]Charter Misc'!$GT$37+[3]Ryan!$GT$37+[3]Omni!$GT$37</f>
        <v>0</v>
      </c>
      <c r="P9" s="371">
        <f>SUM(B9:O9)</f>
        <v>13</v>
      </c>
    </row>
    <row r="10" spans="1:16" x14ac:dyDescent="0.2">
      <c r="A10" s="38" t="s">
        <v>33</v>
      </c>
      <c r="B10" s="7">
        <f>[3]Delta!$GT$38</f>
        <v>0</v>
      </c>
      <c r="C10" s="7">
        <f>'[3]Atlantic Southeast'!$GT$38</f>
        <v>0</v>
      </c>
      <c r="D10" s="7">
        <f>[3]Pinnacle!$GT$38</f>
        <v>0</v>
      </c>
      <c r="E10" s="7">
        <f>'[3]Sky West'!$GT$38</f>
        <v>4</v>
      </c>
      <c r="F10" s="7">
        <f>'[3]Go Jet'!$GT$38</f>
        <v>0</v>
      </c>
      <c r="G10" s="7">
        <f>'[3]Sun Country'!$GT$38</f>
        <v>0</v>
      </c>
      <c r="H10" s="7">
        <f>[3]Icelandair!$GT$38</f>
        <v>0</v>
      </c>
      <c r="I10" s="7">
        <f>[3]KLM!$GT$38</f>
        <v>0</v>
      </c>
      <c r="J10" s="7">
        <f>'[3]Air Georgian'!$GT$38</f>
        <v>0</v>
      </c>
      <c r="K10" s="7">
        <f>'[3]Sky Regional'!$GT$38</f>
        <v>0</v>
      </c>
      <c r="L10" s="7">
        <f>[3]Condor!$GT$38</f>
        <v>0</v>
      </c>
      <c r="M10" s="7">
        <f>'[3]Aer Lingus'!$GT$38</f>
        <v>0</v>
      </c>
      <c r="N10" s="7">
        <f>'[3]Air France'!$GT$38</f>
        <v>0</v>
      </c>
      <c r="O10" s="7">
        <f>'[3]Charter Misc'!$GT$38+[3]Ryan!$GT$38+[3]Omni!$GT$38</f>
        <v>0</v>
      </c>
      <c r="P10" s="372">
        <f>SUM(B10:O10)</f>
        <v>4</v>
      </c>
    </row>
    <row r="11" spans="1:16" ht="15.75" thickBot="1" x14ac:dyDescent="0.3">
      <c r="A11" s="39" t="s">
        <v>34</v>
      </c>
      <c r="B11" s="186">
        <f t="shared" ref="B11:G11" si="5">SUM(B9:B10)</f>
        <v>6</v>
      </c>
      <c r="C11" s="186">
        <f t="shared" si="5"/>
        <v>0</v>
      </c>
      <c r="D11" s="186">
        <f t="shared" si="5"/>
        <v>0</v>
      </c>
      <c r="E11" s="186">
        <f t="shared" si="5"/>
        <v>11</v>
      </c>
      <c r="F11" s="186">
        <f t="shared" ref="F11" si="6">SUM(F9:F10)</f>
        <v>0</v>
      </c>
      <c r="G11" s="186">
        <f t="shared" si="5"/>
        <v>0</v>
      </c>
      <c r="H11" s="186">
        <f t="shared" ref="H11:O11" si="7">SUM(H9:H10)</f>
        <v>0</v>
      </c>
      <c r="I11" s="186">
        <f t="shared" ref="I11" si="8">SUM(I9:I10)</f>
        <v>0</v>
      </c>
      <c r="J11" s="186">
        <f t="shared" si="7"/>
        <v>0</v>
      </c>
      <c r="K11" s="186">
        <f t="shared" ref="K11" si="9">SUM(K9:K10)</f>
        <v>0</v>
      </c>
      <c r="L11" s="186">
        <f t="shared" si="7"/>
        <v>0</v>
      </c>
      <c r="M11" s="186">
        <f t="shared" ref="M11" si="10">SUM(M9:M10)</f>
        <v>0</v>
      </c>
      <c r="N11" s="186">
        <f t="shared" si="7"/>
        <v>0</v>
      </c>
      <c r="O11" s="186">
        <f t="shared" si="7"/>
        <v>0</v>
      </c>
      <c r="P11" s="374">
        <f>SUM(B11:O11)</f>
        <v>17</v>
      </c>
    </row>
    <row r="12" spans="1:16" ht="15" x14ac:dyDescent="0.25">
      <c r="A12" s="261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9"/>
    </row>
    <row r="13" spans="1:16" ht="39" thickBot="1" x14ac:dyDescent="0.25">
      <c r="B13" s="304" t="s">
        <v>18</v>
      </c>
      <c r="C13" s="303" t="s">
        <v>195</v>
      </c>
      <c r="D13" s="369" t="s">
        <v>158</v>
      </c>
      <c r="E13" s="303" t="s">
        <v>164</v>
      </c>
      <c r="F13" s="303" t="s">
        <v>163</v>
      </c>
      <c r="G13" s="303" t="s">
        <v>49</v>
      </c>
      <c r="H13" s="303" t="s">
        <v>114</v>
      </c>
      <c r="I13" s="303" t="s">
        <v>194</v>
      </c>
      <c r="J13" s="303" t="s">
        <v>191</v>
      </c>
      <c r="K13" s="303" t="s">
        <v>196</v>
      </c>
      <c r="L13" s="303" t="s">
        <v>162</v>
      </c>
      <c r="M13" s="303" t="s">
        <v>211</v>
      </c>
      <c r="N13" s="303" t="s">
        <v>157</v>
      </c>
      <c r="O13" s="303" t="s">
        <v>140</v>
      </c>
      <c r="P13" s="303" t="s">
        <v>21</v>
      </c>
    </row>
    <row r="14" spans="1:16" ht="15" x14ac:dyDescent="0.25">
      <c r="A14" s="494" t="s">
        <v>142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6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SUM([3]Delta!$GP$32:$GT$32)</f>
        <v>240505</v>
      </c>
      <c r="C16" s="12">
        <f>SUM('[3]Atlantic Southeast'!$GP$32:$GT$32)</f>
        <v>0</v>
      </c>
      <c r="D16" s="12">
        <f>SUM([3]Pinnacle!$GP$32:$GT$32)</f>
        <v>11430</v>
      </c>
      <c r="E16" s="12">
        <f>SUM('[3]Sky West'!$GP$32:$GT$32)</f>
        <v>39965</v>
      </c>
      <c r="F16" s="12">
        <f>SUM('[3]Go Jet'!$GP$32:$GT$32)</f>
        <v>0</v>
      </c>
      <c r="G16" s="12">
        <f>SUM('[3]Sun Country'!$GP$32:$GT$32)</f>
        <v>86037</v>
      </c>
      <c r="H16" s="12">
        <f>SUM([3]Icelandair!$GP$32:$GT$32)</f>
        <v>1011</v>
      </c>
      <c r="I16" s="12">
        <f>SUM([3]KLM!$GP$32:$GT$32)</f>
        <v>9290</v>
      </c>
      <c r="J16" s="12">
        <f>SUM('[3]Air Georgian'!$GP$32:$GT$32)</f>
        <v>0</v>
      </c>
      <c r="K16" s="12">
        <f>SUM('[3]Sky Regional'!$GP$32:$GT$32)</f>
        <v>8489</v>
      </c>
      <c r="L16" s="12">
        <f>SUM([3]Condor!$GP$32:$GT$32)</f>
        <v>0</v>
      </c>
      <c r="M16" s="12">
        <f>SUM('[3]Aer Lingus'!$GP$32:$GT$32)</f>
        <v>5028</v>
      </c>
      <c r="N16" s="12">
        <f>SUM('[3]Air France'!$GP$32:$GT$32)</f>
        <v>0</v>
      </c>
      <c r="O16" s="12">
        <f>SUM('[3]Charter Misc'!$GP$32:$GT$32)+SUM([3]Ryan!$GP$32:$GT$32)+SUM([3]Omni!$GP$32:$GT$32)</f>
        <v>60</v>
      </c>
      <c r="P16" s="371">
        <f>SUM(B16:O16)</f>
        <v>401815</v>
      </c>
    </row>
    <row r="17" spans="1:19" x14ac:dyDescent="0.2">
      <c r="A17" s="38" t="s">
        <v>31</v>
      </c>
      <c r="B17" s="7">
        <f>SUM([3]Delta!$GP$33:$GT$33)</f>
        <v>221354</v>
      </c>
      <c r="C17" s="7">
        <f>SUM('[3]Atlantic Southeast'!$GP$33:$GT$33)</f>
        <v>0</v>
      </c>
      <c r="D17" s="7">
        <f>SUM([3]Pinnacle!$GP$33:$GT$33)</f>
        <v>12177</v>
      </c>
      <c r="E17" s="7">
        <f>SUM('[3]Sky West'!$GP$33:$GT$33)</f>
        <v>41436</v>
      </c>
      <c r="F17" s="7">
        <f>SUM('[3]Go Jet'!$GP$33:$GT$33)</f>
        <v>0</v>
      </c>
      <c r="G17" s="7">
        <f>SUM('[3]Sun Country'!$GP$33:$GT$33)</f>
        <v>78950</v>
      </c>
      <c r="H17" s="7">
        <f>SUM([3]Icelandair!$GP$33:$GT$33)</f>
        <v>1047</v>
      </c>
      <c r="I17" s="7">
        <f>SUM([3]KLM!$GP$33:$GT$33)</f>
        <v>6678</v>
      </c>
      <c r="J17" s="7">
        <f>SUM('[3]Air Georgian'!$GP$33:$GT$33)</f>
        <v>0</v>
      </c>
      <c r="K17" s="7">
        <f>SUM('[3]Sky Regional'!$GP$33:$GT$33)</f>
        <v>8452</v>
      </c>
      <c r="L17" s="7">
        <f>SUM([3]Condor!$GP$33:$GT$33)</f>
        <v>0</v>
      </c>
      <c r="M17" s="7">
        <f>SUM('[3]Aer Lingus'!$GP$33:$GT$33)</f>
        <v>4594</v>
      </c>
      <c r="N17" s="7">
        <f>SUM('[3]Air France'!$GP$33:$GT$33)</f>
        <v>0</v>
      </c>
      <c r="O17" s="7">
        <f>SUM('[3]Charter Misc'!$GP$33:$GT$33)++SUM([3]Ryan!$GP$33:$GT$33)+SUM([3]Omni!$GP$33:$GT$33)</f>
        <v>0</v>
      </c>
      <c r="P17" s="372">
        <f>SUM(B17:O17)</f>
        <v>374688</v>
      </c>
    </row>
    <row r="18" spans="1:19" ht="15" x14ac:dyDescent="0.25">
      <c r="A18" s="36" t="s">
        <v>7</v>
      </c>
      <c r="B18" s="18">
        <f t="shared" ref="B18:O18" si="11">SUM(B16:B17)</f>
        <v>461859</v>
      </c>
      <c r="C18" s="18">
        <f t="shared" si="11"/>
        <v>0</v>
      </c>
      <c r="D18" s="18">
        <f t="shared" si="11"/>
        <v>23607</v>
      </c>
      <c r="E18" s="18">
        <f t="shared" si="11"/>
        <v>81401</v>
      </c>
      <c r="F18" s="18">
        <f t="shared" ref="F18" si="12">SUM(F16:F17)</f>
        <v>0</v>
      </c>
      <c r="G18" s="18">
        <f t="shared" si="11"/>
        <v>164987</v>
      </c>
      <c r="H18" s="18">
        <f t="shared" si="11"/>
        <v>2058</v>
      </c>
      <c r="I18" s="18">
        <f t="shared" ref="I18" si="13">SUM(I16:I17)</f>
        <v>15968</v>
      </c>
      <c r="J18" s="18">
        <f t="shared" si="11"/>
        <v>0</v>
      </c>
      <c r="K18" s="18">
        <f t="shared" ref="K18" si="14">SUM(K16:K17)</f>
        <v>16941</v>
      </c>
      <c r="L18" s="18">
        <f t="shared" ref="L18:M18" si="15">SUM(L16:L17)</f>
        <v>0</v>
      </c>
      <c r="M18" s="18">
        <f t="shared" si="15"/>
        <v>9622</v>
      </c>
      <c r="N18" s="18">
        <f t="shared" si="11"/>
        <v>0</v>
      </c>
      <c r="O18" s="18">
        <f t="shared" si="11"/>
        <v>60</v>
      </c>
      <c r="P18" s="373">
        <f>SUM(B18:O18)</f>
        <v>776503</v>
      </c>
      <c r="S18" s="203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1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1">
        <f>SUM(B20:O20)</f>
        <v>0</v>
      </c>
    </row>
    <row r="21" spans="1:19" x14ac:dyDescent="0.2">
      <c r="A21" s="38" t="s">
        <v>30</v>
      </c>
      <c r="B21" s="12">
        <f>SUM([3]Delta!$GP$37:$GT$37)</f>
        <v>6534</v>
      </c>
      <c r="C21" s="12">
        <f>SUM('[3]Atlantic Southeast'!$GP$37:$GT$37)</f>
        <v>0</v>
      </c>
      <c r="D21" s="12">
        <f>SUM([3]Pinnacle!$GP$37:$GT$37)</f>
        <v>265</v>
      </c>
      <c r="E21" s="12">
        <f>SUM('[3]Sky West'!$GP$37:$GT$37)</f>
        <v>495</v>
      </c>
      <c r="F21" s="12">
        <f>SUM('[3]Go Jet'!$GP$37:$GT$37)</f>
        <v>0</v>
      </c>
      <c r="G21" s="12">
        <f>SUM('[3]Sun Country'!$GP$37:$GT$37)</f>
        <v>1011</v>
      </c>
      <c r="H21" s="12">
        <f>SUM([3]Icelandair!$GP$37:$GT$37)</f>
        <v>22</v>
      </c>
      <c r="I21" s="12">
        <f>SUM([3]KLM!$GP$37:$GT$37)</f>
        <v>35</v>
      </c>
      <c r="J21" s="12">
        <f>SUM('[3]Air Georgian'!$GP$37:$GT$37)</f>
        <v>0</v>
      </c>
      <c r="K21" s="12">
        <f>SUM('[3]Sky Regional'!$GP$37:$GT$37)</f>
        <v>116</v>
      </c>
      <c r="L21" s="12">
        <f>SUM([3]Condor!$GP$37:$GT$37)</f>
        <v>0</v>
      </c>
      <c r="M21" s="12">
        <f>SUM('[3]Aer Lingus'!$GP$37:$GT$37)</f>
        <v>35</v>
      </c>
      <c r="N21" s="12">
        <f>SUM('[3]Air France'!$GP$37:$GT$37)</f>
        <v>0</v>
      </c>
      <c r="O21" s="12">
        <f>SUM('[3]Charter Misc'!$GP$37:$GT$37)++SUM([3]Ryan!$GP$37:$GT$37)+SUM([3]Omni!$GP$37:$GT$37)</f>
        <v>0</v>
      </c>
      <c r="P21" s="371">
        <f>SUM(B21:O21)</f>
        <v>8513</v>
      </c>
    </row>
    <row r="22" spans="1:19" x14ac:dyDescent="0.2">
      <c r="A22" s="38" t="s">
        <v>33</v>
      </c>
      <c r="B22" s="7">
        <f>SUM([3]Delta!$GP$38:$GT$38)</f>
        <v>5724</v>
      </c>
      <c r="C22" s="7">
        <f>SUM('[3]Atlantic Southeast'!$GP$38:$GT$38)</f>
        <v>0</v>
      </c>
      <c r="D22" s="7">
        <f>SUM([3]Pinnacle!$GP$38:$GT$38)</f>
        <v>139</v>
      </c>
      <c r="E22" s="7">
        <f>SUM('[3]Sky West'!$GP$38:$GT$38)</f>
        <v>489</v>
      </c>
      <c r="F22" s="7">
        <f>SUM('[3]Go Jet'!$GP$38:$GT$38)</f>
        <v>0</v>
      </c>
      <c r="G22" s="7">
        <f>SUM('[3]Sun Country'!$GP$38:$GT$38)</f>
        <v>956</v>
      </c>
      <c r="H22" s="7">
        <f>SUM([3]Icelandair!$GP$38:$GT$38)</f>
        <v>20</v>
      </c>
      <c r="I22" s="7">
        <f>SUM([3]KLM!$GP$38:$GT$38)</f>
        <v>26</v>
      </c>
      <c r="J22" s="7">
        <f>SUM('[3]Air Georgian'!$GP$38:$GT$38)</f>
        <v>0</v>
      </c>
      <c r="K22" s="7">
        <f>SUM('[3]Sky Regional'!$GP$38:$GT$38)</f>
        <v>116</v>
      </c>
      <c r="L22" s="7">
        <f>SUM([3]Condor!$GP$38:$GT$38)</f>
        <v>0</v>
      </c>
      <c r="M22" s="7">
        <f>SUM('[3]Aer Lingus'!$GP$38:$GT$38)</f>
        <v>37</v>
      </c>
      <c r="N22" s="7">
        <f>SUM('[3]Air France'!$GP$38:$GT$38)</f>
        <v>0</v>
      </c>
      <c r="O22" s="7">
        <f>SUM('[3]Charter Misc'!$GP$38:$GT$38)++SUM([3]Ryan!$GP$38:$GT$38)+SUM([3]Omni!$GP$38:$GT$38)</f>
        <v>0</v>
      </c>
      <c r="P22" s="372">
        <f>SUM(B22:O22)</f>
        <v>7507</v>
      </c>
    </row>
    <row r="23" spans="1:19" ht="15.75" thickBot="1" x14ac:dyDescent="0.3">
      <c r="A23" s="39" t="s">
        <v>34</v>
      </c>
      <c r="B23" s="186">
        <f t="shared" ref="B23:O23" si="16">SUM(B21:B22)</f>
        <v>12258</v>
      </c>
      <c r="C23" s="186">
        <f t="shared" si="16"/>
        <v>0</v>
      </c>
      <c r="D23" s="186">
        <f t="shared" si="16"/>
        <v>404</v>
      </c>
      <c r="E23" s="186">
        <f t="shared" si="16"/>
        <v>984</v>
      </c>
      <c r="F23" s="186">
        <f t="shared" ref="F23" si="17">SUM(F21:F22)</f>
        <v>0</v>
      </c>
      <c r="G23" s="186">
        <f t="shared" si="16"/>
        <v>1967</v>
      </c>
      <c r="H23" s="186">
        <f t="shared" si="16"/>
        <v>42</v>
      </c>
      <c r="I23" s="186">
        <f t="shared" ref="I23" si="18">SUM(I21:I22)</f>
        <v>61</v>
      </c>
      <c r="J23" s="186">
        <f t="shared" si="16"/>
        <v>0</v>
      </c>
      <c r="K23" s="186">
        <f t="shared" ref="K23" si="19">SUM(K21:K22)</f>
        <v>232</v>
      </c>
      <c r="L23" s="186">
        <f t="shared" ref="L23:M23" si="20">SUM(L21:L22)</f>
        <v>0</v>
      </c>
      <c r="M23" s="186">
        <f t="shared" si="20"/>
        <v>72</v>
      </c>
      <c r="N23" s="186">
        <f t="shared" si="16"/>
        <v>0</v>
      </c>
      <c r="O23" s="186">
        <f t="shared" si="16"/>
        <v>0</v>
      </c>
      <c r="P23" s="374">
        <f>SUM(B23:O23)</f>
        <v>16020</v>
      </c>
    </row>
    <row r="25" spans="1:19" ht="39" thickBot="1" x14ac:dyDescent="0.25">
      <c r="B25" s="304" t="s">
        <v>18</v>
      </c>
      <c r="C25" s="303" t="s">
        <v>195</v>
      </c>
      <c r="D25" s="369" t="s">
        <v>158</v>
      </c>
      <c r="E25" s="303" t="s">
        <v>164</v>
      </c>
      <c r="F25" s="303" t="s">
        <v>163</v>
      </c>
      <c r="G25" s="303" t="s">
        <v>49</v>
      </c>
      <c r="H25" s="303" t="s">
        <v>114</v>
      </c>
      <c r="I25" s="303" t="s">
        <v>194</v>
      </c>
      <c r="J25" s="303" t="s">
        <v>191</v>
      </c>
      <c r="K25" s="303" t="s">
        <v>196</v>
      </c>
      <c r="L25" s="303" t="s">
        <v>162</v>
      </c>
      <c r="M25" s="303" t="s">
        <v>211</v>
      </c>
      <c r="N25" s="303" t="s">
        <v>157</v>
      </c>
      <c r="O25" s="303" t="s">
        <v>140</v>
      </c>
      <c r="P25" s="303" t="s">
        <v>21</v>
      </c>
    </row>
    <row r="26" spans="1:19" ht="15" x14ac:dyDescent="0.25">
      <c r="A26" s="497" t="s">
        <v>143</v>
      </c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9"/>
    </row>
    <row r="27" spans="1:19" x14ac:dyDescent="0.2">
      <c r="A27" s="38" t="s">
        <v>22</v>
      </c>
      <c r="B27" s="12">
        <f>[3]Delta!$GT$15</f>
        <v>2</v>
      </c>
      <c r="C27" s="12">
        <f>'[3]Atlantic Southeast'!$GT$15</f>
        <v>0</v>
      </c>
      <c r="D27" s="12">
        <f>[3]Pinnacle!$GT$15</f>
        <v>0</v>
      </c>
      <c r="E27" s="12">
        <f>'[3]Sky West'!$GT$15</f>
        <v>47</v>
      </c>
      <c r="F27" s="12">
        <f>'[3]Go Jet'!$GT$15</f>
        <v>0</v>
      </c>
      <c r="G27" s="12">
        <f>'[3]Sun Country'!$GT$15</f>
        <v>0</v>
      </c>
      <c r="H27" s="12">
        <f>[3]Icelandair!$GT$15</f>
        <v>0</v>
      </c>
      <c r="I27" s="12">
        <f>[3]KLM!$GT$15</f>
        <v>0</v>
      </c>
      <c r="J27" s="12">
        <f>'[3]Air Georgian'!$GT$15</f>
        <v>0</v>
      </c>
      <c r="K27" s="12">
        <f>'[3]Sky Regional'!$GT$15</f>
        <v>0</v>
      </c>
      <c r="L27" s="12">
        <f>[3]Condor!$GT$15</f>
        <v>0</v>
      </c>
      <c r="M27" s="12">
        <f>'[3]Aer Lingus'!$GT$15</f>
        <v>0</v>
      </c>
      <c r="N27" s="12">
        <f>'[3]Air France'!$GT$15</f>
        <v>0</v>
      </c>
      <c r="O27" s="12">
        <f>'[3]Charter Misc'!$GT$15+[3]Ryan!$GT$15+[3]Omni!$GT$15</f>
        <v>0</v>
      </c>
      <c r="P27" s="371">
        <f>SUM(B27:O27)</f>
        <v>49</v>
      </c>
    </row>
    <row r="28" spans="1:19" x14ac:dyDescent="0.2">
      <c r="A28" s="38" t="s">
        <v>23</v>
      </c>
      <c r="B28" s="12">
        <f>[3]Delta!$GT$16</f>
        <v>0</v>
      </c>
      <c r="C28" s="12">
        <f>'[3]Atlantic Southeast'!$GT$16</f>
        <v>0</v>
      </c>
      <c r="D28" s="12">
        <f>[3]Pinnacle!$GT$16</f>
        <v>0</v>
      </c>
      <c r="E28" s="12">
        <f>'[3]Sky West'!$GT$16</f>
        <v>47</v>
      </c>
      <c r="F28" s="12">
        <f>'[3]Go Jet'!$GT$16</f>
        <v>0</v>
      </c>
      <c r="G28" s="12">
        <f>'[3]Sun Country'!$GT$16</f>
        <v>0</v>
      </c>
      <c r="H28" s="12">
        <f>[3]Icelandair!$GT$16</f>
        <v>0</v>
      </c>
      <c r="I28" s="12">
        <f>[3]KLM!$GT$16</f>
        <v>0</v>
      </c>
      <c r="J28" s="12">
        <f>'[3]Air Georgian'!$GT$16</f>
        <v>0</v>
      </c>
      <c r="K28" s="12">
        <f>'[3]Sky Regional'!$GT$16</f>
        <v>0</v>
      </c>
      <c r="L28" s="12">
        <f>[3]Condor!$GT$16</f>
        <v>0</v>
      </c>
      <c r="M28" s="12">
        <f>'[3]Aer Lingus'!$GT$16</f>
        <v>0</v>
      </c>
      <c r="N28" s="12">
        <f>'[3]Air France'!$GT$16</f>
        <v>0</v>
      </c>
      <c r="O28" s="12">
        <f>'[3]Charter Misc'!$GT$16+[3]Ryan!$GT$16+[3]Omni!$GT$16</f>
        <v>0</v>
      </c>
      <c r="P28" s="371">
        <f>SUM(B28:O28)</f>
        <v>47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1"/>
    </row>
    <row r="30" spans="1:19" ht="15.75" thickBot="1" x14ac:dyDescent="0.3">
      <c r="A30" s="39" t="s">
        <v>28</v>
      </c>
      <c r="B30" s="260">
        <f t="shared" ref="B30:J30" si="21">SUM(B27:B28)</f>
        <v>2</v>
      </c>
      <c r="C30" s="260">
        <f t="shared" si="21"/>
        <v>0</v>
      </c>
      <c r="D30" s="260">
        <f t="shared" si="21"/>
        <v>0</v>
      </c>
      <c r="E30" s="260">
        <f>SUM(E27:E28)</f>
        <v>94</v>
      </c>
      <c r="F30" s="260">
        <f>SUM(F27:F28)</f>
        <v>0</v>
      </c>
      <c r="G30" s="260">
        <f t="shared" si="21"/>
        <v>0</v>
      </c>
      <c r="H30" s="260">
        <f t="shared" si="21"/>
        <v>0</v>
      </c>
      <c r="I30" s="260">
        <f t="shared" ref="I30" si="22">SUM(I27:I28)</f>
        <v>0</v>
      </c>
      <c r="J30" s="260">
        <f t="shared" si="21"/>
        <v>0</v>
      </c>
      <c r="K30" s="260">
        <f t="shared" ref="K30" si="23">SUM(K27:K28)</f>
        <v>0</v>
      </c>
      <c r="L30" s="260">
        <f>SUM(L27:L28)</f>
        <v>0</v>
      </c>
      <c r="M30" s="260">
        <f>SUM(M27:M28)</f>
        <v>0</v>
      </c>
      <c r="N30" s="260">
        <f>SUM(N27:N28)</f>
        <v>0</v>
      </c>
      <c r="O30" s="260">
        <f>SUM(O27:O28)</f>
        <v>0</v>
      </c>
      <c r="P30" s="417">
        <f>SUM(B30:O30)</f>
        <v>96</v>
      </c>
    </row>
    <row r="31" spans="1:19" ht="15" x14ac:dyDescent="0.25">
      <c r="A31" s="261"/>
    </row>
    <row r="32" spans="1:19" ht="39" thickBot="1" x14ac:dyDescent="0.25">
      <c r="B32" s="304" t="s">
        <v>18</v>
      </c>
      <c r="C32" s="303" t="s">
        <v>195</v>
      </c>
      <c r="D32" s="369" t="s">
        <v>158</v>
      </c>
      <c r="E32" s="303" t="s">
        <v>164</v>
      </c>
      <c r="F32" s="303" t="s">
        <v>163</v>
      </c>
      <c r="G32" s="303" t="s">
        <v>49</v>
      </c>
      <c r="H32" s="303" t="s">
        <v>114</v>
      </c>
      <c r="I32" s="303" t="s">
        <v>194</v>
      </c>
      <c r="J32" s="303" t="s">
        <v>191</v>
      </c>
      <c r="K32" s="303" t="s">
        <v>196</v>
      </c>
      <c r="L32" s="303" t="s">
        <v>162</v>
      </c>
      <c r="M32" s="303" t="s">
        <v>211</v>
      </c>
      <c r="N32" s="303" t="s">
        <v>157</v>
      </c>
      <c r="O32" s="303" t="s">
        <v>140</v>
      </c>
      <c r="P32" s="303" t="s">
        <v>21</v>
      </c>
    </row>
    <row r="33" spans="1:16" ht="15" x14ac:dyDescent="0.25">
      <c r="A33" s="500" t="s">
        <v>144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2"/>
    </row>
    <row r="34" spans="1:16" x14ac:dyDescent="0.2">
      <c r="A34" s="38" t="s">
        <v>22</v>
      </c>
      <c r="B34" s="12">
        <f>SUM([3]Delta!$GP$15:$GT$15)</f>
        <v>1630</v>
      </c>
      <c r="C34" s="12">
        <f>SUM('[3]Atlantic Southeast'!$GP$15:$GT$15)</f>
        <v>0</v>
      </c>
      <c r="D34" s="12">
        <f>SUM([3]Pinnacle!$GP$15:$GT$15)</f>
        <v>230</v>
      </c>
      <c r="E34" s="12">
        <f>SUM('[3]Sky West'!$GP$15:$GT$15)</f>
        <v>817</v>
      </c>
      <c r="F34" s="12">
        <f>SUM('[3]Go Jet'!$GP$15:$GT$15)</f>
        <v>0</v>
      </c>
      <c r="G34" s="12">
        <f>SUM('[3]Sun Country'!$GP$15:$GT$15)</f>
        <v>618</v>
      </c>
      <c r="H34" s="12">
        <f>SUM([3]Icelandair!$GP$15:$GT$15)</f>
        <v>9</v>
      </c>
      <c r="I34" s="12">
        <f>SUM([3]KLM!$GP$15:$GT$15)</f>
        <v>40</v>
      </c>
      <c r="J34" s="12">
        <f>SUM('[3]Air Georgian'!$GP$15:$GT$15)</f>
        <v>0</v>
      </c>
      <c r="K34" s="12">
        <f>SUM('[3]Sky Regional'!$GP$15:$GT$15)</f>
        <v>195</v>
      </c>
      <c r="L34" s="12">
        <f>SUM([3]Condor!$GP$15:$GT$15)</f>
        <v>0</v>
      </c>
      <c r="M34" s="12">
        <f>SUM('[3]Aer Lingus'!$GP$15:$GT$15)</f>
        <v>44</v>
      </c>
      <c r="N34" s="12">
        <f>SUM('[3]Air France'!$GP$15:$GT$15)</f>
        <v>0</v>
      </c>
      <c r="O34" s="12">
        <f>SUM('[3]Charter Misc'!$GP$15:$GT$15)+SUM([3]Ryan!$GP$15:$GT$15)+SUM([3]Omni!$GP$15:$GT$15)</f>
        <v>1</v>
      </c>
      <c r="P34" s="371">
        <f>SUM(B34:O34)</f>
        <v>3584</v>
      </c>
    </row>
    <row r="35" spans="1:16" x14ac:dyDescent="0.2">
      <c r="A35" s="38" t="s">
        <v>23</v>
      </c>
      <c r="B35" s="12">
        <f>SUM([3]Delta!$GP$16:$GT$16)</f>
        <v>1619</v>
      </c>
      <c r="C35" s="12">
        <f>SUM('[3]Atlantic Southeast'!$GP$16:$GT$16)</f>
        <v>0</v>
      </c>
      <c r="D35" s="12">
        <f>SUM([3]Pinnacle!$GP$16:$GT$16)</f>
        <v>223</v>
      </c>
      <c r="E35" s="12">
        <f>SUM('[3]Sky West'!$GP$16:$GT$16)</f>
        <v>816</v>
      </c>
      <c r="F35" s="12">
        <f>SUM('[3]Go Jet'!$GP$16:$GT$16)</f>
        <v>0</v>
      </c>
      <c r="G35" s="12">
        <f>SUM('[3]Sun Country'!$GP$16:$GT$16)</f>
        <v>624</v>
      </c>
      <c r="H35" s="12">
        <f>SUM([3]Icelandair!$GP$16:$GT$16)</f>
        <v>9</v>
      </c>
      <c r="I35" s="12">
        <f>SUM([3]KLM!$GP$16:$GT$16)</f>
        <v>40</v>
      </c>
      <c r="J35" s="12">
        <f>SUM('[3]Air Georgian'!$GP$16:$GT$16)</f>
        <v>0</v>
      </c>
      <c r="K35" s="12">
        <f>SUM('[3]Sky Regional'!$GP$16:$GT$16)</f>
        <v>195</v>
      </c>
      <c r="L35" s="12">
        <f>SUM([3]Condor!$GP$16:$GT$16)</f>
        <v>0</v>
      </c>
      <c r="M35" s="12">
        <f>SUM('[3]Aer Lingus'!$GP$16:$GT$16)</f>
        <v>44</v>
      </c>
      <c r="N35" s="12">
        <f>SUM('[3]Air France'!$GP$16:$GT$16)</f>
        <v>0</v>
      </c>
      <c r="O35" s="12">
        <f>SUM('[3]Charter Misc'!$GP$16:$GT$16)+SUM([3]Ryan!$GP$16:$GT$16)+SUM([3]Omni!$GP$16:$GT$16)</f>
        <v>0</v>
      </c>
      <c r="P35" s="371">
        <f>SUM(B35:O35)</f>
        <v>3570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1"/>
    </row>
    <row r="37" spans="1:16" ht="15.75" thickBot="1" x14ac:dyDescent="0.3">
      <c r="A37" s="39" t="s">
        <v>28</v>
      </c>
      <c r="B37" s="260">
        <f t="shared" ref="B37:J37" si="24">+SUM(B34:B35)</f>
        <v>3249</v>
      </c>
      <c r="C37" s="260">
        <f t="shared" si="24"/>
        <v>0</v>
      </c>
      <c r="D37" s="260">
        <f t="shared" si="24"/>
        <v>453</v>
      </c>
      <c r="E37" s="260">
        <f>+SUM(E34:E35)</f>
        <v>1633</v>
      </c>
      <c r="F37" s="260">
        <f>+SUM(F34:F35)</f>
        <v>0</v>
      </c>
      <c r="G37" s="260">
        <f t="shared" si="24"/>
        <v>1242</v>
      </c>
      <c r="H37" s="260">
        <f t="shared" si="24"/>
        <v>18</v>
      </c>
      <c r="I37" s="260">
        <f t="shared" ref="I37" si="25">+SUM(I34:I35)</f>
        <v>80</v>
      </c>
      <c r="J37" s="260">
        <f t="shared" si="24"/>
        <v>0</v>
      </c>
      <c r="K37" s="260">
        <f t="shared" ref="K37" si="26">+SUM(K34:K35)</f>
        <v>390</v>
      </c>
      <c r="L37" s="260">
        <f>+SUM(L34:L35)</f>
        <v>0</v>
      </c>
      <c r="M37" s="260">
        <f>+SUM(M34:M35)</f>
        <v>88</v>
      </c>
      <c r="N37" s="260">
        <f>+SUM(N34:N35)</f>
        <v>0</v>
      </c>
      <c r="O37" s="260">
        <f>+SUM(O34:O35)</f>
        <v>1</v>
      </c>
      <c r="P37" s="417">
        <f>SUM(B37:O37)</f>
        <v>7154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&amp;"Arial,Bold"May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7"/>
  <sheetViews>
    <sheetView zoomScaleNormal="100" zoomScaleSheetLayoutView="85" workbookViewId="0">
      <pane ySplit="2" topLeftCell="A54" activePane="bottomLeft" state="frozen"/>
      <selection pane="bottomLeft" activeCell="D8" sqref="D8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.140625" style="2" bestFit="1" customWidth="1"/>
    <col min="5" max="5" width="9" style="3" bestFit="1" customWidth="1"/>
    <col min="6" max="6" width="8.7109375" style="13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43" bestFit="1" customWidth="1"/>
    <col min="12" max="13" width="14" style="2" bestFit="1" customWidth="1"/>
    <col min="14" max="14" width="11.7109375" style="3" customWidth="1"/>
    <col min="15" max="15" width="9.7109375" bestFit="1" customWidth="1"/>
    <col min="16" max="16" width="10.7109375" bestFit="1" customWidth="1"/>
    <col min="17" max="17" width="9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4257812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13" t="s">
        <v>133</v>
      </c>
      <c r="B1" s="514"/>
      <c r="C1" s="362" t="s">
        <v>217</v>
      </c>
      <c r="D1" s="363" t="s">
        <v>205</v>
      </c>
      <c r="E1" s="175" t="s">
        <v>96</v>
      </c>
      <c r="F1" s="174" t="s">
        <v>218</v>
      </c>
      <c r="G1" s="363" t="s">
        <v>206</v>
      </c>
      <c r="H1" s="173" t="s">
        <v>97</v>
      </c>
      <c r="I1" s="175" t="s">
        <v>221</v>
      </c>
      <c r="J1" s="519" t="s">
        <v>137</v>
      </c>
      <c r="K1" s="520"/>
      <c r="L1" s="360" t="s">
        <v>219</v>
      </c>
      <c r="M1" s="361" t="s">
        <v>207</v>
      </c>
      <c r="N1" s="230" t="s">
        <v>97</v>
      </c>
      <c r="O1" s="339" t="s">
        <v>220</v>
      </c>
      <c r="P1" s="176" t="s">
        <v>208</v>
      </c>
      <c r="Q1" s="336" t="s">
        <v>97</v>
      </c>
      <c r="R1" s="340" t="s">
        <v>221</v>
      </c>
      <c r="S1" s="503" t="s">
        <v>225</v>
      </c>
      <c r="T1" s="504"/>
      <c r="U1" s="434" t="s">
        <v>219</v>
      </c>
      <c r="V1" s="435" t="s">
        <v>207</v>
      </c>
      <c r="W1" s="436" t="s">
        <v>97</v>
      </c>
      <c r="X1" s="437" t="s">
        <v>220</v>
      </c>
      <c r="Y1" s="438" t="s">
        <v>208</v>
      </c>
      <c r="Z1" s="439" t="s">
        <v>97</v>
      </c>
      <c r="AA1" s="440" t="s">
        <v>221</v>
      </c>
    </row>
    <row r="2" spans="1:27" s="9" customFormat="1" ht="13.5" customHeight="1" thickBot="1" x14ac:dyDescent="0.25">
      <c r="A2" s="515">
        <v>43952</v>
      </c>
      <c r="B2" s="516"/>
      <c r="C2" s="517" t="s">
        <v>9</v>
      </c>
      <c r="D2" s="518"/>
      <c r="E2" s="518"/>
      <c r="F2" s="518"/>
      <c r="G2" s="518"/>
      <c r="H2" s="518"/>
      <c r="I2" s="310"/>
      <c r="J2" s="515">
        <f>+A2</f>
        <v>43952</v>
      </c>
      <c r="K2" s="516"/>
      <c r="L2" s="510" t="s">
        <v>139</v>
      </c>
      <c r="M2" s="511"/>
      <c r="N2" s="511"/>
      <c r="O2" s="511"/>
      <c r="P2" s="511"/>
      <c r="Q2" s="511"/>
      <c r="R2" s="512"/>
      <c r="S2" s="505">
        <f>+J2</f>
        <v>43952</v>
      </c>
      <c r="T2" s="506"/>
      <c r="U2" s="507" t="s">
        <v>224</v>
      </c>
      <c r="V2" s="508"/>
      <c r="W2" s="508"/>
      <c r="X2" s="508"/>
      <c r="Y2" s="508"/>
      <c r="Z2" s="508"/>
      <c r="AA2" s="509"/>
    </row>
    <row r="3" spans="1:27" x14ac:dyDescent="0.2">
      <c r="A3" s="231"/>
      <c r="B3" s="232"/>
      <c r="C3" s="233"/>
      <c r="D3" s="234"/>
      <c r="E3" s="235"/>
      <c r="F3" s="287"/>
      <c r="G3" s="234"/>
      <c r="H3" s="334"/>
      <c r="I3" s="235"/>
      <c r="J3" s="236"/>
      <c r="K3" s="232"/>
      <c r="L3" s="242"/>
      <c r="N3" s="58"/>
      <c r="O3" s="231"/>
      <c r="P3" s="237"/>
      <c r="Q3" s="237"/>
      <c r="R3" s="232"/>
      <c r="S3" s="236"/>
      <c r="T3" s="232"/>
      <c r="U3" s="242"/>
      <c r="V3" s="2"/>
      <c r="W3" s="58"/>
      <c r="X3" s="231"/>
      <c r="Y3" s="237"/>
      <c r="Z3" s="237"/>
      <c r="AA3" s="232"/>
    </row>
    <row r="4" spans="1:27" x14ac:dyDescent="0.2">
      <c r="A4" s="238" t="s">
        <v>211</v>
      </c>
      <c r="B4" s="33"/>
      <c r="C4" s="239">
        <f>'[3]Aer Lingus'!$GT$19</f>
        <v>0</v>
      </c>
      <c r="D4" s="115">
        <f>'[3]Aer Lingus'!$GF$19</f>
        <v>0</v>
      </c>
      <c r="E4" s="241" t="e">
        <f>(C4-D4)/D4</f>
        <v>#DIV/0!</v>
      </c>
      <c r="F4" s="115">
        <f>SUM('[3]Aer Lingus'!$GP$19:$GT$19)</f>
        <v>88</v>
      </c>
      <c r="G4" s="115">
        <f>SUM('[3]Aer Lingus'!$GB$19:$GF$19)</f>
        <v>0</v>
      </c>
      <c r="H4" s="240" t="e">
        <f>(F4-G4)/G4</f>
        <v>#DIV/0!</v>
      </c>
      <c r="I4" s="241">
        <f>F4/$F$68</f>
        <v>8.8178119802000045E-4</v>
      </c>
      <c r="J4" s="238" t="s">
        <v>211</v>
      </c>
      <c r="K4" s="33"/>
      <c r="L4" s="239">
        <f>'[3]Aer Lingus'!$GT$41</f>
        <v>0</v>
      </c>
      <c r="M4" s="115">
        <f>'[3]Aer Lingus'!$GF$41</f>
        <v>0</v>
      </c>
      <c r="N4" s="241" t="e">
        <f>(L4-M4)/M4</f>
        <v>#DIV/0!</v>
      </c>
      <c r="O4" s="239">
        <f>SUM('[3]Aer Lingus'!$GP$41:$GT$41)</f>
        <v>9622</v>
      </c>
      <c r="P4" s="115">
        <f>SUM('[3]Aer Lingus'!$GB$41:$GF$41)</f>
        <v>0</v>
      </c>
      <c r="Q4" s="240" t="e">
        <f>(O4-P4)/P4</f>
        <v>#DIV/0!</v>
      </c>
      <c r="R4" s="241">
        <f>O4/$O$68</f>
        <v>1.2505483008360167E-3</v>
      </c>
      <c r="S4" s="238" t="s">
        <v>211</v>
      </c>
      <c r="T4" s="33"/>
      <c r="U4" s="239">
        <f>'[3]Aer Lingus'!$GT$64</f>
        <v>0</v>
      </c>
      <c r="V4" s="115">
        <f>'[3]Aer Lingus'!$GF$64</f>
        <v>0</v>
      </c>
      <c r="W4" s="241" t="e">
        <f>(U4-V4)/V4</f>
        <v>#DIV/0!</v>
      </c>
      <c r="X4" s="239">
        <f>SUM('[3]Aer Lingus'!$GP$64:$GT$64)</f>
        <v>10341</v>
      </c>
      <c r="Y4" s="115">
        <f>SUM('[3]Aer Lingus'!$GB$64:$GF$64)</f>
        <v>0</v>
      </c>
      <c r="Z4" s="240" t="e">
        <f>(X4-Y4)/Y4</f>
        <v>#DIV/0!</v>
      </c>
      <c r="AA4" s="241">
        <f>X4/$X$68</f>
        <v>3.7244715138436997E-4</v>
      </c>
    </row>
    <row r="5" spans="1:27" x14ac:dyDescent="0.2">
      <c r="A5" s="31"/>
      <c r="B5" s="33"/>
      <c r="C5" s="242"/>
      <c r="D5" s="364"/>
      <c r="E5" s="58"/>
      <c r="F5" s="365"/>
      <c r="G5" s="364"/>
      <c r="H5" s="366"/>
      <c r="I5" s="58"/>
      <c r="J5" s="367"/>
      <c r="K5" s="33"/>
      <c r="L5" s="242"/>
      <c r="N5" s="58"/>
      <c r="O5" s="31"/>
      <c r="P5" s="368"/>
      <c r="Q5" s="368"/>
      <c r="R5" s="33"/>
      <c r="S5" s="367"/>
      <c r="T5" s="33"/>
      <c r="U5" s="242"/>
      <c r="V5" s="2"/>
      <c r="W5" s="58"/>
      <c r="X5" s="31"/>
      <c r="Y5" s="368"/>
      <c r="Z5" s="368"/>
      <c r="AA5" s="33"/>
    </row>
    <row r="6" spans="1:27" ht="14.1" customHeight="1" x14ac:dyDescent="0.2">
      <c r="A6" s="238" t="s">
        <v>99</v>
      </c>
      <c r="B6" s="33"/>
      <c r="C6" s="239">
        <f>SUM(C7:C9)</f>
        <v>0</v>
      </c>
      <c r="D6" s="115">
        <f>SUM(D7:D9)</f>
        <v>184</v>
      </c>
      <c r="E6" s="241">
        <f>(C6-D6)/D6</f>
        <v>-1</v>
      </c>
      <c r="F6" s="239">
        <f>SUM(F7:F9)</f>
        <v>390</v>
      </c>
      <c r="G6" s="115">
        <f>SUM(G7:G9)</f>
        <v>800</v>
      </c>
      <c r="H6" s="240">
        <f>(F6-G6)/G6</f>
        <v>-0.51249999999999996</v>
      </c>
      <c r="I6" s="241">
        <f>F6/$F$68</f>
        <v>3.9078939457704567E-3</v>
      </c>
      <c r="J6" s="238" t="s">
        <v>99</v>
      </c>
      <c r="K6" s="33"/>
      <c r="L6" s="239">
        <f>SUM(L7:L9)</f>
        <v>0</v>
      </c>
      <c r="M6" s="115">
        <f>SUM(M7:M9)</f>
        <v>10020</v>
      </c>
      <c r="N6" s="241">
        <f>(L6-M6)/M6</f>
        <v>-1</v>
      </c>
      <c r="O6" s="239">
        <f>SUM(O7:O9)</f>
        <v>16941</v>
      </c>
      <c r="P6" s="115">
        <f>SUM(P7:P9)</f>
        <v>43100</v>
      </c>
      <c r="Q6" s="240">
        <f>(O6-P6)/P6</f>
        <v>-0.60693735498839907</v>
      </c>
      <c r="R6" s="241">
        <f>O6/$O$68</f>
        <v>2.201781206034396E-3</v>
      </c>
      <c r="S6" s="238" t="s">
        <v>99</v>
      </c>
      <c r="T6" s="33"/>
      <c r="U6" s="239">
        <f>SUM(U7:U9)</f>
        <v>0</v>
      </c>
      <c r="V6" s="115">
        <f>SUM(V7:V9)</f>
        <v>5940</v>
      </c>
      <c r="W6" s="241">
        <f>(U6-V6)/V6</f>
        <v>-1</v>
      </c>
      <c r="X6" s="239">
        <f>SUM(X7:X9)</f>
        <v>4266</v>
      </c>
      <c r="Y6" s="115">
        <f>SUM(Y7:Y9)</f>
        <v>18906</v>
      </c>
      <c r="Z6" s="240">
        <f>(X6-Y6)/Y6</f>
        <v>-0.77435734687400826</v>
      </c>
      <c r="AA6" s="241">
        <f>X6/$X$68</f>
        <v>1.5364660553193331E-4</v>
      </c>
    </row>
    <row r="7" spans="1:27" ht="14.1" customHeight="1" x14ac:dyDescent="0.2">
      <c r="A7" s="238"/>
      <c r="B7" s="295" t="s">
        <v>99</v>
      </c>
      <c r="C7" s="242">
        <f>+[3]AirCanada!$GT$19</f>
        <v>0</v>
      </c>
      <c r="D7" s="2">
        <f>+[3]AirCanada!$GF$19</f>
        <v>0</v>
      </c>
      <c r="E7" s="58" t="e">
        <f>(C7-D7)/D7</f>
        <v>#DIV/0!</v>
      </c>
      <c r="F7" s="192">
        <f>SUM([3]AirCanada!$GP$19:$GT$19)</f>
        <v>0</v>
      </c>
      <c r="G7" s="192">
        <f>SUM([3]AirCanada!$GB$19:$GF$19)</f>
        <v>0</v>
      </c>
      <c r="H7" s="300" t="e">
        <f>(F7-G7)/G7</f>
        <v>#DIV/0!</v>
      </c>
      <c r="I7" s="58">
        <f>F7/$F$68</f>
        <v>0</v>
      </c>
      <c r="J7" s="238"/>
      <c r="K7" s="295" t="s">
        <v>99</v>
      </c>
      <c r="L7" s="299">
        <f>+[3]AirCanada!$GT$41</f>
        <v>0</v>
      </c>
      <c r="M7" s="192">
        <f>+[3]AirCanada!$GF$41</f>
        <v>0</v>
      </c>
      <c r="N7" s="301" t="e">
        <f>(L7-M7)/M7</f>
        <v>#DIV/0!</v>
      </c>
      <c r="O7" s="299">
        <f>SUM([3]AirCanada!$GP$41:$GT$41)</f>
        <v>0</v>
      </c>
      <c r="P7" s="192">
        <f>SUM([3]AirCanada!$GB$41:$GF$41)</f>
        <v>0</v>
      </c>
      <c r="Q7" s="300" t="e">
        <f>(O7-P7)/P7</f>
        <v>#DIV/0!</v>
      </c>
      <c r="R7" s="301">
        <f>O7/$O$68</f>
        <v>0</v>
      </c>
      <c r="S7" s="238"/>
      <c r="T7" s="295" t="s">
        <v>99</v>
      </c>
      <c r="U7" s="299">
        <f>+[3]AirCanada!$GT$64</f>
        <v>0</v>
      </c>
      <c r="V7" s="192">
        <f>+[3]AirCanada!$GF$64</f>
        <v>0</v>
      </c>
      <c r="W7" s="301" t="e">
        <f>(U7-V7)/V7</f>
        <v>#DIV/0!</v>
      </c>
      <c r="X7" s="299">
        <f>SUM([3]AirCanada!$GP$64:$GT$64)</f>
        <v>0</v>
      </c>
      <c r="Y7" s="192">
        <f>SUM([3]AirCanada!$GB$64:$GF$64)</f>
        <v>0</v>
      </c>
      <c r="Z7" s="300" t="e">
        <f>(X7-Y7)/Y7</f>
        <v>#DIV/0!</v>
      </c>
      <c r="AA7" s="301">
        <f>X7/$X$68</f>
        <v>0</v>
      </c>
    </row>
    <row r="8" spans="1:27" ht="14.1" customHeight="1" x14ac:dyDescent="0.2">
      <c r="A8" s="238"/>
      <c r="B8" s="295" t="s">
        <v>165</v>
      </c>
      <c r="C8" s="242">
        <f>'[3]Air Georgian'!$GT$19</f>
        <v>0</v>
      </c>
      <c r="D8" s="2">
        <f>'[3]Air Georgian'!$GF$19</f>
        <v>0</v>
      </c>
      <c r="E8" s="58" t="e">
        <f>(C8-D8)/D8</f>
        <v>#DIV/0!</v>
      </c>
      <c r="F8" s="192">
        <f>SUM('[3]Air Georgian'!$GP$19:$GT$19)</f>
        <v>0</v>
      </c>
      <c r="G8" s="192">
        <f>SUM('[3]Air Georgian'!$GB$19:$GF$19)</f>
        <v>0</v>
      </c>
      <c r="H8" s="300" t="e">
        <f>(F8-G8)/G8</f>
        <v>#DIV/0!</v>
      </c>
      <c r="I8" s="58">
        <f>F8/$F$68</f>
        <v>0</v>
      </c>
      <c r="J8" s="238"/>
      <c r="K8" s="295" t="s">
        <v>165</v>
      </c>
      <c r="L8" s="242">
        <f>'[3]Air Georgian'!$GT$41</f>
        <v>0</v>
      </c>
      <c r="M8" s="2">
        <f>'[3]Air Georgian'!$GF$41</f>
        <v>0</v>
      </c>
      <c r="N8" s="58" t="e">
        <f>(L8-M8)/M8</f>
        <v>#DIV/0!</v>
      </c>
      <c r="O8" s="242">
        <f>SUM('[3]Air Georgian'!$GP$41:$GT$41)</f>
        <v>0</v>
      </c>
      <c r="P8" s="2">
        <f>SUM('[3]Air Georgian'!$GB$41:$GF$41)</f>
        <v>0</v>
      </c>
      <c r="Q8" s="3" t="e">
        <f>(O8-P8)/P8</f>
        <v>#DIV/0!</v>
      </c>
      <c r="R8" s="58">
        <f>O8/$O$68</f>
        <v>0</v>
      </c>
      <c r="S8" s="238"/>
      <c r="T8" s="295" t="s">
        <v>165</v>
      </c>
      <c r="U8" s="242">
        <f>'[3]Air Georgian'!$GT$64</f>
        <v>0</v>
      </c>
      <c r="V8" s="2">
        <f>'[3]Air Georgian'!$GF$64</f>
        <v>0</v>
      </c>
      <c r="W8" s="58" t="e">
        <f>(U8-V8)/V8</f>
        <v>#DIV/0!</v>
      </c>
      <c r="X8" s="242">
        <f>SUM('[3]Air Georgian'!$GP$64:$GT$64)</f>
        <v>0</v>
      </c>
      <c r="Y8" s="2">
        <f>SUM('[3]Air Georgian'!$GB$64:$GF$64)</f>
        <v>0</v>
      </c>
      <c r="Z8" s="3" t="e">
        <f>(X8-Y8)/Y8</f>
        <v>#DIV/0!</v>
      </c>
      <c r="AA8" s="58">
        <f>X8/$X$68</f>
        <v>0</v>
      </c>
    </row>
    <row r="9" spans="1:27" ht="14.1" customHeight="1" x14ac:dyDescent="0.2">
      <c r="A9" s="238"/>
      <c r="B9" s="295" t="s">
        <v>192</v>
      </c>
      <c r="C9" s="242">
        <f>'[3]Sky Regional'!$GT$19</f>
        <v>0</v>
      </c>
      <c r="D9" s="2">
        <f>'[3]Sky Regional'!$GF$19</f>
        <v>184</v>
      </c>
      <c r="E9" s="58">
        <f>(C9-D9)/D9</f>
        <v>-1</v>
      </c>
      <c r="F9" s="192">
        <f>SUM('[3]Sky Regional'!$GP$19:$GT$19)</f>
        <v>390</v>
      </c>
      <c r="G9" s="192">
        <f>SUM('[3]Sky Regional'!$GB$19:$GF$19)</f>
        <v>800</v>
      </c>
      <c r="H9" s="300">
        <f>(F9-G9)/G9</f>
        <v>-0.51249999999999996</v>
      </c>
      <c r="I9" s="58">
        <f>F9/$F$68</f>
        <v>3.9078939457704567E-3</v>
      </c>
      <c r="J9" s="238"/>
      <c r="K9" s="295" t="s">
        <v>192</v>
      </c>
      <c r="L9" s="242">
        <f>'[3]Sky Regional'!$GT$41</f>
        <v>0</v>
      </c>
      <c r="M9" s="2">
        <f>'[3]Sky Regional'!$GF$41</f>
        <v>10020</v>
      </c>
      <c r="N9" s="58">
        <f>(L9-M9)/M9</f>
        <v>-1</v>
      </c>
      <c r="O9" s="242">
        <f>SUM('[3]Sky Regional'!$GP$41:$GT$41)</f>
        <v>16941</v>
      </c>
      <c r="P9" s="2">
        <f>SUM('[3]Sky Regional'!$GB$41:$GF$41)</f>
        <v>43100</v>
      </c>
      <c r="Q9" s="3">
        <f>(O9-P9)/P9</f>
        <v>-0.60693735498839907</v>
      </c>
      <c r="R9" s="58">
        <f>O9/$O$68</f>
        <v>2.201781206034396E-3</v>
      </c>
      <c r="S9" s="238"/>
      <c r="T9" s="295" t="s">
        <v>192</v>
      </c>
      <c r="U9" s="242">
        <f>'[3]Sky Regional'!$GT$64</f>
        <v>0</v>
      </c>
      <c r="V9" s="2">
        <f>'[3]Sky Regional'!$GF$64</f>
        <v>5940</v>
      </c>
      <c r="W9" s="58">
        <f>(U9-V9)/V9</f>
        <v>-1</v>
      </c>
      <c r="X9" s="242">
        <f>SUM('[3]Sky Regional'!$GP$64:$GT$64)</f>
        <v>4266</v>
      </c>
      <c r="Y9" s="2">
        <f>SUM('[3]Sky Regional'!$GB$64:$GF$64)</f>
        <v>18906</v>
      </c>
      <c r="Z9" s="3">
        <f>(X9-Y9)/Y9</f>
        <v>-0.77435734687400826</v>
      </c>
      <c r="AA9" s="58">
        <f>X9/$X$68</f>
        <v>1.5364660553193331E-4</v>
      </c>
    </row>
    <row r="10" spans="1:27" ht="14.1" customHeight="1" x14ac:dyDescent="0.2">
      <c r="A10" s="238"/>
      <c r="B10" s="33"/>
      <c r="C10" s="239"/>
      <c r="D10" s="115"/>
      <c r="E10" s="241"/>
      <c r="F10" s="115"/>
      <c r="G10" s="115"/>
      <c r="H10" s="240"/>
      <c r="I10" s="241"/>
      <c r="J10" s="238"/>
      <c r="K10" s="33"/>
      <c r="L10" s="242"/>
      <c r="N10" s="58"/>
      <c r="O10" s="242"/>
      <c r="P10" s="2"/>
      <c r="Q10" s="3"/>
      <c r="R10" s="58"/>
      <c r="S10" s="238"/>
      <c r="T10" s="33"/>
      <c r="U10" s="242"/>
      <c r="V10" s="2"/>
      <c r="W10" s="58"/>
      <c r="X10" s="242"/>
      <c r="Y10" s="2"/>
      <c r="Z10" s="3"/>
      <c r="AA10" s="58"/>
    </row>
    <row r="11" spans="1:27" ht="14.1" customHeight="1" x14ac:dyDescent="0.2">
      <c r="A11" s="238" t="s">
        <v>179</v>
      </c>
      <c r="B11" s="33"/>
      <c r="C11" s="239">
        <f>'[3]Air Choice One'!$GT$19</f>
        <v>188</v>
      </c>
      <c r="D11" s="115">
        <f>'[3]Air Choice One'!$GF$19</f>
        <v>218</v>
      </c>
      <c r="E11" s="241">
        <f>(C11-D11)/D11</f>
        <v>-0.13761467889908258</v>
      </c>
      <c r="F11" s="115">
        <f>SUM('[3]Air Choice One'!$GP$19:$GT$19)</f>
        <v>930</v>
      </c>
      <c r="G11" s="115">
        <f>SUM('[3]Air Choice One'!$GB$19:$GF$19)</f>
        <v>984</v>
      </c>
      <c r="H11" s="240">
        <f>(F11-G11)/G11</f>
        <v>-5.4878048780487805E-2</v>
      </c>
      <c r="I11" s="241">
        <f>F11/$F$68</f>
        <v>9.3188240245295501E-3</v>
      </c>
      <c r="J11" s="238" t="s">
        <v>179</v>
      </c>
      <c r="K11" s="33"/>
      <c r="L11" s="239">
        <f>'[3]Air Choice One'!$GT$41</f>
        <v>180</v>
      </c>
      <c r="M11" s="115">
        <f>'[3]Air Choice One'!$GF$41</f>
        <v>917</v>
      </c>
      <c r="N11" s="241">
        <f>(L11-M11)/M11</f>
        <v>-0.80370774263904032</v>
      </c>
      <c r="O11" s="239">
        <f>SUM('[3]Air Choice One'!$GP$41:$GT$41)</f>
        <v>2177</v>
      </c>
      <c r="P11" s="115">
        <f>SUM('[3]Air Choice One'!$GB$41:$GF$41)</f>
        <v>4018</v>
      </c>
      <c r="Q11" s="240">
        <f>(O11-P11)/P11</f>
        <v>-0.45818815331010454</v>
      </c>
      <c r="R11" s="241">
        <f>O11/$O$68</f>
        <v>2.8293947733527418E-4</v>
      </c>
      <c r="S11" s="238" t="s">
        <v>179</v>
      </c>
      <c r="T11" s="33"/>
      <c r="U11" s="239">
        <f>'[3]Air Choice One'!$GT$64</f>
        <v>0</v>
      </c>
      <c r="V11" s="115">
        <f>'[3]Air Choice One'!$GF$64</f>
        <v>0</v>
      </c>
      <c r="W11" s="241" t="e">
        <f>(U11-V11)/V11</f>
        <v>#DIV/0!</v>
      </c>
      <c r="X11" s="239">
        <f>SUM('[3]Air Choice One'!$GP$64:$GT$64)</f>
        <v>0</v>
      </c>
      <c r="Y11" s="115">
        <f>SUM('[3]Air Choice One'!$GB$64:$GF$64)</f>
        <v>0</v>
      </c>
      <c r="Z11" s="240" t="e">
        <f>(X11-Y11)/Y11</f>
        <v>#DIV/0!</v>
      </c>
      <c r="AA11" s="241">
        <f>X11/$X$68</f>
        <v>0</v>
      </c>
    </row>
    <row r="12" spans="1:27" ht="14.1" customHeight="1" x14ac:dyDescent="0.2">
      <c r="A12" s="238"/>
      <c r="B12" s="33"/>
      <c r="C12" s="239"/>
      <c r="D12" s="115"/>
      <c r="E12" s="241"/>
      <c r="F12" s="115"/>
      <c r="G12" s="115"/>
      <c r="H12" s="240"/>
      <c r="I12" s="241"/>
      <c r="J12" s="238"/>
      <c r="K12" s="33"/>
      <c r="L12" s="242"/>
      <c r="N12" s="58"/>
      <c r="O12" s="242"/>
      <c r="P12" s="2"/>
      <c r="Q12" s="3"/>
      <c r="R12" s="58"/>
      <c r="S12" s="238"/>
      <c r="T12" s="33"/>
      <c r="U12" s="242"/>
      <c r="V12" s="2"/>
      <c r="W12" s="58"/>
      <c r="X12" s="242"/>
      <c r="Y12" s="2"/>
      <c r="Z12" s="3"/>
      <c r="AA12" s="58"/>
    </row>
    <row r="13" spans="1:27" ht="14.1" customHeight="1" x14ac:dyDescent="0.2">
      <c r="A13" s="238" t="s">
        <v>157</v>
      </c>
      <c r="B13" s="33"/>
      <c r="C13" s="239">
        <f>'[3]Air France'!$GT$19</f>
        <v>0</v>
      </c>
      <c r="D13" s="115">
        <f>'[3]Air France'!$GF$19</f>
        <v>52</v>
      </c>
      <c r="E13" s="241">
        <f>(C13-D13)/D13</f>
        <v>-1</v>
      </c>
      <c r="F13" s="115">
        <f>SUM('[3]Air France'!$GP$19:$GT$19)</f>
        <v>0</v>
      </c>
      <c r="G13" s="115">
        <f>SUM('[3]Air France'!$GB$19:$GF$19)</f>
        <v>54</v>
      </c>
      <c r="H13" s="240">
        <f>(F13-G13)/G13</f>
        <v>-1</v>
      </c>
      <c r="I13" s="241">
        <f>F13/$F$68</f>
        <v>0</v>
      </c>
      <c r="J13" s="238" t="s">
        <v>157</v>
      </c>
      <c r="K13" s="33"/>
      <c r="L13" s="239">
        <f>'[3]Air France'!$GT$41</f>
        <v>0</v>
      </c>
      <c r="M13" s="115">
        <f>'[3]Air France'!$GF$41</f>
        <v>12001</v>
      </c>
      <c r="N13" s="241">
        <f>(L13-M13)/M13</f>
        <v>-1</v>
      </c>
      <c r="O13" s="239">
        <f>SUM('[3]Air France'!$GP$41:$GT$41)</f>
        <v>0</v>
      </c>
      <c r="P13" s="115">
        <f>SUM('[3]Air France'!$GB$41:$GF$41)</f>
        <v>12495</v>
      </c>
      <c r="Q13" s="240">
        <f>(O13-P13)/P13</f>
        <v>-1</v>
      </c>
      <c r="R13" s="241">
        <f>O13/$O$68</f>
        <v>0</v>
      </c>
      <c r="S13" s="238" t="s">
        <v>157</v>
      </c>
      <c r="T13" s="33"/>
      <c r="U13" s="239">
        <f>'[3]Air France'!$GT$64</f>
        <v>0</v>
      </c>
      <c r="V13" s="115">
        <f>'[3]Air France'!$GF$64</f>
        <v>323534</v>
      </c>
      <c r="W13" s="241">
        <f>(U13-V13)/V13</f>
        <v>-1</v>
      </c>
      <c r="X13" s="239">
        <f>SUM('[3]Air France'!$GP$64:$GT$64)</f>
        <v>0</v>
      </c>
      <c r="Y13" s="115">
        <f>SUM('[3]Air France'!$GB$64:$GF$64)</f>
        <v>323534</v>
      </c>
      <c r="Z13" s="240">
        <f>(X13-Y13)/Y13</f>
        <v>-1</v>
      </c>
      <c r="AA13" s="241">
        <f>X13/$X$68</f>
        <v>0</v>
      </c>
    </row>
    <row r="14" spans="1:27" ht="14.1" customHeight="1" x14ac:dyDescent="0.2">
      <c r="A14" s="238"/>
      <c r="B14" s="33"/>
      <c r="C14" s="239"/>
      <c r="D14" s="115"/>
      <c r="E14" s="241"/>
      <c r="F14" s="115"/>
      <c r="G14" s="115"/>
      <c r="H14" s="240"/>
      <c r="I14" s="241"/>
      <c r="J14" s="238"/>
      <c r="K14" s="33"/>
      <c r="L14" s="242"/>
      <c r="N14" s="58"/>
      <c r="O14" s="242"/>
      <c r="P14" s="2"/>
      <c r="Q14" s="3"/>
      <c r="R14" s="58"/>
      <c r="S14" s="238"/>
      <c r="T14" s="33"/>
      <c r="U14" s="242"/>
      <c r="V14" s="2"/>
      <c r="W14" s="58"/>
      <c r="X14" s="242"/>
      <c r="Y14" s="2"/>
      <c r="Z14" s="3"/>
      <c r="AA14" s="58"/>
    </row>
    <row r="15" spans="1:27" ht="14.1" customHeight="1" x14ac:dyDescent="0.2">
      <c r="A15" s="238" t="s">
        <v>129</v>
      </c>
      <c r="B15" s="33"/>
      <c r="C15" s="239">
        <f>SUM(C16:C18)</f>
        <v>135</v>
      </c>
      <c r="D15" s="115">
        <f>SUM(D16:D18)</f>
        <v>250</v>
      </c>
      <c r="E15" s="241">
        <f>(C15-D15)/D15</f>
        <v>-0.46</v>
      </c>
      <c r="F15" s="115">
        <f>SUM(F16:F18)</f>
        <v>714</v>
      </c>
      <c r="G15" s="115">
        <f>SUM(G16:G18)</f>
        <v>1205</v>
      </c>
      <c r="H15" s="240">
        <f>(F15-G15)/G15</f>
        <v>-0.40746887966804979</v>
      </c>
      <c r="I15" s="241">
        <f>F15/$F$68</f>
        <v>7.1544519930259124E-3</v>
      </c>
      <c r="J15" s="238" t="s">
        <v>129</v>
      </c>
      <c r="K15" s="33"/>
      <c r="L15" s="239">
        <f>SUM(L16:L18)</f>
        <v>4005</v>
      </c>
      <c r="M15" s="115">
        <f>SUM(M16:M18)</f>
        <v>27244</v>
      </c>
      <c r="N15" s="241">
        <f>(L15-M15)/M15</f>
        <v>-0.85299515489649103</v>
      </c>
      <c r="O15" s="239">
        <f>SUM(O16:O18)</f>
        <v>49169</v>
      </c>
      <c r="P15" s="115">
        <f>SUM(P16:P18)</f>
        <v>129026</v>
      </c>
      <c r="Q15" s="240">
        <f>(O15-P15)/P15</f>
        <v>-0.61892176770573371</v>
      </c>
      <c r="R15" s="241">
        <f>O15/$O$68</f>
        <v>6.3903771984832785E-3</v>
      </c>
      <c r="S15" s="238" t="s">
        <v>129</v>
      </c>
      <c r="T15" s="33"/>
      <c r="U15" s="239">
        <f>SUM(U16:U18)</f>
        <v>39208</v>
      </c>
      <c r="V15" s="115">
        <f>SUM(V16:V18)</f>
        <v>59635</v>
      </c>
      <c r="W15" s="241">
        <f>(U15-V15)/V15</f>
        <v>-0.34253374696067745</v>
      </c>
      <c r="X15" s="239">
        <f>SUM(X16:X18)</f>
        <v>127134</v>
      </c>
      <c r="Y15" s="115">
        <f>SUM(Y16:Y18)</f>
        <v>199083</v>
      </c>
      <c r="Z15" s="240">
        <f>(X15-Y15)/Y15</f>
        <v>-0.36140202829975437</v>
      </c>
      <c r="AA15" s="241">
        <f>X15/$X$68</f>
        <v>4.5789281640170668E-3</v>
      </c>
    </row>
    <row r="16" spans="1:27" ht="14.1" customHeight="1" x14ac:dyDescent="0.2">
      <c r="A16" s="238"/>
      <c r="B16" s="295" t="s">
        <v>129</v>
      </c>
      <c r="C16" s="299">
        <f>[3]Alaska!$GT$19</f>
        <v>122</v>
      </c>
      <c r="D16" s="192">
        <f>[3]Alaska!$GF$19</f>
        <v>188</v>
      </c>
      <c r="E16" s="301">
        <f>(C16-D16)/D16</f>
        <v>-0.35106382978723405</v>
      </c>
      <c r="F16" s="192">
        <f>SUM([3]Alaska!$GP$19:$GT$19)</f>
        <v>535</v>
      </c>
      <c r="G16" s="192">
        <f>SUM([3]Alaska!$GB$19:$GF$19)</f>
        <v>773</v>
      </c>
      <c r="H16" s="300">
        <f>(F16-G16)/G16</f>
        <v>-0.30789133247089262</v>
      </c>
      <c r="I16" s="301">
        <f>F16/$F$68</f>
        <v>5.360828874326139E-3</v>
      </c>
      <c r="J16" s="238"/>
      <c r="K16" s="295" t="s">
        <v>129</v>
      </c>
      <c r="L16" s="299">
        <f>[3]Alaska!$GT$41</f>
        <v>3640</v>
      </c>
      <c r="M16" s="192">
        <f>[3]Alaska!$GF$41</f>
        <v>22992</v>
      </c>
      <c r="N16" s="301">
        <f>(L16-M16)/M16</f>
        <v>-0.84168406402226859</v>
      </c>
      <c r="O16" s="299">
        <f>SUM([3]Alaska!$GP$41:$GT$41)</f>
        <v>38593</v>
      </c>
      <c r="P16" s="192">
        <f>SUM([3]Alaska!$GB$41:$GF$41)</f>
        <v>100692</v>
      </c>
      <c r="Q16" s="300">
        <f>(O16-P16)/P16</f>
        <v>-0.61672228180987565</v>
      </c>
      <c r="R16" s="301">
        <f>O16/$O$68</f>
        <v>5.0158398019293695E-3</v>
      </c>
      <c r="S16" s="238"/>
      <c r="T16" s="295" t="s">
        <v>129</v>
      </c>
      <c r="U16" s="299">
        <f>[3]Alaska!$GT$64</f>
        <v>39138</v>
      </c>
      <c r="V16" s="192">
        <f>[3]Alaska!$GF$64</f>
        <v>51736</v>
      </c>
      <c r="W16" s="301">
        <f>(U16-V16)/V16</f>
        <v>-0.24350548940776248</v>
      </c>
      <c r="X16" s="299">
        <f>SUM([3]Alaska!$GP$64:$GT$64)</f>
        <v>118668</v>
      </c>
      <c r="Y16" s="192">
        <f>SUM([3]Alaska!$GB$64:$GF$64)</f>
        <v>175080</v>
      </c>
      <c r="Z16" s="300">
        <f>(X16-Y16)/Y16</f>
        <v>-0.32220699108978751</v>
      </c>
      <c r="AA16" s="301">
        <f>X16/$X$68</f>
        <v>4.2740120453032019E-3</v>
      </c>
    </row>
    <row r="17" spans="1:27" ht="14.1" customHeight="1" x14ac:dyDescent="0.2">
      <c r="A17" s="238"/>
      <c r="B17" s="295" t="s">
        <v>98</v>
      </c>
      <c r="C17" s="242">
        <f>'[3]Sky West_AS'!$GT$19</f>
        <v>13</v>
      </c>
      <c r="D17" s="2">
        <f>'[3]Sky West_AS'!$GF$19</f>
        <v>62</v>
      </c>
      <c r="E17" s="58">
        <f>(C17-D17)/D17</f>
        <v>-0.79032258064516125</v>
      </c>
      <c r="F17" s="2">
        <f>SUM('[3]Sky West_AS'!$GP$19:$GT$19)</f>
        <v>13</v>
      </c>
      <c r="G17" s="2">
        <f>SUM('[3]Sky West_AS'!$GB$19:$GF$19)</f>
        <v>420</v>
      </c>
      <c r="H17" s="3">
        <f>(F17-G17)/G17</f>
        <v>-0.96904761904761905</v>
      </c>
      <c r="I17" s="58">
        <f>F17/$F$68</f>
        <v>1.3026313152568188E-4</v>
      </c>
      <c r="J17" s="238"/>
      <c r="K17" s="295" t="s">
        <v>98</v>
      </c>
      <c r="L17" s="242">
        <f>'[3]Sky West_AS'!$GT$41</f>
        <v>365</v>
      </c>
      <c r="M17" s="2">
        <f>'[3]Sky West_AS'!$GF$41</f>
        <v>4252</v>
      </c>
      <c r="N17" s="58">
        <f>(L17-M17)/M17</f>
        <v>-0.9141580432737535</v>
      </c>
      <c r="O17" s="242">
        <f>SUM('[3]Sky West_AS'!$GP$41:$GT$41)</f>
        <v>365</v>
      </c>
      <c r="P17" s="2">
        <f>SUM('[3]Sky West_AS'!$GB$41:$GF$41)</f>
        <v>27515</v>
      </c>
      <c r="Q17" s="3">
        <f>(O17-P17)/P17</f>
        <v>-0.98673450844993638</v>
      </c>
      <c r="R17" s="301">
        <f>O17/$O$68</f>
        <v>4.743817603462337E-5</v>
      </c>
      <c r="S17" s="238"/>
      <c r="T17" s="295" t="s">
        <v>98</v>
      </c>
      <c r="U17" s="242">
        <f>'[3]Sky West_AS'!$GT$64</f>
        <v>70</v>
      </c>
      <c r="V17" s="2">
        <f>'[3]Sky West_AS'!$GF$64</f>
        <v>7899</v>
      </c>
      <c r="W17" s="58">
        <f>(U17-V17)/V17</f>
        <v>-0.99113811874920876</v>
      </c>
      <c r="X17" s="242">
        <f>SUM('[3]Sky West_AS'!$GP$64:$GT$64)</f>
        <v>70</v>
      </c>
      <c r="Y17" s="2">
        <f>SUM('[3]Sky West_AS'!$GB$64:$GF$64)</f>
        <v>23005</v>
      </c>
      <c r="Z17" s="3">
        <f>(X17-Y17)/Y17</f>
        <v>-0.99695718322103888</v>
      </c>
      <c r="AA17" s="301">
        <f>X17/$X$68</f>
        <v>2.5211585530321919E-6</v>
      </c>
    </row>
    <row r="18" spans="1:27" ht="14.1" customHeight="1" x14ac:dyDescent="0.2">
      <c r="A18" s="238"/>
      <c r="B18" s="295" t="s">
        <v>193</v>
      </c>
      <c r="C18" s="242">
        <f>[3]Horizon_AS!$GT$19</f>
        <v>0</v>
      </c>
      <c r="D18" s="2">
        <f>[3]Horizon_AS!$GF$19</f>
        <v>0</v>
      </c>
      <c r="E18" s="58" t="e">
        <f>(C18-D18)/D18</f>
        <v>#DIV/0!</v>
      </c>
      <c r="F18" s="2">
        <f>SUM([3]Horizon_AS!$GP$19:$GT$19)</f>
        <v>166</v>
      </c>
      <c r="G18" s="2">
        <f>SUM([3]Horizon_AS!$GB$19:$GF$19)</f>
        <v>12</v>
      </c>
      <c r="H18" s="3">
        <f>(F18-G18)/G18</f>
        <v>12.833333333333334</v>
      </c>
      <c r="I18" s="58">
        <f>F18/$F$68</f>
        <v>1.6633599871740917E-3</v>
      </c>
      <c r="J18" s="238"/>
      <c r="K18" s="295" t="s">
        <v>193</v>
      </c>
      <c r="L18" s="242">
        <f>[3]Horizon_AS!$GT$41</f>
        <v>0</v>
      </c>
      <c r="M18" s="2">
        <f>[3]Horizon_AS!$GF$41</f>
        <v>0</v>
      </c>
      <c r="N18" s="58" t="e">
        <f>(L18-M18)/M18</f>
        <v>#DIV/0!</v>
      </c>
      <c r="O18" s="242">
        <f>SUM([3]Horizon_AS!$GP$41:$GT$41)</f>
        <v>10211</v>
      </c>
      <c r="P18" s="2">
        <f>SUM([3]Horizon_AS!$GB$41:$GF$41)</f>
        <v>819</v>
      </c>
      <c r="Q18" s="3">
        <f>(O18-P18)/P18</f>
        <v>11.467643467643468</v>
      </c>
      <c r="R18" s="301">
        <f>O18/$O$68</f>
        <v>1.3270992205192855E-3</v>
      </c>
      <c r="S18" s="238"/>
      <c r="T18" s="295" t="s">
        <v>193</v>
      </c>
      <c r="U18" s="242">
        <f>[3]Horizon_AS!$GT$64</f>
        <v>0</v>
      </c>
      <c r="V18" s="2">
        <f>[3]Horizon_AS!$GF$64</f>
        <v>0</v>
      </c>
      <c r="W18" s="58" t="e">
        <f>(U18-V18)/V18</f>
        <v>#DIV/0!</v>
      </c>
      <c r="X18" s="242">
        <f>SUM([3]Horizon_AS!$GP$64:$GT$64)</f>
        <v>8396</v>
      </c>
      <c r="Y18" s="2">
        <f>SUM([3]Horizon_AS!$GB$64:$GF$64)</f>
        <v>998</v>
      </c>
      <c r="Z18" s="3">
        <f>(X18-Y18)/Y18</f>
        <v>7.4128256513026054</v>
      </c>
      <c r="AA18" s="301">
        <f>X18/$X$68</f>
        <v>3.0239496016083261E-4</v>
      </c>
    </row>
    <row r="19" spans="1:27" ht="14.1" customHeight="1" x14ac:dyDescent="0.2">
      <c r="A19" s="238"/>
      <c r="B19" s="33"/>
      <c r="C19" s="239"/>
      <c r="D19" s="125"/>
      <c r="E19" s="241"/>
      <c r="F19" s="125"/>
      <c r="G19" s="125"/>
      <c r="H19" s="240"/>
      <c r="I19" s="241"/>
      <c r="J19" s="238"/>
      <c r="K19" s="33"/>
      <c r="L19" s="108"/>
      <c r="M19" s="83"/>
      <c r="N19" s="58"/>
      <c r="O19" s="108"/>
      <c r="P19" s="83"/>
      <c r="Q19" s="3"/>
      <c r="R19" s="58"/>
      <c r="S19" s="238"/>
      <c r="T19" s="33"/>
      <c r="U19" s="108"/>
      <c r="V19" s="83"/>
      <c r="W19" s="58"/>
      <c r="X19" s="108"/>
      <c r="Y19" s="83"/>
      <c r="Z19" s="3"/>
      <c r="AA19" s="58"/>
    </row>
    <row r="20" spans="1:27" ht="14.1" customHeight="1" x14ac:dyDescent="0.2">
      <c r="A20" s="238" t="s">
        <v>17</v>
      </c>
      <c r="B20" s="243"/>
      <c r="C20" s="239">
        <f>SUM(C21:C27)</f>
        <v>420</v>
      </c>
      <c r="D20" s="115">
        <f>SUM(D21:D27)</f>
        <v>1635</v>
      </c>
      <c r="E20" s="241">
        <f t="shared" ref="E20:E27" si="0">(C20-D20)/D20</f>
        <v>-0.74311926605504586</v>
      </c>
      <c r="F20" s="239">
        <f>SUM(F21:F27)</f>
        <v>5253</v>
      </c>
      <c r="G20" s="115">
        <f>SUM(G21:G27)</f>
        <v>7950</v>
      </c>
      <c r="H20" s="240">
        <f t="shared" ref="H20:H27" si="1">(F20-G20)/G20</f>
        <v>-0.33924528301886792</v>
      </c>
      <c r="I20" s="241">
        <f t="shared" ref="I20:I27" si="2">F20/$F$68</f>
        <v>5.2636325377262067E-2</v>
      </c>
      <c r="J20" s="238" t="s">
        <v>17</v>
      </c>
      <c r="K20" s="243"/>
      <c r="L20" s="239">
        <f>SUM(L21:L27)</f>
        <v>29303</v>
      </c>
      <c r="M20" s="115">
        <f>SUM(M21:M27)</f>
        <v>173404</v>
      </c>
      <c r="N20" s="241">
        <f t="shared" ref="N20:N27" si="3">(L20-M20)/M20</f>
        <v>-0.8310131254180988</v>
      </c>
      <c r="O20" s="239">
        <f>SUM(O21:O27)</f>
        <v>410086</v>
      </c>
      <c r="P20" s="115">
        <f>SUM(P21:P27)</f>
        <v>841806</v>
      </c>
      <c r="Q20" s="240">
        <f t="shared" ref="Q20:Q27" si="4">(O20-P20)/P20</f>
        <v>-0.51284975398132115</v>
      </c>
      <c r="R20" s="241">
        <f t="shared" ref="R20:R27" si="5">O20/$O$68</f>
        <v>5.3297895499546735E-2</v>
      </c>
      <c r="S20" s="238" t="s">
        <v>17</v>
      </c>
      <c r="T20" s="243"/>
      <c r="U20" s="239">
        <f>SUM(U21:U27)</f>
        <v>264003</v>
      </c>
      <c r="V20" s="115">
        <f>SUM(V21:V27)</f>
        <v>149419</v>
      </c>
      <c r="W20" s="241">
        <f t="shared" ref="W20:W24" si="6">(U20-V20)/V20</f>
        <v>0.76686365187827521</v>
      </c>
      <c r="X20" s="239">
        <f>SUM(X21:X27)</f>
        <v>953174</v>
      </c>
      <c r="Y20" s="115">
        <f>SUM(Y21:Y27)</f>
        <v>788026</v>
      </c>
      <c r="Z20" s="240">
        <f t="shared" ref="Z20:Z24" si="7">(X20-Y20)/Y20</f>
        <v>0.20957176539860359</v>
      </c>
      <c r="AA20" s="241">
        <f t="shared" ref="AA20:AA27" si="8">X20/$X$68</f>
        <v>3.4330039751827239E-2</v>
      </c>
    </row>
    <row r="21" spans="1:27" ht="14.1" customHeight="1" x14ac:dyDescent="0.2">
      <c r="A21" s="31"/>
      <c r="B21" s="33" t="s">
        <v>17</v>
      </c>
      <c r="C21" s="242">
        <f>[3]American!$GT$19</f>
        <v>303</v>
      </c>
      <c r="D21" s="2">
        <f>[3]American!$GF$19</f>
        <v>1128</v>
      </c>
      <c r="E21" s="58">
        <f t="shared" si="0"/>
        <v>-0.7313829787234043</v>
      </c>
      <c r="F21" s="2">
        <f>SUM([3]American!$GP$19:$GT$19)</f>
        <v>3204</v>
      </c>
      <c r="G21" s="2">
        <f>SUM([3]American!$GB$19:$GF$19)</f>
        <v>5967</v>
      </c>
      <c r="H21" s="3">
        <f t="shared" si="1"/>
        <v>-0.46304675716440424</v>
      </c>
      <c r="I21" s="58">
        <f t="shared" si="2"/>
        <v>3.2104851800637289E-2</v>
      </c>
      <c r="J21" s="31"/>
      <c r="K21" s="33" t="s">
        <v>17</v>
      </c>
      <c r="L21" s="242">
        <f>[3]American!$GT$41</f>
        <v>24357</v>
      </c>
      <c r="M21" s="2">
        <f>[3]American!$GF$41</f>
        <v>143074</v>
      </c>
      <c r="N21" s="58">
        <f t="shared" si="3"/>
        <v>-0.82975942519255774</v>
      </c>
      <c r="O21" s="242">
        <f>SUM([3]American!$GP$41:$GT$41)</f>
        <v>318507</v>
      </c>
      <c r="P21" s="2">
        <f>SUM([3]American!$GB$41:$GF$41)</f>
        <v>730503</v>
      </c>
      <c r="Q21" s="3">
        <f t="shared" si="4"/>
        <v>-0.56398947026911594</v>
      </c>
      <c r="R21" s="58">
        <f t="shared" si="5"/>
        <v>4.139559214865695E-2</v>
      </c>
      <c r="S21" s="31"/>
      <c r="T21" s="33" t="s">
        <v>17</v>
      </c>
      <c r="U21" s="242">
        <f>[3]American!$GT$64</f>
        <v>260013</v>
      </c>
      <c r="V21" s="2">
        <f>[3]American!$GF$64</f>
        <v>148617</v>
      </c>
      <c r="W21" s="58">
        <f t="shared" si="6"/>
        <v>0.74955085891923534</v>
      </c>
      <c r="X21" s="242">
        <f>SUM([3]American!$GP$64:$GT$64)</f>
        <v>945797</v>
      </c>
      <c r="Y21" s="2">
        <f>SUM([3]American!$GB$64:$GF$64)</f>
        <v>787095</v>
      </c>
      <c r="Z21" s="3">
        <f t="shared" si="7"/>
        <v>0.20163004465788756</v>
      </c>
      <c r="AA21" s="58">
        <f t="shared" si="8"/>
        <v>3.4064345656888401E-2</v>
      </c>
    </row>
    <row r="22" spans="1:27" ht="14.1" customHeight="1" x14ac:dyDescent="0.2">
      <c r="A22" s="31"/>
      <c r="B22" s="295" t="s">
        <v>166</v>
      </c>
      <c r="C22" s="242">
        <f>'[3]American Eagle'!$GT$19</f>
        <v>75</v>
      </c>
      <c r="D22" s="2">
        <f>'[3]American Eagle'!$GF$19</f>
        <v>116</v>
      </c>
      <c r="E22" s="58">
        <f t="shared" si="0"/>
        <v>-0.35344827586206895</v>
      </c>
      <c r="F22" s="2">
        <f>SUM('[3]American Eagle'!$GP$19:$GT$19)</f>
        <v>563</v>
      </c>
      <c r="G22" s="2">
        <f>SUM('[3]American Eagle'!$GB$19:$GF$19)</f>
        <v>398</v>
      </c>
      <c r="H22" s="3">
        <f t="shared" si="1"/>
        <v>0.41457286432160806</v>
      </c>
      <c r="I22" s="58">
        <f t="shared" si="2"/>
        <v>5.6413956191506843E-3</v>
      </c>
      <c r="J22" s="31"/>
      <c r="K22" s="295" t="s">
        <v>166</v>
      </c>
      <c r="L22" s="242">
        <f>'[3]American Eagle'!$GT$41</f>
        <v>3319</v>
      </c>
      <c r="M22" s="2">
        <f>'[3]American Eagle'!$GF$41</f>
        <v>7856</v>
      </c>
      <c r="N22" s="58">
        <f t="shared" si="3"/>
        <v>-0.57752036659877803</v>
      </c>
      <c r="O22" s="242">
        <f>SUM('[3]American Eagle'!$GP$41:$GT$41)</f>
        <v>30685</v>
      </c>
      <c r="P22" s="2">
        <f>SUM('[3]American Eagle'!$GB$41:$GF$41)</f>
        <v>27317</v>
      </c>
      <c r="Q22" s="3">
        <f t="shared" si="4"/>
        <v>0.12329318739246622</v>
      </c>
      <c r="R22" s="58">
        <f t="shared" si="5"/>
        <v>3.9880559770477213E-3</v>
      </c>
      <c r="S22" s="31"/>
      <c r="T22" s="295" t="s">
        <v>166</v>
      </c>
      <c r="U22" s="242">
        <f>'[3]American Eagle'!$GT$64</f>
        <v>3519</v>
      </c>
      <c r="V22" s="2">
        <f>'[3]American Eagle'!$GF$64</f>
        <v>144</v>
      </c>
      <c r="W22" s="58">
        <f t="shared" si="6"/>
        <v>23.4375</v>
      </c>
      <c r="X22" s="242">
        <f>SUM('[3]American Eagle'!$GP$64:$GT$64)</f>
        <v>4436</v>
      </c>
      <c r="Y22" s="2">
        <f>SUM('[3]American Eagle'!$GB$64:$GF$64)</f>
        <v>273</v>
      </c>
      <c r="Z22" s="3">
        <f t="shared" si="7"/>
        <v>15.249084249084248</v>
      </c>
      <c r="AA22" s="58">
        <f t="shared" si="8"/>
        <v>1.5976941916072578E-4</v>
      </c>
    </row>
    <row r="23" spans="1:27" ht="14.1" customHeight="1" x14ac:dyDescent="0.2">
      <c r="A23" s="31"/>
      <c r="B23" s="295" t="s">
        <v>52</v>
      </c>
      <c r="C23" s="242">
        <f>[3]Republic!$GT$19</f>
        <v>42</v>
      </c>
      <c r="D23" s="2">
        <f>[3]Republic!$GF$19</f>
        <v>391</v>
      </c>
      <c r="E23" s="58">
        <f t="shared" si="0"/>
        <v>-0.89258312020460362</v>
      </c>
      <c r="F23" s="2">
        <f>SUM([3]Republic!$GP$19:$GT$19)</f>
        <v>1300</v>
      </c>
      <c r="G23" s="2">
        <f>SUM([3]Republic!$GB$19:$GF$19)</f>
        <v>1585</v>
      </c>
      <c r="H23" s="3">
        <f t="shared" si="1"/>
        <v>-0.17981072555205047</v>
      </c>
      <c r="I23" s="58">
        <f t="shared" si="2"/>
        <v>1.3026313152568188E-2</v>
      </c>
      <c r="J23" s="31"/>
      <c r="K23" s="244" t="s">
        <v>52</v>
      </c>
      <c r="L23" s="242">
        <f>[3]Republic!$GT$41</f>
        <v>1627</v>
      </c>
      <c r="M23" s="2">
        <f>[3]Republic!$GF$41</f>
        <v>22474</v>
      </c>
      <c r="N23" s="58">
        <f t="shared" si="3"/>
        <v>-0.92760523271335771</v>
      </c>
      <c r="O23" s="242">
        <f>SUM([3]Republic!$GP$41:$GT$41)</f>
        <v>51329</v>
      </c>
      <c r="P23" s="2">
        <f>SUM([3]Republic!$GB$41:$GF$41)</f>
        <v>83986</v>
      </c>
      <c r="Q23" s="3">
        <f t="shared" si="4"/>
        <v>-0.38883861595980285</v>
      </c>
      <c r="R23" s="58">
        <f t="shared" si="5"/>
        <v>6.6711072265237892E-3</v>
      </c>
      <c r="S23" s="31"/>
      <c r="T23" s="244" t="s">
        <v>52</v>
      </c>
      <c r="U23" s="242">
        <f>[3]Republic!$GT$64</f>
        <v>471</v>
      </c>
      <c r="V23" s="2">
        <f>[3]Republic!$GF$64</f>
        <v>658</v>
      </c>
      <c r="W23" s="58">
        <f t="shared" si="6"/>
        <v>-0.28419452887537994</v>
      </c>
      <c r="X23" s="242">
        <f>SUM([3]Republic!$GP$64:$GT$64)</f>
        <v>2381</v>
      </c>
      <c r="Y23" s="2">
        <f>SUM([3]Republic!$GB$64:$GF$64)</f>
        <v>658</v>
      </c>
      <c r="Z23" s="3">
        <f t="shared" si="7"/>
        <v>2.6185410334346506</v>
      </c>
      <c r="AA23" s="58">
        <f t="shared" si="8"/>
        <v>8.5755407353852128E-5</v>
      </c>
    </row>
    <row r="24" spans="1:27" ht="14.1" customHeight="1" x14ac:dyDescent="0.2">
      <c r="A24" s="31"/>
      <c r="B24" s="295" t="s">
        <v>182</v>
      </c>
      <c r="C24" s="242">
        <f>[3]PSA!$GT$19</f>
        <v>0</v>
      </c>
      <c r="D24" s="2">
        <f>[3]PSA!$GF$19</f>
        <v>0</v>
      </c>
      <c r="E24" s="58" t="e">
        <f t="shared" si="0"/>
        <v>#DIV/0!</v>
      </c>
      <c r="F24" s="2">
        <f>SUM([3]PSA!$GP$19:$GT$19)</f>
        <v>0</v>
      </c>
      <c r="G24" s="2">
        <f>SUM([3]PSA!$GB$19:$GF$19)</f>
        <v>0</v>
      </c>
      <c r="H24" s="3" t="e">
        <f t="shared" si="1"/>
        <v>#DIV/0!</v>
      </c>
      <c r="I24" s="58">
        <f t="shared" si="2"/>
        <v>0</v>
      </c>
      <c r="J24" s="31"/>
      <c r="K24" s="295" t="s">
        <v>182</v>
      </c>
      <c r="L24" s="242">
        <f>[3]PSA!$GT$41</f>
        <v>0</v>
      </c>
      <c r="M24" s="2">
        <f>[3]PSA!$GF$41</f>
        <v>0</v>
      </c>
      <c r="N24" s="58" t="e">
        <f t="shared" si="3"/>
        <v>#DIV/0!</v>
      </c>
      <c r="O24" s="242">
        <f>SUM([3]PSA!$GP$41:$GT$41)</f>
        <v>0</v>
      </c>
      <c r="P24" s="2">
        <f>SUM([3]PSA!$GB$41:$GF$41)</f>
        <v>0</v>
      </c>
      <c r="Q24" s="3" t="e">
        <f t="shared" si="4"/>
        <v>#DIV/0!</v>
      </c>
      <c r="R24" s="58">
        <f t="shared" si="5"/>
        <v>0</v>
      </c>
      <c r="S24" s="31"/>
      <c r="T24" s="295" t="s">
        <v>182</v>
      </c>
      <c r="U24" s="242">
        <f>[3]PSA!$GT$64</f>
        <v>0</v>
      </c>
      <c r="V24" s="2">
        <f>[3]PSA!$GF$64</f>
        <v>0</v>
      </c>
      <c r="W24" s="58" t="e">
        <f t="shared" si="6"/>
        <v>#DIV/0!</v>
      </c>
      <c r="X24" s="242">
        <f>SUM([3]PSA!$GP$64:$GT$64)</f>
        <v>0</v>
      </c>
      <c r="Y24" s="2">
        <f>SUM([3]PSA!$GB$64:$GF$64)</f>
        <v>0</v>
      </c>
      <c r="Z24" s="3" t="e">
        <f t="shared" si="7"/>
        <v>#DIV/0!</v>
      </c>
      <c r="AA24" s="58">
        <f t="shared" si="8"/>
        <v>0</v>
      </c>
    </row>
    <row r="25" spans="1:27" ht="14.1" customHeight="1" x14ac:dyDescent="0.2">
      <c r="A25" s="31"/>
      <c r="B25" s="295" t="s">
        <v>98</v>
      </c>
      <c r="C25" s="242">
        <f>'[3]Sky West_AA'!$GT$19</f>
        <v>0</v>
      </c>
      <c r="D25" s="2">
        <f>'[3]Sky West_AA'!$GF$19</f>
        <v>0</v>
      </c>
      <c r="E25" s="58" t="e">
        <f>(C25-D25)/D25</f>
        <v>#DIV/0!</v>
      </c>
      <c r="F25" s="2">
        <f>SUM('[3]Sky West_AA'!$GP$19:$GT$19)</f>
        <v>182</v>
      </c>
      <c r="G25" s="2">
        <f>SUM('[3]Sky West_AA'!$GB$19:$GF$19)</f>
        <v>0</v>
      </c>
      <c r="H25" s="3" t="e">
        <f>(F25-G25)/G25</f>
        <v>#DIV/0!</v>
      </c>
      <c r="I25" s="58">
        <f t="shared" si="2"/>
        <v>1.8236838413595463E-3</v>
      </c>
      <c r="J25" s="31"/>
      <c r="K25" s="295" t="s">
        <v>98</v>
      </c>
      <c r="L25" s="242">
        <f>'[3]Sky West_AA'!$GT$41</f>
        <v>0</v>
      </c>
      <c r="M25" s="2">
        <f>'[3]Sky West_AA'!$GF$41</f>
        <v>0</v>
      </c>
      <c r="N25" s="58" t="e">
        <f>(L25-M25)/M25</f>
        <v>#DIV/0!</v>
      </c>
      <c r="O25" s="242">
        <f>SUM('[3]Sky West_AA'!$GP$41:$GT$41)</f>
        <v>9404</v>
      </c>
      <c r="P25" s="2">
        <f>SUM('[3]Sky West_AA'!$GB$41:$GF$41)</f>
        <v>0</v>
      </c>
      <c r="Q25" s="3" t="e">
        <f>(O25-P25)/P25</f>
        <v>#DIV/0!</v>
      </c>
      <c r="R25" s="301">
        <f t="shared" si="5"/>
        <v>1.2222153628208168E-3</v>
      </c>
      <c r="S25" s="31"/>
      <c r="T25" s="295" t="s">
        <v>98</v>
      </c>
      <c r="U25" s="242">
        <f>'[3]Sky West_AA'!$GT$64</f>
        <v>0</v>
      </c>
      <c r="V25" s="2">
        <f>'[3]Sky West_AA'!$GF$64</f>
        <v>0</v>
      </c>
      <c r="W25" s="58" t="e">
        <f>(U25-V25)/V25</f>
        <v>#DIV/0!</v>
      </c>
      <c r="X25" s="242">
        <f>SUM('[3]Sky West_AA'!$GP$64:$GT$64)</f>
        <v>560</v>
      </c>
      <c r="Y25" s="2">
        <f>SUM('[3]Sky West_AA'!$GB$64:$GF$64)</f>
        <v>0</v>
      </c>
      <c r="Z25" s="3" t="e">
        <f>(X25-Y25)/Y25</f>
        <v>#DIV/0!</v>
      </c>
      <c r="AA25" s="301">
        <f t="shared" si="8"/>
        <v>2.0169268424257535E-5</v>
      </c>
    </row>
    <row r="26" spans="1:27" ht="14.1" customHeight="1" x14ac:dyDescent="0.2">
      <c r="A26" s="31"/>
      <c r="B26" s="295" t="s">
        <v>51</v>
      </c>
      <c r="C26" s="242">
        <f>[3]MESA!$GT$19</f>
        <v>0</v>
      </c>
      <c r="D26" s="2">
        <f>[3]MESA!$GF$19</f>
        <v>0</v>
      </c>
      <c r="E26" s="58" t="e">
        <f t="shared" si="0"/>
        <v>#DIV/0!</v>
      </c>
      <c r="F26" s="2">
        <f>SUM([3]MESA!$GP$19:$GT$19)</f>
        <v>0</v>
      </c>
      <c r="G26" s="2">
        <f>SUM([3]MESA!$GB$19:$GF$19)</f>
        <v>0</v>
      </c>
      <c r="H26" s="3" t="e">
        <f t="shared" si="1"/>
        <v>#DIV/0!</v>
      </c>
      <c r="I26" s="58">
        <f t="shared" si="2"/>
        <v>0</v>
      </c>
      <c r="J26" s="31"/>
      <c r="K26" s="295" t="s">
        <v>51</v>
      </c>
      <c r="L26" s="242">
        <f>[3]MESA!$GT$41</f>
        <v>0</v>
      </c>
      <c r="M26" s="2">
        <f>[3]MESA!$GF$41</f>
        <v>0</v>
      </c>
      <c r="N26" s="58" t="e">
        <f t="shared" si="3"/>
        <v>#DIV/0!</v>
      </c>
      <c r="O26" s="242">
        <f>SUM([3]MESA!$GP$41:$GT$41)</f>
        <v>0</v>
      </c>
      <c r="P26" s="2">
        <f>SUM([3]MESA!$GB$41:$GF$41)</f>
        <v>0</v>
      </c>
      <c r="Q26" s="3" t="e">
        <f t="shared" si="4"/>
        <v>#DIV/0!</v>
      </c>
      <c r="R26" s="58">
        <f t="shared" si="5"/>
        <v>0</v>
      </c>
      <c r="S26" s="31"/>
      <c r="T26" s="295" t="s">
        <v>51</v>
      </c>
      <c r="U26" s="242">
        <f>[3]MESA!$GT$64</f>
        <v>0</v>
      </c>
      <c r="V26" s="2">
        <f>[3]MESA!$GF$64</f>
        <v>0</v>
      </c>
      <c r="W26" s="58" t="e">
        <f t="shared" ref="W26:W27" si="9">(U26-V26)/V26</f>
        <v>#DIV/0!</v>
      </c>
      <c r="X26" s="242">
        <f>SUM([3]MESA!$GP$64:$GT$64)</f>
        <v>0</v>
      </c>
      <c r="Y26" s="2">
        <f>SUM([3]MESA!$GB$64:$GF$64)</f>
        <v>0</v>
      </c>
      <c r="Z26" s="3" t="e">
        <f t="shared" ref="Z26:Z27" si="10">(X26-Y26)/Y26</f>
        <v>#DIV/0!</v>
      </c>
      <c r="AA26" s="58">
        <f t="shared" si="8"/>
        <v>0</v>
      </c>
    </row>
    <row r="27" spans="1:27" ht="14.1" customHeight="1" x14ac:dyDescent="0.2">
      <c r="A27" s="31"/>
      <c r="B27" s="295" t="s">
        <v>50</v>
      </c>
      <c r="C27" s="242">
        <f>'[3]Air Wisconsin'!$GT$19</f>
        <v>0</v>
      </c>
      <c r="D27" s="2">
        <f>'[3]Air Wisconsin'!$GF$19</f>
        <v>0</v>
      </c>
      <c r="E27" s="58" t="e">
        <f t="shared" si="0"/>
        <v>#DIV/0!</v>
      </c>
      <c r="F27" s="2">
        <f>SUM('[3]Air Wisconsin'!$GP$19:$GT$19)</f>
        <v>4</v>
      </c>
      <c r="G27" s="2">
        <f>SUM('[3]Air Wisconsin'!$GB$19:$GF$19)</f>
        <v>0</v>
      </c>
      <c r="H27" s="283" t="e">
        <f t="shared" si="1"/>
        <v>#DIV/0!</v>
      </c>
      <c r="I27" s="58">
        <f t="shared" si="2"/>
        <v>4.0080963546363658E-5</v>
      </c>
      <c r="J27" s="31"/>
      <c r="K27" s="244" t="s">
        <v>50</v>
      </c>
      <c r="L27" s="242">
        <f>'[3]Air Wisconsin'!$GT$41</f>
        <v>0</v>
      </c>
      <c r="M27" s="2">
        <f>'[3]Air Wisconsin'!$GF$41</f>
        <v>0</v>
      </c>
      <c r="N27" s="58" t="e">
        <f t="shared" si="3"/>
        <v>#DIV/0!</v>
      </c>
      <c r="O27" s="242">
        <f>SUM('[3]Air Wisconsin'!$GP$41:$GT$41)</f>
        <v>161</v>
      </c>
      <c r="P27" s="2">
        <f>SUM('[3]Air Wisconsin'!$GB$41:$GF$41)</f>
        <v>0</v>
      </c>
      <c r="Q27" s="3" t="e">
        <f t="shared" si="4"/>
        <v>#DIV/0!</v>
      </c>
      <c r="R27" s="58">
        <f t="shared" si="5"/>
        <v>2.0924784497464008E-5</v>
      </c>
      <c r="S27" s="31"/>
      <c r="T27" s="244" t="s">
        <v>50</v>
      </c>
      <c r="U27" s="242">
        <f>'[3]Air Wisconsin'!$GT$64</f>
        <v>0</v>
      </c>
      <c r="V27" s="2">
        <f>'[3]Air Wisconsin'!$GF$64</f>
        <v>0</v>
      </c>
      <c r="W27" s="58" t="e">
        <f t="shared" si="9"/>
        <v>#DIV/0!</v>
      </c>
      <c r="X27" s="242">
        <f>SUM('[3]Air Wisconsin'!$GP$64:$GT$64)</f>
        <v>0</v>
      </c>
      <c r="Y27" s="2">
        <f>SUM('[3]Air Wisconsin'!$GB$64:$GF$64)</f>
        <v>0</v>
      </c>
      <c r="Z27" s="3" t="e">
        <f t="shared" si="10"/>
        <v>#DIV/0!</v>
      </c>
      <c r="AA27" s="58">
        <f t="shared" si="8"/>
        <v>0</v>
      </c>
    </row>
    <row r="28" spans="1:27" ht="14.1" customHeight="1" x14ac:dyDescent="0.2">
      <c r="A28" s="31"/>
      <c r="B28" s="33"/>
      <c r="C28" s="242"/>
      <c r="E28" s="58"/>
      <c r="F28" s="2"/>
      <c r="I28" s="58"/>
      <c r="J28" s="31"/>
      <c r="K28" s="33"/>
      <c r="L28" s="242"/>
      <c r="N28" s="58"/>
      <c r="O28" s="242"/>
      <c r="P28" s="2"/>
      <c r="Q28" s="3"/>
      <c r="R28" s="58"/>
      <c r="S28" s="31"/>
      <c r="T28" s="33"/>
      <c r="U28" s="242"/>
      <c r="V28" s="2"/>
      <c r="W28" s="58"/>
      <c r="X28" s="242"/>
      <c r="Y28" s="2"/>
      <c r="Z28" s="3"/>
      <c r="AA28" s="58"/>
    </row>
    <row r="29" spans="1:27" ht="14.1" customHeight="1" x14ac:dyDescent="0.2">
      <c r="A29" s="238" t="s">
        <v>180</v>
      </c>
      <c r="B29" s="33"/>
      <c r="C29" s="239">
        <f>'[3]Boutique Air'!$GT$19</f>
        <v>152</v>
      </c>
      <c r="D29" s="115">
        <f>'[3]Boutique Air'!$GF$19</f>
        <v>152</v>
      </c>
      <c r="E29" s="241">
        <f>(C29-D29)/D29</f>
        <v>0</v>
      </c>
      <c r="F29" s="115">
        <f>SUM('[3]Boutique Air'!$GP$19:$GT$19)</f>
        <v>803</v>
      </c>
      <c r="G29" s="115">
        <f>SUM('[3]Boutique Air'!$GB$19:$GF$19)</f>
        <v>706</v>
      </c>
      <c r="H29" s="240">
        <f>(F29-G29)/G29</f>
        <v>0.13739376770538245</v>
      </c>
      <c r="I29" s="241">
        <f>F29/$F$68</f>
        <v>8.0462534319325034E-3</v>
      </c>
      <c r="J29" s="238" t="s">
        <v>180</v>
      </c>
      <c r="K29" s="33"/>
      <c r="L29" s="239">
        <f>'[3]Boutique Air'!$GT$41</f>
        <v>77</v>
      </c>
      <c r="M29" s="115">
        <f>'[3]Boutique Air'!$GF$41</f>
        <v>804</v>
      </c>
      <c r="N29" s="241">
        <f>(L29-M29)/M29</f>
        <v>-0.904228855721393</v>
      </c>
      <c r="O29" s="239">
        <f>SUM('[3]Boutique Air'!$GP$41:$GT$41)</f>
        <v>2456</v>
      </c>
      <c r="P29" s="115">
        <f>SUM('[3]Boutique Air'!$GB$41:$GF$41)</f>
        <v>3141</v>
      </c>
      <c r="Q29" s="240">
        <f>(O29-P29)/P29</f>
        <v>-0.21808341292581981</v>
      </c>
      <c r="R29" s="241">
        <f>O29/$O$68</f>
        <v>3.1920043929050686E-4</v>
      </c>
      <c r="S29" s="238" t="s">
        <v>180</v>
      </c>
      <c r="T29" s="33"/>
      <c r="U29" s="239">
        <f>'[3]Boutique Air'!$GT$64</f>
        <v>0</v>
      </c>
      <c r="V29" s="115">
        <f>'[3]Boutique Air'!$GF$64</f>
        <v>0</v>
      </c>
      <c r="W29" s="241" t="e">
        <f>(U29-V29)/V29</f>
        <v>#DIV/0!</v>
      </c>
      <c r="X29" s="239">
        <f>SUM('[3]Boutique Air'!$GP$64:$GT$64)</f>
        <v>0</v>
      </c>
      <c r="Y29" s="115">
        <f>SUM('[3]Boutique Air'!$GB$64:$GF$64)</f>
        <v>0</v>
      </c>
      <c r="Z29" s="240" t="e">
        <f>(X29-Y29)/Y29</f>
        <v>#DIV/0!</v>
      </c>
      <c r="AA29" s="241">
        <f>X29/$X$68</f>
        <v>0</v>
      </c>
    </row>
    <row r="30" spans="1:27" ht="14.1" customHeight="1" x14ac:dyDescent="0.2">
      <c r="A30" s="31"/>
      <c r="B30" s="33"/>
      <c r="C30" s="242"/>
      <c r="E30" s="58"/>
      <c r="F30" s="2"/>
      <c r="I30" s="58"/>
      <c r="J30" s="31"/>
      <c r="K30" s="33"/>
      <c r="L30" s="242"/>
      <c r="N30" s="58"/>
      <c r="O30" s="242"/>
      <c r="P30" s="2"/>
      <c r="Q30" s="3"/>
      <c r="R30" s="58"/>
      <c r="S30" s="31"/>
      <c r="T30" s="33"/>
      <c r="U30" s="242"/>
      <c r="V30" s="2"/>
      <c r="W30" s="58"/>
      <c r="X30" s="242"/>
      <c r="Y30" s="2"/>
      <c r="Z30" s="3"/>
      <c r="AA30" s="58"/>
    </row>
    <row r="31" spans="1:27" ht="14.1" customHeight="1" x14ac:dyDescent="0.2">
      <c r="A31" s="238" t="s">
        <v>162</v>
      </c>
      <c r="B31" s="33"/>
      <c r="C31" s="239">
        <f>[3]Condor!$GT$19</f>
        <v>0</v>
      </c>
      <c r="D31" s="115">
        <f>[3]Condor!$GF$19</f>
        <v>2</v>
      </c>
      <c r="E31" s="241">
        <f>(C31-D31)/D31</f>
        <v>-1</v>
      </c>
      <c r="F31" s="115">
        <f>SUM([3]Condor!$GP$19:$GT$19)</f>
        <v>0</v>
      </c>
      <c r="G31" s="115">
        <f>SUM([3]Condor!$GB$19:$GF$19)</f>
        <v>2</v>
      </c>
      <c r="H31" s="240">
        <f>(F31-G31)/G31</f>
        <v>-1</v>
      </c>
      <c r="I31" s="241">
        <f>F31/$F$68</f>
        <v>0</v>
      </c>
      <c r="J31" s="238" t="s">
        <v>162</v>
      </c>
      <c r="K31" s="33"/>
      <c r="L31" s="239">
        <f>[3]Condor!$GT$41</f>
        <v>0</v>
      </c>
      <c r="M31" s="115">
        <f>[3]Condor!$GF$41</f>
        <v>486</v>
      </c>
      <c r="N31" s="241">
        <f>(L31-M31)/M31</f>
        <v>-1</v>
      </c>
      <c r="O31" s="239">
        <f>SUM([3]Condor!$GP$41:$GT$41)</f>
        <v>0</v>
      </c>
      <c r="P31" s="115">
        <f>SUM([3]Condor!$GB$41:$GF$41)</f>
        <v>486</v>
      </c>
      <c r="Q31" s="240">
        <f>(O31-P31)/P31</f>
        <v>-1</v>
      </c>
      <c r="R31" s="241">
        <f>O31/$O$68</f>
        <v>0</v>
      </c>
      <c r="S31" s="238" t="s">
        <v>162</v>
      </c>
      <c r="T31" s="33"/>
      <c r="U31" s="239">
        <f>[3]Condor!$GT$64</f>
        <v>0</v>
      </c>
      <c r="V31" s="115">
        <f>[3]Condor!$GF$64</f>
        <v>1166</v>
      </c>
      <c r="W31" s="241">
        <f>(U31-V31)/V31</f>
        <v>-1</v>
      </c>
      <c r="X31" s="239">
        <f>SUM([3]Condor!$GP$64:$GT$64)</f>
        <v>0</v>
      </c>
      <c r="Y31" s="115">
        <f>SUM([3]Condor!$GB$64:$GF$64)</f>
        <v>1166</v>
      </c>
      <c r="Z31" s="240">
        <f>(X31-Y31)/Y31</f>
        <v>-1</v>
      </c>
      <c r="AA31" s="241">
        <f>X31/$X$68</f>
        <v>0</v>
      </c>
    </row>
    <row r="32" spans="1:27" ht="14.1" customHeight="1" x14ac:dyDescent="0.2">
      <c r="A32" s="31"/>
      <c r="B32" s="33"/>
      <c r="C32" s="242"/>
      <c r="E32" s="58"/>
      <c r="F32" s="2"/>
      <c r="I32" s="58"/>
      <c r="J32" s="31"/>
      <c r="K32" s="33"/>
      <c r="L32" s="242"/>
      <c r="N32" s="58"/>
      <c r="O32" s="242"/>
      <c r="P32" s="2"/>
      <c r="Q32" s="3"/>
      <c r="R32" s="58"/>
      <c r="S32" s="31"/>
      <c r="T32" s="33"/>
      <c r="U32" s="242"/>
      <c r="V32" s="2"/>
      <c r="W32" s="58"/>
      <c r="X32" s="242"/>
      <c r="Y32" s="2"/>
      <c r="Z32" s="3"/>
      <c r="AA32" s="58"/>
    </row>
    <row r="33" spans="1:27" ht="14.1" customHeight="1" x14ac:dyDescent="0.2">
      <c r="A33" s="238" t="s">
        <v>18</v>
      </c>
      <c r="B33" s="243"/>
      <c r="C33" s="239">
        <f>SUM(C34:C40)</f>
        <v>5069</v>
      </c>
      <c r="D33" s="115">
        <f>SUM(D34:D40)</f>
        <v>23115</v>
      </c>
      <c r="E33" s="241">
        <f t="shared" ref="E33:E40" si="11">(C33-D33)/D33</f>
        <v>-0.78070516980315807</v>
      </c>
      <c r="F33" s="125">
        <f>SUM(F34:F40)</f>
        <v>73314</v>
      </c>
      <c r="G33" s="125">
        <f>SUM(G34:G40)</f>
        <v>108305</v>
      </c>
      <c r="H33" s="240">
        <f>(F33-G33)/G33</f>
        <v>-0.323078343566779</v>
      </c>
      <c r="I33" s="241">
        <f t="shared" ref="I33:I40" si="12">F33/$F$68</f>
        <v>0.73462394035952627</v>
      </c>
      <c r="J33" s="238" t="s">
        <v>18</v>
      </c>
      <c r="K33" s="243"/>
      <c r="L33" s="239">
        <f>SUM(L34:L40)</f>
        <v>163028</v>
      </c>
      <c r="M33" s="115">
        <f>SUM(M34:M40)</f>
        <v>2336883</v>
      </c>
      <c r="N33" s="241">
        <f t="shared" ref="N33:N40" si="13">(L33-M33)/M33</f>
        <v>-0.93023698661849996</v>
      </c>
      <c r="O33" s="239">
        <f>SUM(O34:O40)</f>
        <v>5402129</v>
      </c>
      <c r="P33" s="115">
        <f>SUM(P34:P40)</f>
        <v>10465716</v>
      </c>
      <c r="Q33" s="240">
        <f t="shared" ref="Q33:Q40" si="14">(O33-P33)/P33</f>
        <v>-0.48382614242542027</v>
      </c>
      <c r="R33" s="241">
        <f t="shared" ref="R33:R40" si="15">O33/$O$68</f>
        <v>0.70210177113354499</v>
      </c>
      <c r="S33" s="238" t="s">
        <v>18</v>
      </c>
      <c r="T33" s="243"/>
      <c r="U33" s="239">
        <f>SUM(U34:U40)</f>
        <v>1668911</v>
      </c>
      <c r="V33" s="115">
        <f>SUM(V34:V40)</f>
        <v>9194722</v>
      </c>
      <c r="W33" s="241">
        <f t="shared" ref="W33:W40" si="16">(U33-V33)/V33</f>
        <v>-0.81849250037140875</v>
      </c>
      <c r="X33" s="239">
        <f>SUM(X34:X40)</f>
        <v>22676637</v>
      </c>
      <c r="Y33" s="115">
        <f>SUM(Y34:Y40)</f>
        <v>47541042</v>
      </c>
      <c r="Z33" s="240">
        <f t="shared" ref="Z33:Z36" si="17">(X33-Y33)/Y33</f>
        <v>-0.52300925587621738</v>
      </c>
      <c r="AA33" s="241">
        <f t="shared" ref="AA33:AA40" si="18">X33/$X$68</f>
        <v>0.81673424752223234</v>
      </c>
    </row>
    <row r="34" spans="1:27" ht="14.1" customHeight="1" x14ac:dyDescent="0.2">
      <c r="A34" s="31"/>
      <c r="B34" s="33" t="s">
        <v>18</v>
      </c>
      <c r="C34" s="242">
        <f>[3]Delta!$GT$19</f>
        <v>2021</v>
      </c>
      <c r="D34" s="2">
        <f>[3]Delta!$GF$19</f>
        <v>12474</v>
      </c>
      <c r="E34" s="58">
        <f t="shared" si="11"/>
        <v>-0.83798300464967135</v>
      </c>
      <c r="F34" s="2">
        <f>SUM([3]Delta!$GP$19:$GT$19)</f>
        <v>36728</v>
      </c>
      <c r="G34" s="2">
        <f>SUM([3]Delta!$GB$19:$GF$19)</f>
        <v>58084</v>
      </c>
      <c r="H34" s="3">
        <f t="shared" ref="H34:H40" si="19">(F34-G34)/G34</f>
        <v>-0.36767440258935336</v>
      </c>
      <c r="I34" s="58">
        <f t="shared" si="12"/>
        <v>0.3680234072827111</v>
      </c>
      <c r="J34" s="31"/>
      <c r="K34" s="33" t="s">
        <v>18</v>
      </c>
      <c r="L34" s="242">
        <f>[3]Delta!$GT$41</f>
        <v>105822</v>
      </c>
      <c r="M34" s="2">
        <f>[3]Delta!$GF$41</f>
        <v>1763826</v>
      </c>
      <c r="N34" s="58">
        <f t="shared" si="13"/>
        <v>-0.94000428613706799</v>
      </c>
      <c r="O34" s="242">
        <f>SUM([3]Delta!$GP$41:$GT$41)</f>
        <v>4058452</v>
      </c>
      <c r="P34" s="2">
        <f>SUM([3]Delta!$GB$41:$GF$41)</f>
        <v>7897759</v>
      </c>
      <c r="Q34" s="3">
        <f t="shared" si="14"/>
        <v>-0.4861261276774842</v>
      </c>
      <c r="R34" s="58">
        <f t="shared" si="15"/>
        <v>0.52746728877827198</v>
      </c>
      <c r="S34" s="31"/>
      <c r="T34" s="33" t="s">
        <v>18</v>
      </c>
      <c r="U34" s="242">
        <f>[3]Delta!$GT$64</f>
        <v>1668911</v>
      </c>
      <c r="V34" s="2">
        <f>[3]Delta!$GF$64</f>
        <v>9194643</v>
      </c>
      <c r="W34" s="58">
        <f t="shared" si="16"/>
        <v>-0.81849094086632834</v>
      </c>
      <c r="X34" s="242">
        <f>SUM([3]Delta!$GP$64:$GT$64)</f>
        <v>22676637</v>
      </c>
      <c r="Y34" s="2">
        <f>SUM([3]Delta!$GB$64:$GF$64)</f>
        <v>47540734</v>
      </c>
      <c r="Z34" s="3">
        <f t="shared" si="17"/>
        <v>-0.52300616561788882</v>
      </c>
      <c r="AA34" s="58">
        <f t="shared" si="18"/>
        <v>0.81673424752223234</v>
      </c>
    </row>
    <row r="35" spans="1:27" ht="14.1" customHeight="1" x14ac:dyDescent="0.2">
      <c r="A35" s="31"/>
      <c r="B35" s="244" t="s">
        <v>118</v>
      </c>
      <c r="C35" s="242">
        <f>[3]Compass!$GT$19</f>
        <v>0</v>
      </c>
      <c r="D35" s="2">
        <f>[3]Compass!$GF$19</f>
        <v>0</v>
      </c>
      <c r="E35" s="58" t="e">
        <f t="shared" si="11"/>
        <v>#DIV/0!</v>
      </c>
      <c r="F35" s="2">
        <f>SUM([3]Compass!$GP$19:$GT$19)</f>
        <v>0</v>
      </c>
      <c r="G35" s="2">
        <f>SUM([3]Compass!$GB$19:$GF$19)</f>
        <v>0</v>
      </c>
      <c r="H35" s="3" t="e">
        <f t="shared" si="19"/>
        <v>#DIV/0!</v>
      </c>
      <c r="I35" s="58">
        <f t="shared" si="12"/>
        <v>0</v>
      </c>
      <c r="J35" s="31"/>
      <c r="K35" s="244" t="s">
        <v>118</v>
      </c>
      <c r="L35" s="242">
        <f>[3]Compass!$GT$41</f>
        <v>0</v>
      </c>
      <c r="M35" s="2">
        <f>[3]Compass!$GF$41</f>
        <v>0</v>
      </c>
      <c r="N35" s="58" t="e">
        <f t="shared" si="13"/>
        <v>#DIV/0!</v>
      </c>
      <c r="O35" s="242">
        <f>SUM([3]Compass!$GP$41:$GT$41)</f>
        <v>0</v>
      </c>
      <c r="P35" s="2">
        <f>SUM([3]Compass!$GB$41:$GF$41)</f>
        <v>0</v>
      </c>
      <c r="Q35" s="3" t="e">
        <f t="shared" si="14"/>
        <v>#DIV/0!</v>
      </c>
      <c r="R35" s="58">
        <f t="shared" si="15"/>
        <v>0</v>
      </c>
      <c r="S35" s="31"/>
      <c r="T35" s="244" t="s">
        <v>118</v>
      </c>
      <c r="U35" s="242">
        <f>[3]Compass!$GT$64</f>
        <v>0</v>
      </c>
      <c r="V35" s="2">
        <f>[3]Compass!$GF$64</f>
        <v>0</v>
      </c>
      <c r="W35" s="58" t="e">
        <f t="shared" si="16"/>
        <v>#DIV/0!</v>
      </c>
      <c r="X35" s="242">
        <f>SUM([3]Compass!$GP$64:$GT$64)</f>
        <v>0</v>
      </c>
      <c r="Y35" s="2">
        <f>SUM([3]Compass!$GB$64:$GF$64)</f>
        <v>0</v>
      </c>
      <c r="Z35" s="3" t="e">
        <f t="shared" si="17"/>
        <v>#DIV/0!</v>
      </c>
      <c r="AA35" s="58">
        <f t="shared" si="18"/>
        <v>0</v>
      </c>
    </row>
    <row r="36" spans="1:27" ht="14.1" customHeight="1" x14ac:dyDescent="0.2">
      <c r="A36" s="31"/>
      <c r="B36" s="33" t="s">
        <v>159</v>
      </c>
      <c r="C36" s="242">
        <f>[3]Pinnacle!$GT$19</f>
        <v>1498</v>
      </c>
      <c r="D36" s="2">
        <f>[3]Pinnacle!$GF$19</f>
        <v>2532</v>
      </c>
      <c r="E36" s="58">
        <f t="shared" si="11"/>
        <v>-0.40837282780410744</v>
      </c>
      <c r="F36" s="2">
        <f>SUM([3]Pinnacle!$GP$19:$GT$19)</f>
        <v>9578</v>
      </c>
      <c r="G36" s="2">
        <f>SUM([3]Pinnacle!$GB$19:$GF$19)</f>
        <v>10778</v>
      </c>
      <c r="H36" s="3">
        <f t="shared" si="19"/>
        <v>-0.11133791055854518</v>
      </c>
      <c r="I36" s="58">
        <f t="shared" si="12"/>
        <v>9.5973867211767774E-2</v>
      </c>
      <c r="J36" s="31"/>
      <c r="K36" s="33" t="s">
        <v>159</v>
      </c>
      <c r="L36" s="242">
        <f>[3]Pinnacle!$GT$41</f>
        <v>31194</v>
      </c>
      <c r="M36" s="2">
        <f>[3]Pinnacle!$GF$41</f>
        <v>160838</v>
      </c>
      <c r="N36" s="58">
        <f t="shared" si="13"/>
        <v>-0.80605329586291796</v>
      </c>
      <c r="O36" s="242">
        <f>SUM([3]Pinnacle!$GP$41:$GT$41)</f>
        <v>374051</v>
      </c>
      <c r="P36" s="2">
        <f>SUM([3]Pinnacle!$GB$41:$GF$41)</f>
        <v>655395</v>
      </c>
      <c r="Q36" s="3">
        <f t="shared" si="14"/>
        <v>-0.42927394929775176</v>
      </c>
      <c r="R36" s="58">
        <f t="shared" si="15"/>
        <v>4.8614512832676454E-2</v>
      </c>
      <c r="S36" s="31"/>
      <c r="T36" s="33" t="s">
        <v>159</v>
      </c>
      <c r="U36" s="242">
        <f>[3]Pinnacle!$GT$64</f>
        <v>0</v>
      </c>
      <c r="V36" s="2">
        <f>[3]Pinnacle!$GF$64</f>
        <v>0</v>
      </c>
      <c r="W36" s="58" t="e">
        <f t="shared" si="16"/>
        <v>#DIV/0!</v>
      </c>
      <c r="X36" s="242">
        <f>SUM([3]Pinnacle!$GP$64:$GT$64)</f>
        <v>0</v>
      </c>
      <c r="Y36" s="2">
        <f>SUM([3]Pinnacle!$GB$64:$GF$64)</f>
        <v>0</v>
      </c>
      <c r="Z36" s="3" t="e">
        <f t="shared" si="17"/>
        <v>#DIV/0!</v>
      </c>
      <c r="AA36" s="58">
        <f t="shared" si="18"/>
        <v>0</v>
      </c>
    </row>
    <row r="37" spans="1:27" ht="14.1" customHeight="1" x14ac:dyDescent="0.2">
      <c r="A37" s="31"/>
      <c r="B37" s="33" t="s">
        <v>155</v>
      </c>
      <c r="C37" s="242">
        <f>'[3]Go Jet'!$GT$19</f>
        <v>0</v>
      </c>
      <c r="D37" s="2">
        <f>'[3]Go Jet'!$GF$19</f>
        <v>114</v>
      </c>
      <c r="E37" s="58">
        <f t="shared" si="11"/>
        <v>-1</v>
      </c>
      <c r="F37" s="2">
        <f>SUM('[3]Go Jet'!$GP$19:$GT$19)</f>
        <v>44</v>
      </c>
      <c r="G37" s="2">
        <f>SUM('[3]Go Jet'!$GB$19:$GF$19)</f>
        <v>1168</v>
      </c>
      <c r="H37" s="3">
        <f>(F37-G37)/G37</f>
        <v>-0.96232876712328763</v>
      </c>
      <c r="I37" s="58">
        <f t="shared" si="12"/>
        <v>4.4089059901000023E-4</v>
      </c>
      <c r="J37" s="31"/>
      <c r="K37" s="33" t="s">
        <v>155</v>
      </c>
      <c r="L37" s="242">
        <f>'[3]Go Jet'!$GT$41</f>
        <v>0</v>
      </c>
      <c r="M37" s="2">
        <f>'[3]Go Jet'!$GF$41</f>
        <v>6958</v>
      </c>
      <c r="N37" s="58">
        <f t="shared" si="13"/>
        <v>-1</v>
      </c>
      <c r="O37" s="242">
        <f>SUM('[3]Go Jet'!$GP$41:$GT$41)</f>
        <v>2644</v>
      </c>
      <c r="P37" s="2">
        <f>SUM('[3]Go Jet'!$GB$41:$GF$41)</f>
        <v>67017</v>
      </c>
      <c r="Q37" s="3">
        <f>(O37-P37)/P37</f>
        <v>-0.96054732381336083</v>
      </c>
      <c r="R37" s="58">
        <f t="shared" si="15"/>
        <v>3.4363434913847724E-4</v>
      </c>
      <c r="S37" s="31"/>
      <c r="T37" s="33" t="s">
        <v>155</v>
      </c>
      <c r="U37" s="242">
        <f>'[3]Go Jet'!$GT$64</f>
        <v>0</v>
      </c>
      <c r="V37" s="2">
        <f>'[3]Go Jet'!$GF$64</f>
        <v>79</v>
      </c>
      <c r="W37" s="58">
        <f t="shared" si="16"/>
        <v>-1</v>
      </c>
      <c r="X37" s="242">
        <f>SUM('[3]Go Jet'!$GP$64:$GT$64)</f>
        <v>0</v>
      </c>
      <c r="Y37" s="2">
        <f>SUM('[3]Go Jet'!$GB$64:$GF$64)</f>
        <v>171</v>
      </c>
      <c r="Z37" s="3">
        <f>(X37-Y37)/Y37</f>
        <v>-1</v>
      </c>
      <c r="AA37" s="58">
        <f t="shared" si="18"/>
        <v>0</v>
      </c>
    </row>
    <row r="38" spans="1:27" ht="14.1" customHeight="1" x14ac:dyDescent="0.2">
      <c r="A38" s="31"/>
      <c r="B38" s="33" t="s">
        <v>98</v>
      </c>
      <c r="C38" s="242">
        <f>'[3]Sky West'!$GT$19</f>
        <v>1550</v>
      </c>
      <c r="D38" s="2">
        <f>'[3]Sky West'!$GF$19</f>
        <v>7995</v>
      </c>
      <c r="E38" s="58">
        <f t="shared" si="11"/>
        <v>-0.80612883051907447</v>
      </c>
      <c r="F38" s="2">
        <f>SUM('[3]Sky West'!$GP$19:$GT$19)</f>
        <v>26964</v>
      </c>
      <c r="G38" s="2">
        <f>SUM('[3]Sky West'!$GB$19:$GF$19)</f>
        <v>37953</v>
      </c>
      <c r="H38" s="3">
        <f t="shared" si="19"/>
        <v>-0.28954232866967039</v>
      </c>
      <c r="I38" s="58">
        <f t="shared" si="12"/>
        <v>0.27018577526603738</v>
      </c>
      <c r="J38" s="31"/>
      <c r="K38" s="33" t="s">
        <v>98</v>
      </c>
      <c r="L38" s="242">
        <f>'[3]Sky West'!$GT$41</f>
        <v>26012</v>
      </c>
      <c r="M38" s="2">
        <f>'[3]Sky West'!$GF$41</f>
        <v>405261</v>
      </c>
      <c r="N38" s="58">
        <f t="shared" si="13"/>
        <v>-0.93581420368601964</v>
      </c>
      <c r="O38" s="242">
        <f>SUM('[3]Sky West'!$GP$41:$GT$41)</f>
        <v>966982</v>
      </c>
      <c r="P38" s="2">
        <f>SUM('[3]Sky West'!$GB$41:$GF$41)</f>
        <v>1828911</v>
      </c>
      <c r="Q38" s="3">
        <f t="shared" si="14"/>
        <v>-0.47127990372412876</v>
      </c>
      <c r="R38" s="58">
        <f t="shared" si="15"/>
        <v>0.12567633517345803</v>
      </c>
      <c r="S38" s="31"/>
      <c r="T38" s="33" t="s">
        <v>98</v>
      </c>
      <c r="U38" s="242">
        <f>'[3]Sky West'!$GT$64</f>
        <v>0</v>
      </c>
      <c r="V38" s="2">
        <f>'[3]Sky West'!$GF$64</f>
        <v>0</v>
      </c>
      <c r="W38" s="58" t="e">
        <f t="shared" si="16"/>
        <v>#DIV/0!</v>
      </c>
      <c r="X38" s="242">
        <f>SUM('[3]Sky West'!$GP$64:$GT$64)</f>
        <v>0</v>
      </c>
      <c r="Y38" s="2">
        <f>SUM('[3]Sky West'!$GB$64:$GF$64)</f>
        <v>0</v>
      </c>
      <c r="Z38" s="3" t="e">
        <f t="shared" ref="Z38:Z40" si="20">(X38-Y38)/Y38</f>
        <v>#DIV/0!</v>
      </c>
      <c r="AA38" s="58">
        <f t="shared" si="18"/>
        <v>0</v>
      </c>
    </row>
    <row r="39" spans="1:27" ht="14.1" customHeight="1" x14ac:dyDescent="0.2">
      <c r="A39" s="31"/>
      <c r="B39" s="33" t="s">
        <v>132</v>
      </c>
      <c r="C39" s="242">
        <f>'[3]Shuttle America_Delta'!$GT$19</f>
        <v>0</v>
      </c>
      <c r="D39" s="2">
        <f>'[3]Shuttle America_Delta'!$GF$19</f>
        <v>0</v>
      </c>
      <c r="E39" s="58" t="e">
        <f t="shared" si="11"/>
        <v>#DIV/0!</v>
      </c>
      <c r="F39" s="2">
        <f>SUM('[3]Shuttle America_Delta'!$GP$19:$GT$19)</f>
        <v>0</v>
      </c>
      <c r="G39" s="2">
        <f>SUM('[3]Shuttle America_Delta'!$GB$19:$GF$19)</f>
        <v>322</v>
      </c>
      <c r="H39" s="3">
        <f t="shared" si="19"/>
        <v>-1</v>
      </c>
      <c r="I39" s="58">
        <f t="shared" si="12"/>
        <v>0</v>
      </c>
      <c r="J39" s="31"/>
      <c r="K39" s="33" t="s">
        <v>132</v>
      </c>
      <c r="L39" s="242">
        <f>'[3]Shuttle America_Delta'!$GT$41</f>
        <v>0</v>
      </c>
      <c r="M39" s="2">
        <f>'[3]Shuttle America_Delta'!$GF$41</f>
        <v>0</v>
      </c>
      <c r="N39" s="58" t="e">
        <f t="shared" si="13"/>
        <v>#DIV/0!</v>
      </c>
      <c r="O39" s="242">
        <f>SUM('[3]Shuttle America_Delta'!$GP$41:$GT$41)</f>
        <v>0</v>
      </c>
      <c r="P39" s="2">
        <f>SUM('[3]Shuttle America_Delta'!$GB$41:$GF$41)</f>
        <v>16634</v>
      </c>
      <c r="Q39" s="3">
        <f t="shared" si="14"/>
        <v>-1</v>
      </c>
      <c r="R39" s="58">
        <f t="shared" si="15"/>
        <v>0</v>
      </c>
      <c r="S39" s="31"/>
      <c r="T39" s="33" t="s">
        <v>132</v>
      </c>
      <c r="U39" s="242">
        <f>'[3]Shuttle America_Delta'!$GT$64</f>
        <v>0</v>
      </c>
      <c r="V39" s="2">
        <f>'[3]Shuttle America_Delta'!$GF$64</f>
        <v>0</v>
      </c>
      <c r="W39" s="58" t="e">
        <f t="shared" si="16"/>
        <v>#DIV/0!</v>
      </c>
      <c r="X39" s="242">
        <f>SUM('[3]Shuttle America_Delta'!$GP$64:$GT$64)</f>
        <v>0</v>
      </c>
      <c r="Y39" s="2">
        <f>SUM('[3]Shuttle America_Delta'!$GB$64:$GF$64)</f>
        <v>137</v>
      </c>
      <c r="Z39" s="3">
        <f t="shared" si="20"/>
        <v>-1</v>
      </c>
      <c r="AA39" s="58">
        <f t="shared" si="18"/>
        <v>0</v>
      </c>
    </row>
    <row r="40" spans="1:27" ht="14.1" customHeight="1" x14ac:dyDescent="0.2">
      <c r="A40" s="31"/>
      <c r="B40" s="295" t="s">
        <v>167</v>
      </c>
      <c r="C40" s="242">
        <f>'[3]Atlantic Southeast'!$GT$19</f>
        <v>0</v>
      </c>
      <c r="D40" s="2">
        <f>'[3]Atlantic Southeast'!$GF$19</f>
        <v>0</v>
      </c>
      <c r="E40" s="58" t="e">
        <f t="shared" si="11"/>
        <v>#DIV/0!</v>
      </c>
      <c r="F40" s="2">
        <f>SUM('[3]Atlantic Southeast'!$GP$19:$GT$19)</f>
        <v>0</v>
      </c>
      <c r="G40" s="2">
        <f>SUM('[3]Atlantic Southeast'!$GB$19:$GF$19)</f>
        <v>0</v>
      </c>
      <c r="H40" s="3" t="e">
        <f t="shared" si="19"/>
        <v>#DIV/0!</v>
      </c>
      <c r="I40" s="58">
        <f t="shared" si="12"/>
        <v>0</v>
      </c>
      <c r="J40" s="31"/>
      <c r="K40" s="295" t="s">
        <v>167</v>
      </c>
      <c r="L40" s="242">
        <f>'[3]Atlantic Southeast'!$GT$41</f>
        <v>0</v>
      </c>
      <c r="M40" s="2">
        <f>'[3]Atlantic Southeast'!$GF$41</f>
        <v>0</v>
      </c>
      <c r="N40" s="58" t="e">
        <f t="shared" si="13"/>
        <v>#DIV/0!</v>
      </c>
      <c r="O40" s="242">
        <f>SUM('[3]Atlantic Southeast'!$GP$41:$GT$41)</f>
        <v>0</v>
      </c>
      <c r="P40" s="2">
        <f>SUM('[3]Atlantic Southeast'!$GB$41:$GF$41)</f>
        <v>0</v>
      </c>
      <c r="Q40" s="3" t="e">
        <f t="shared" si="14"/>
        <v>#DIV/0!</v>
      </c>
      <c r="R40" s="58">
        <f t="shared" si="15"/>
        <v>0</v>
      </c>
      <c r="S40" s="31"/>
      <c r="T40" s="295" t="s">
        <v>167</v>
      </c>
      <c r="U40" s="242">
        <f>'[3]Atlantic Southeast'!$GT$64</f>
        <v>0</v>
      </c>
      <c r="V40" s="2">
        <f>'[3]Atlantic Southeast'!$GF$64</f>
        <v>0</v>
      </c>
      <c r="W40" s="58" t="e">
        <f t="shared" si="16"/>
        <v>#DIV/0!</v>
      </c>
      <c r="X40" s="242">
        <f>SUM('[3]Atlantic Southeast'!$GP$64:$GT$64)</f>
        <v>0</v>
      </c>
      <c r="Y40" s="2">
        <f>SUM('[3]Atlantic Southeast'!$GB$64:$GF$64)</f>
        <v>0</v>
      </c>
      <c r="Z40" s="3" t="e">
        <f t="shared" si="20"/>
        <v>#DIV/0!</v>
      </c>
      <c r="AA40" s="58">
        <f t="shared" si="18"/>
        <v>0</v>
      </c>
    </row>
    <row r="41" spans="1:27" ht="14.1" customHeight="1" x14ac:dyDescent="0.2">
      <c r="A41" s="31"/>
      <c r="B41" s="295"/>
      <c r="C41" s="242"/>
      <c r="E41" s="58"/>
      <c r="F41" s="2"/>
      <c r="I41" s="58"/>
      <c r="J41" s="31"/>
      <c r="K41" s="295"/>
      <c r="L41" s="242"/>
      <c r="N41" s="58"/>
      <c r="O41" s="242"/>
      <c r="P41" s="2"/>
      <c r="Q41" s="3"/>
      <c r="R41" s="58"/>
      <c r="S41" s="31"/>
      <c r="T41" s="295"/>
      <c r="U41" s="242"/>
      <c r="V41" s="2"/>
      <c r="W41" s="58"/>
      <c r="X41" s="242"/>
      <c r="Y41" s="2"/>
      <c r="Z41" s="3"/>
      <c r="AA41" s="58"/>
    </row>
    <row r="42" spans="1:27" ht="14.1" customHeight="1" x14ac:dyDescent="0.2">
      <c r="A42" s="238" t="s">
        <v>47</v>
      </c>
      <c r="B42" s="33"/>
      <c r="C42" s="239">
        <f>[3]Frontier!$GT$19</f>
        <v>34</v>
      </c>
      <c r="D42" s="115">
        <f>[3]Frontier!$GF$19</f>
        <v>320</v>
      </c>
      <c r="E42" s="241">
        <f>(C42-D42)/D42</f>
        <v>-0.89375000000000004</v>
      </c>
      <c r="F42" s="115">
        <f>SUM([3]Frontier!$GP$19:$GT$19)</f>
        <v>673</v>
      </c>
      <c r="G42" s="115">
        <f>SUM([3]Frontier!$GB$19:$GF$19)</f>
        <v>1141</v>
      </c>
      <c r="H42" s="240">
        <f>(F42-G42)/G42</f>
        <v>-0.41016652059596848</v>
      </c>
      <c r="I42" s="241">
        <f>F42/$F$68</f>
        <v>6.7436221166756851E-3</v>
      </c>
      <c r="J42" s="238" t="s">
        <v>47</v>
      </c>
      <c r="K42" s="33"/>
      <c r="L42" s="239">
        <f>[3]Frontier!$GT$41</f>
        <v>3430</v>
      </c>
      <c r="M42" s="115">
        <f>[3]Frontier!$GF$41</f>
        <v>48811</v>
      </c>
      <c r="N42" s="241">
        <f>(L42-M42)/M42</f>
        <v>-0.92972895453893589</v>
      </c>
      <c r="O42" s="239">
        <f>SUM([3]Frontier!$GP$41:$GT$41)</f>
        <v>94088</v>
      </c>
      <c r="P42" s="115">
        <f>SUM([3]Frontier!$GB$41:$GF$41)</f>
        <v>190075</v>
      </c>
      <c r="Q42" s="240">
        <f>(O42-P42)/P42</f>
        <v>-0.50499539655399184</v>
      </c>
      <c r="R42" s="241">
        <f>O42/$O$68</f>
        <v>1.2228392073275736E-2</v>
      </c>
      <c r="S42" s="238" t="s">
        <v>47</v>
      </c>
      <c r="T42" s="33"/>
      <c r="U42" s="239">
        <f>[3]Frontier!$GT$64</f>
        <v>0</v>
      </c>
      <c r="V42" s="115">
        <f>[3]Frontier!$GF$64</f>
        <v>0</v>
      </c>
      <c r="W42" s="241" t="e">
        <f>(U42-V42)/V42</f>
        <v>#DIV/0!</v>
      </c>
      <c r="X42" s="239">
        <f>SUM([3]Frontier!$GP$64:$GT$64)</f>
        <v>0</v>
      </c>
      <c r="Y42" s="115">
        <f>SUM([3]Frontier!$GB$64:$GF$64)</f>
        <v>0</v>
      </c>
      <c r="Z42" s="240" t="e">
        <f>(X42-Y42)/Y42</f>
        <v>#DIV/0!</v>
      </c>
      <c r="AA42" s="241">
        <f>X42/$X$68</f>
        <v>0</v>
      </c>
    </row>
    <row r="43" spans="1:27" ht="14.1" customHeight="1" x14ac:dyDescent="0.2">
      <c r="A43" s="238"/>
      <c r="B43" s="33"/>
      <c r="C43" s="239"/>
      <c r="D43" s="115"/>
      <c r="E43" s="241"/>
      <c r="F43" s="115"/>
      <c r="G43" s="115"/>
      <c r="H43" s="240"/>
      <c r="I43" s="241"/>
      <c r="J43" s="238"/>
      <c r="K43" s="33"/>
      <c r="L43" s="242"/>
      <c r="N43" s="58"/>
      <c r="O43" s="242"/>
      <c r="P43" s="2"/>
      <c r="Q43" s="3"/>
      <c r="R43" s="58"/>
      <c r="S43" s="238"/>
      <c r="T43" s="33"/>
      <c r="U43" s="242"/>
      <c r="V43" s="2"/>
      <c r="W43" s="58"/>
      <c r="X43" s="242"/>
      <c r="Y43" s="2"/>
      <c r="Z43" s="3"/>
      <c r="AA43" s="58"/>
    </row>
    <row r="44" spans="1:27" ht="14.1" customHeight="1" x14ac:dyDescent="0.2">
      <c r="A44" s="238" t="s">
        <v>48</v>
      </c>
      <c r="B44" s="33"/>
      <c r="C44" s="239">
        <f>[3]Icelandair!$GT$19</f>
        <v>0</v>
      </c>
      <c r="D44" s="115">
        <f>[3]Icelandair!$GF$19</f>
        <v>62</v>
      </c>
      <c r="E44" s="241">
        <f>(C44-D44)/D44</f>
        <v>-1</v>
      </c>
      <c r="F44" s="115">
        <f>SUM([3]Icelandair!$GP$19:$GT$19)</f>
        <v>18</v>
      </c>
      <c r="G44" s="115">
        <f>SUM([3]Icelandair!$GB$19:$GF$19)</f>
        <v>148</v>
      </c>
      <c r="H44" s="240">
        <f>(F44-G44)/G44</f>
        <v>-0.8783783783783784</v>
      </c>
      <c r="I44" s="241">
        <f>F44/$F$68</f>
        <v>1.8036433595863645E-4</v>
      </c>
      <c r="J44" s="238" t="s">
        <v>48</v>
      </c>
      <c r="K44" s="33"/>
      <c r="L44" s="239">
        <f>[3]Icelandair!$GT$41</f>
        <v>0</v>
      </c>
      <c r="M44" s="115">
        <f>[3]Icelandair!$GF$41</f>
        <v>10828</v>
      </c>
      <c r="N44" s="241">
        <f>(L44-M44)/M44</f>
        <v>-1</v>
      </c>
      <c r="O44" s="239">
        <f>SUM([3]Icelandair!$GP$41:$GT$41)</f>
        <v>2058</v>
      </c>
      <c r="P44" s="115">
        <f>SUM([3]Icelandair!$GB$41:$GF$41)</f>
        <v>22346</v>
      </c>
      <c r="Q44" s="240">
        <f>(O44-P44)/P44</f>
        <v>-0.90790298039917661</v>
      </c>
      <c r="R44" s="241">
        <f>O44/$O$68</f>
        <v>2.6747333227193122E-4</v>
      </c>
      <c r="S44" s="238" t="s">
        <v>48</v>
      </c>
      <c r="T44" s="33"/>
      <c r="U44" s="239">
        <f>[3]Icelandair!$GT$64</f>
        <v>0</v>
      </c>
      <c r="V44" s="115">
        <f>[3]Icelandair!$GF$64</f>
        <v>41695</v>
      </c>
      <c r="W44" s="241">
        <f>(U44-V44)/V44</f>
        <v>-1</v>
      </c>
      <c r="X44" s="239">
        <f>SUM([3]Icelandair!$GP$64:$GT$64)</f>
        <v>2574</v>
      </c>
      <c r="Y44" s="115">
        <f>SUM([3]Icelandair!$GB$64:$GF$64)</f>
        <v>98105</v>
      </c>
      <c r="Z44" s="240">
        <f>(X44-Y44)/Y44</f>
        <v>-0.97376280515773916</v>
      </c>
      <c r="AA44" s="241">
        <f>X44/$X$68</f>
        <v>9.2706601650069463E-5</v>
      </c>
    </row>
    <row r="45" spans="1:27" ht="14.1" customHeight="1" x14ac:dyDescent="0.2">
      <c r="A45" s="238"/>
      <c r="B45" s="33"/>
      <c r="C45" s="239"/>
      <c r="D45" s="115"/>
      <c r="E45" s="241"/>
      <c r="F45" s="115"/>
      <c r="G45" s="115"/>
      <c r="H45" s="240"/>
      <c r="I45" s="241"/>
      <c r="J45" s="238"/>
      <c r="K45" s="33"/>
      <c r="L45" s="242"/>
      <c r="N45" s="58"/>
      <c r="O45" s="242"/>
      <c r="P45" s="2"/>
      <c r="Q45" s="3"/>
      <c r="R45" s="58"/>
      <c r="S45" s="238"/>
      <c r="T45" s="33"/>
      <c r="U45" s="242"/>
      <c r="V45" s="2"/>
      <c r="W45" s="58"/>
      <c r="X45" s="242"/>
      <c r="Y45" s="2"/>
      <c r="Z45" s="3"/>
      <c r="AA45" s="58"/>
    </row>
    <row r="46" spans="1:27" ht="14.1" customHeight="1" x14ac:dyDescent="0.2">
      <c r="A46" s="238" t="s">
        <v>201</v>
      </c>
      <c r="B46" s="33"/>
      <c r="C46" s="239">
        <f>'[3]Jet Blue'!$GT$19</f>
        <v>10</v>
      </c>
      <c r="D46" s="115">
        <f>'[3]Jet Blue'!$GF$19</f>
        <v>186</v>
      </c>
      <c r="E46" s="241">
        <f>(C46-D46)/D46</f>
        <v>-0.94623655913978499</v>
      </c>
      <c r="F46" s="115">
        <f>SUM('[3]Jet Blue'!$GP$19:$GT$19)</f>
        <v>497</v>
      </c>
      <c r="G46" s="115">
        <f>SUM('[3]Jet Blue'!$GB$19:$GF$19)</f>
        <v>846</v>
      </c>
      <c r="H46" s="240">
        <f>(F46-G46)/G46</f>
        <v>-0.41252955082742315</v>
      </c>
      <c r="I46" s="241">
        <f>F46/$F$68</f>
        <v>4.9800597206356842E-3</v>
      </c>
      <c r="J46" s="238" t="s">
        <v>201</v>
      </c>
      <c r="K46" s="33"/>
      <c r="L46" s="239">
        <f>'[3]Jet Blue'!$GT$41</f>
        <v>58</v>
      </c>
      <c r="M46" s="115">
        <f>'[3]Jet Blue'!$GF$41</f>
        <v>21368</v>
      </c>
      <c r="N46" s="241">
        <f>(L46-M46)/M46</f>
        <v>-0.99728566080119807</v>
      </c>
      <c r="O46" s="239">
        <f>SUM('[3]Jet Blue'!$GP$41:$GT$41)</f>
        <v>28752</v>
      </c>
      <c r="P46" s="115">
        <f>SUM('[3]Jet Blue'!$GB$41:$GF$41)</f>
        <v>86974</v>
      </c>
      <c r="Q46" s="240">
        <f>(O46-P46)/P46</f>
        <v>-0.66941844689217467</v>
      </c>
      <c r="R46" s="241">
        <f>O46/$O$68</f>
        <v>3.7368285954725786E-3</v>
      </c>
      <c r="S46" s="238" t="s">
        <v>201</v>
      </c>
      <c r="T46" s="33"/>
      <c r="U46" s="239">
        <f>'[3]Jet Blue'!$GT$64</f>
        <v>0</v>
      </c>
      <c r="V46" s="115">
        <f>'[3]Jet Blue'!$GF$64</f>
        <v>0</v>
      </c>
      <c r="W46" s="241" t="e">
        <f>(U46-V46)/V46</f>
        <v>#DIV/0!</v>
      </c>
      <c r="X46" s="239">
        <f>SUM('[3]Jet Blue'!$GP$64:$GT$64)</f>
        <v>0</v>
      </c>
      <c r="Y46" s="115">
        <f>SUM('[3]Jet Blue'!$GB$64:$GF$64)</f>
        <v>0</v>
      </c>
      <c r="Z46" s="240" t="e">
        <f>(X46-Y46)/Y46</f>
        <v>#DIV/0!</v>
      </c>
      <c r="AA46" s="241">
        <f>X46/$X$68</f>
        <v>0</v>
      </c>
    </row>
    <row r="47" spans="1:27" ht="14.1" customHeight="1" x14ac:dyDescent="0.2">
      <c r="A47" s="238"/>
      <c r="B47" s="33"/>
      <c r="C47" s="239"/>
      <c r="D47" s="115"/>
      <c r="E47" s="241"/>
      <c r="F47" s="115"/>
      <c r="G47" s="115"/>
      <c r="H47" s="240"/>
      <c r="I47" s="241"/>
      <c r="J47" s="238"/>
      <c r="K47" s="33"/>
      <c r="L47" s="242"/>
      <c r="N47" s="58"/>
      <c r="O47" s="242"/>
      <c r="P47" s="2"/>
      <c r="Q47" s="3"/>
      <c r="R47" s="58"/>
      <c r="S47" s="238"/>
      <c r="T47" s="33"/>
      <c r="U47" s="242"/>
      <c r="V47" s="2"/>
      <c r="W47" s="58"/>
      <c r="X47" s="242"/>
      <c r="Y47" s="2"/>
      <c r="Z47" s="3"/>
      <c r="AA47" s="58"/>
    </row>
    <row r="48" spans="1:27" ht="14.1" customHeight="1" x14ac:dyDescent="0.2">
      <c r="A48" s="238" t="s">
        <v>194</v>
      </c>
      <c r="B48" s="33"/>
      <c r="C48" s="239">
        <f>[3]KLM!$GT$19</f>
        <v>0</v>
      </c>
      <c r="D48" s="115">
        <f>[3]KLM!$GF$19</f>
        <v>38</v>
      </c>
      <c r="E48" s="241">
        <f>(C48-D48)/D48</f>
        <v>-1</v>
      </c>
      <c r="F48" s="115">
        <f>SUM([3]KLM!$GP$19:$GT$19)</f>
        <v>80</v>
      </c>
      <c r="G48" s="115">
        <f>SUM([3]KLM!$GB$19:$GF$19)</f>
        <v>168</v>
      </c>
      <c r="H48" s="240">
        <f>(F48-G48)/G48</f>
        <v>-0.52380952380952384</v>
      </c>
      <c r="I48" s="241">
        <f>F48/$F$68</f>
        <v>8.0161927092727307E-4</v>
      </c>
      <c r="J48" s="238" t="s">
        <v>194</v>
      </c>
      <c r="K48" s="33"/>
      <c r="L48" s="239">
        <f>[3]KLM!$GT$41</f>
        <v>0</v>
      </c>
      <c r="M48" s="115">
        <f>[3]KLM!$GF$41</f>
        <v>8000</v>
      </c>
      <c r="N48" s="241">
        <f>(L48-M48)/M48</f>
        <v>-1</v>
      </c>
      <c r="O48" s="239">
        <f>SUM([3]KLM!$GP$41:$GT$41)</f>
        <v>15968</v>
      </c>
      <c r="P48" s="115">
        <f>SUM([3]KLM!$GB$41:$GF$41)</f>
        <v>37063</v>
      </c>
      <c r="Q48" s="240">
        <f>(O48-P48)/P48</f>
        <v>-0.56916601462374872</v>
      </c>
      <c r="R48" s="241">
        <f>O48/$O$68</f>
        <v>2.0753227258105919E-3</v>
      </c>
      <c r="S48" s="238" t="s">
        <v>194</v>
      </c>
      <c r="T48" s="33"/>
      <c r="U48" s="239">
        <f>[3]KLM!$GT$64</f>
        <v>0</v>
      </c>
      <c r="V48" s="115">
        <f>[3]KLM!$GF$64</f>
        <v>523824</v>
      </c>
      <c r="W48" s="241">
        <f>(U48-V48)/V48</f>
        <v>-1</v>
      </c>
      <c r="X48" s="239">
        <f>SUM([3]KLM!$GP$64:$GT$64)</f>
        <v>818409</v>
      </c>
      <c r="Y48" s="115">
        <f>SUM([3]KLM!$GB$64:$GF$64)</f>
        <v>3156004</v>
      </c>
      <c r="Z48" s="240">
        <f>(X48-Y48)/Y48</f>
        <v>-0.74068188760217035</v>
      </c>
      <c r="AA48" s="241">
        <f>X48/$X$68</f>
        <v>2.9476269288978903E-2</v>
      </c>
    </row>
    <row r="49" spans="1:27" ht="14.1" customHeight="1" x14ac:dyDescent="0.2">
      <c r="A49" s="238"/>
      <c r="B49" s="33"/>
      <c r="C49" s="239"/>
      <c r="D49" s="115"/>
      <c r="E49" s="241"/>
      <c r="F49" s="115"/>
      <c r="G49" s="115"/>
      <c r="H49" s="240"/>
      <c r="I49" s="241"/>
      <c r="J49" s="238"/>
      <c r="K49" s="33"/>
      <c r="L49" s="242"/>
      <c r="N49" s="58"/>
      <c r="O49" s="242"/>
      <c r="P49" s="2"/>
      <c r="Q49" s="3"/>
      <c r="R49" s="58"/>
      <c r="S49" s="238"/>
      <c r="T49" s="33"/>
      <c r="U49" s="242"/>
      <c r="V49" s="2"/>
      <c r="W49" s="58"/>
      <c r="X49" s="242"/>
      <c r="Y49" s="2"/>
      <c r="Z49" s="3"/>
      <c r="AA49" s="58"/>
    </row>
    <row r="50" spans="1:27" ht="14.1" customHeight="1" x14ac:dyDescent="0.2">
      <c r="A50" s="243" t="s">
        <v>130</v>
      </c>
      <c r="C50" s="239">
        <f>[3]Southwest!$GT$19</f>
        <v>370</v>
      </c>
      <c r="D50" s="115">
        <f>[3]Southwest!$GF$19</f>
        <v>1380</v>
      </c>
      <c r="E50" s="241">
        <f>(C50-D50)/D50</f>
        <v>-0.73188405797101452</v>
      </c>
      <c r="F50" s="115">
        <f>SUM([3]Southwest!$GP$19:$GT$19)</f>
        <v>4226</v>
      </c>
      <c r="G50" s="115">
        <f>SUM([3]Southwest!$GB$19:$GF$19)</f>
        <v>6639</v>
      </c>
      <c r="H50" s="240">
        <f>(F50-G50)/G50</f>
        <v>-0.3634583521614701</v>
      </c>
      <c r="I50" s="241">
        <f>F50/$F$68</f>
        <v>4.2345537986733198E-2</v>
      </c>
      <c r="J50" s="243" t="s">
        <v>130</v>
      </c>
      <c r="L50" s="239">
        <f>[3]Southwest!$GT$41</f>
        <v>16532</v>
      </c>
      <c r="M50" s="115">
        <f>[3]Southwest!$GF$41</f>
        <v>156520</v>
      </c>
      <c r="N50" s="241">
        <f>(L50-M50)/M50</f>
        <v>-0.89437771530794785</v>
      </c>
      <c r="O50" s="239">
        <f>SUM([3]Southwest!$GP$41:$GT$41)</f>
        <v>331633</v>
      </c>
      <c r="P50" s="115">
        <f>SUM([3]Southwest!$GB$41:$GF$41)</f>
        <v>762215</v>
      </c>
      <c r="Q50" s="240">
        <f>(O50-P50)/P50</f>
        <v>-0.56490885117716128</v>
      </c>
      <c r="R50" s="241">
        <f>O50/$O$68</f>
        <v>4.3101546939425348E-2</v>
      </c>
      <c r="S50" s="238" t="s">
        <v>130</v>
      </c>
      <c r="T50" s="33"/>
      <c r="U50" s="239">
        <f>[3]Southwest!$GT$64</f>
        <v>8047</v>
      </c>
      <c r="V50" s="115">
        <f>[3]Southwest!$GF$64</f>
        <v>347128</v>
      </c>
      <c r="W50" s="241">
        <f>(U50-V50)/V50</f>
        <v>-0.97681834942730061</v>
      </c>
      <c r="X50" s="239">
        <f>SUM([3]Southwest!$GP$64:$GT$64)</f>
        <v>1232822</v>
      </c>
      <c r="Y50" s="115">
        <f>SUM([3]Southwest!$GB$64:$GF$64)</f>
        <v>1640224</v>
      </c>
      <c r="Z50" s="240">
        <f>(X50-Y50)/Y50</f>
        <v>-0.2483819283219853</v>
      </c>
      <c r="AA50" s="241">
        <f>X50/$X$68</f>
        <v>4.4401996138089331E-2</v>
      </c>
    </row>
    <row r="51" spans="1:27" ht="14.1" customHeight="1" x14ac:dyDescent="0.2">
      <c r="A51" s="238"/>
      <c r="B51" s="33"/>
      <c r="C51" s="239"/>
      <c r="D51" s="115"/>
      <c r="E51" s="241"/>
      <c r="F51" s="115"/>
      <c r="G51" s="115"/>
      <c r="H51" s="240"/>
      <c r="I51" s="241"/>
      <c r="J51" s="238"/>
      <c r="K51" s="33"/>
      <c r="L51" s="242"/>
      <c r="N51" s="58"/>
      <c r="O51" s="242"/>
      <c r="P51" s="2"/>
      <c r="Q51" s="3"/>
      <c r="R51" s="58"/>
      <c r="S51" s="238"/>
      <c r="T51" s="33"/>
      <c r="U51" s="242"/>
      <c r="V51" s="2"/>
      <c r="W51" s="58"/>
      <c r="X51" s="242"/>
      <c r="Y51" s="2"/>
      <c r="Z51" s="3"/>
      <c r="AA51" s="58"/>
    </row>
    <row r="52" spans="1:27" ht="14.1" customHeight="1" x14ac:dyDescent="0.2">
      <c r="A52" s="238" t="s">
        <v>156</v>
      </c>
      <c r="B52" s="33"/>
      <c r="C52" s="239">
        <f>[3]Spirit!$GT$19</f>
        <v>6</v>
      </c>
      <c r="D52" s="115">
        <f>[3]Spirit!$GF$19</f>
        <v>611</v>
      </c>
      <c r="E52" s="241">
        <f>(C52-D52)/D52</f>
        <v>-0.99018003273322419</v>
      </c>
      <c r="F52" s="115">
        <f>SUM([3]Spirit!$GP$19:$GT$19)</f>
        <v>2007</v>
      </c>
      <c r="G52" s="115">
        <f>SUM([3]Spirit!$GB$19:$GF$19)</f>
        <v>3398</v>
      </c>
      <c r="H52" s="240">
        <f>(F52-G52)/G52</f>
        <v>-0.40935844614479105</v>
      </c>
      <c r="I52" s="241">
        <f>F52/$F$68</f>
        <v>2.0110623459387963E-2</v>
      </c>
      <c r="J52" s="238" t="s">
        <v>156</v>
      </c>
      <c r="K52" s="33"/>
      <c r="L52" s="239">
        <f>[3]Spirit!$GT$41</f>
        <v>155</v>
      </c>
      <c r="M52" s="115">
        <f>[3]Spirit!$GF$41</f>
        <v>89581</v>
      </c>
      <c r="N52" s="241">
        <f>(L52-M52)/M52</f>
        <v>-0.99826972237416411</v>
      </c>
      <c r="O52" s="239">
        <f>SUM([3]Spirit!$GP$41:$GT$41)</f>
        <v>255719</v>
      </c>
      <c r="P52" s="115">
        <f>SUM([3]Spirit!$GB$41:$GF$41)</f>
        <v>500090</v>
      </c>
      <c r="Q52" s="240">
        <f>(O52-P52)/P52</f>
        <v>-0.48865404227239095</v>
      </c>
      <c r="R52" s="241">
        <f>O52/$O$68</f>
        <v>3.3235186129857132E-2</v>
      </c>
      <c r="S52" s="238" t="s">
        <v>156</v>
      </c>
      <c r="T52" s="33"/>
      <c r="U52" s="239">
        <f>[3]Spirit!$GT$64</f>
        <v>0</v>
      </c>
      <c r="V52" s="115">
        <f>[3]Spirit!$GF$64</f>
        <v>0</v>
      </c>
      <c r="W52" s="241" t="e">
        <f>(U52-V52)/V52</f>
        <v>#DIV/0!</v>
      </c>
      <c r="X52" s="239">
        <f>SUM([3]Spirit!$GP$64:$GT$64)</f>
        <v>0</v>
      </c>
      <c r="Y52" s="115">
        <f>SUM([3]Spirit!$GB$64:$GF$64)</f>
        <v>0</v>
      </c>
      <c r="Z52" s="240" t="e">
        <f>(X52-Y52)/Y52</f>
        <v>#DIV/0!</v>
      </c>
      <c r="AA52" s="241">
        <f>X52/$X$68</f>
        <v>0</v>
      </c>
    </row>
    <row r="53" spans="1:27" ht="14.1" customHeight="1" x14ac:dyDescent="0.2">
      <c r="A53" s="238"/>
      <c r="B53" s="33"/>
      <c r="C53" s="239"/>
      <c r="D53" s="115"/>
      <c r="E53" s="241"/>
      <c r="F53" s="115"/>
      <c r="G53" s="115"/>
      <c r="H53" s="240"/>
      <c r="I53" s="241"/>
      <c r="J53" s="238"/>
      <c r="K53" s="33"/>
      <c r="L53" s="242"/>
      <c r="N53" s="58"/>
      <c r="O53" s="242"/>
      <c r="P53" s="2"/>
      <c r="Q53" s="3"/>
      <c r="R53" s="58">
        <f>O53/$O$68</f>
        <v>0</v>
      </c>
      <c r="S53" s="238"/>
      <c r="T53" s="33"/>
      <c r="U53" s="242"/>
      <c r="V53" s="2"/>
      <c r="W53" s="58"/>
      <c r="X53" s="242"/>
      <c r="Y53" s="2"/>
      <c r="Z53" s="3"/>
      <c r="AA53" s="58">
        <f>X53/$X$68</f>
        <v>0</v>
      </c>
    </row>
    <row r="54" spans="1:27" ht="14.1" customHeight="1" x14ac:dyDescent="0.2">
      <c r="A54" s="238" t="s">
        <v>49</v>
      </c>
      <c r="B54" s="33"/>
      <c r="C54" s="239">
        <f>'[3]Sun Country'!$GT$19</f>
        <v>454</v>
      </c>
      <c r="D54" s="115">
        <f>'[3]Sun Country'!$GF$19</f>
        <v>1637</v>
      </c>
      <c r="E54" s="241">
        <f>(C54-D54)/D54</f>
        <v>-0.72266340867440437</v>
      </c>
      <c r="F54" s="115">
        <f>SUM('[3]Sun Country'!$GP$19:$GT$19)</f>
        <v>6253</v>
      </c>
      <c r="G54" s="115">
        <f>SUM('[3]Sun Country'!$GB$19:$GF$19)</f>
        <v>8734</v>
      </c>
      <c r="H54" s="240">
        <f>(F54-G54)/G54</f>
        <v>-0.28406228532173117</v>
      </c>
      <c r="I54" s="241">
        <f>F54/$F$68</f>
        <v>6.2656566263852978E-2</v>
      </c>
      <c r="J54" s="238" t="s">
        <v>49</v>
      </c>
      <c r="K54" s="33"/>
      <c r="L54" s="239">
        <f>'[3]Sun Country'!$GT$41</f>
        <v>33197</v>
      </c>
      <c r="M54" s="115">
        <f>'[3]Sun Country'!$GF$41</f>
        <v>209348</v>
      </c>
      <c r="N54" s="241">
        <f>(L54-M54)/M54</f>
        <v>-0.84142671532567781</v>
      </c>
      <c r="O54" s="239">
        <f>SUM('[3]Sun Country'!$GP$41:$GT$41)</f>
        <v>761209</v>
      </c>
      <c r="P54" s="115">
        <f>SUM('[3]Sun Country'!$GB$41:$GF$41)</f>
        <v>1188886</v>
      </c>
      <c r="Q54" s="240">
        <f>(O54-P54)/P54</f>
        <v>-0.35972919186532604</v>
      </c>
      <c r="R54" s="241">
        <f>O54/$O$68</f>
        <v>9.8932511071615395E-2</v>
      </c>
      <c r="S54" s="238" t="s">
        <v>49</v>
      </c>
      <c r="T54" s="33"/>
      <c r="U54" s="239">
        <f>'[3]Sun Country'!$GT$64</f>
        <v>75346</v>
      </c>
      <c r="V54" s="115">
        <f>'[3]Sun Country'!$GF$64</f>
        <v>796997</v>
      </c>
      <c r="W54" s="241">
        <f>(U54-V54)/V54</f>
        <v>-0.90546263034867136</v>
      </c>
      <c r="X54" s="239">
        <f>SUM('[3]Sun Country'!$GP$64:$GT$64)</f>
        <v>1555303</v>
      </c>
      <c r="Y54" s="115">
        <f>SUM('[3]Sun Country'!$GB$64:$GF$64)</f>
        <v>3504036</v>
      </c>
      <c r="Z54" s="240">
        <f>(X54-Y54)/Y54</f>
        <v>-0.55613954879459004</v>
      </c>
      <c r="AA54" s="241">
        <f>X54/$X$68</f>
        <v>5.6016649442951816E-2</v>
      </c>
    </row>
    <row r="55" spans="1:27" ht="14.1" customHeight="1" x14ac:dyDescent="0.2">
      <c r="A55" s="238"/>
      <c r="B55" s="33"/>
      <c r="C55" s="239"/>
      <c r="D55" s="115"/>
      <c r="E55" s="241"/>
      <c r="F55" s="115"/>
      <c r="G55" s="115"/>
      <c r="H55" s="240"/>
      <c r="I55" s="241"/>
      <c r="J55" s="238"/>
      <c r="K55" s="33"/>
      <c r="L55" s="242"/>
      <c r="N55" s="58"/>
      <c r="O55" s="242"/>
      <c r="P55" s="2"/>
      <c r="Q55" s="3"/>
      <c r="R55" s="58"/>
      <c r="S55" s="238"/>
      <c r="T55" s="33"/>
      <c r="U55" s="242"/>
      <c r="V55" s="2"/>
      <c r="W55" s="58"/>
      <c r="X55" s="242"/>
      <c r="Y55" s="2"/>
      <c r="Z55" s="3"/>
      <c r="AA55" s="58"/>
    </row>
    <row r="56" spans="1:27" ht="14.1" customHeight="1" x14ac:dyDescent="0.2">
      <c r="A56" s="238" t="s">
        <v>19</v>
      </c>
      <c r="B56" s="243"/>
      <c r="C56" s="239">
        <f>SUM(C57:C63)</f>
        <v>136</v>
      </c>
      <c r="D56" s="115">
        <f>SUM(D57:D63)</f>
        <v>1486</v>
      </c>
      <c r="E56" s="241">
        <f t="shared" ref="E56:E63" si="21">(C56-D56)/D56</f>
        <v>-0.9084791386271871</v>
      </c>
      <c r="F56" s="115">
        <f>SUM(F57:F63)</f>
        <v>4552</v>
      </c>
      <c r="G56" s="115">
        <f>SUM(G57:G63)</f>
        <v>6954</v>
      </c>
      <c r="H56" s="240">
        <f t="shared" ref="H56:H63" si="22">(F56-G56)/G56</f>
        <v>-0.34541271210813917</v>
      </c>
      <c r="I56" s="241">
        <f t="shared" ref="I56:I63" si="23">F56/$F$68</f>
        <v>4.5612136515761841E-2</v>
      </c>
      <c r="J56" s="238" t="s">
        <v>19</v>
      </c>
      <c r="K56" s="243"/>
      <c r="L56" s="239">
        <f>SUM(L57:L63)</f>
        <v>5482</v>
      </c>
      <c r="M56" s="115">
        <f>SUM(M57:M63)</f>
        <v>128782</v>
      </c>
      <c r="N56" s="241">
        <f t="shared" ref="N56:N63" si="24">(L56-M56)/M56</f>
        <v>-0.95743193924616798</v>
      </c>
      <c r="O56" s="239">
        <f>SUM(O57:O63)</f>
        <v>312218</v>
      </c>
      <c r="P56" s="115">
        <f>SUM(P57:P63)</f>
        <v>591600</v>
      </c>
      <c r="Q56" s="240">
        <f t="shared" ref="Q56:Q63" si="25">(O56-P56)/P56</f>
        <v>-0.47224814063556458</v>
      </c>
      <c r="R56" s="241">
        <f t="shared" ref="R56:R63" si="26">O56/$O$68</f>
        <v>4.0578225877200107E-2</v>
      </c>
      <c r="S56" s="238" t="s">
        <v>19</v>
      </c>
      <c r="T56" s="243"/>
      <c r="U56" s="239">
        <f>SUM(U57:U63)</f>
        <v>2750</v>
      </c>
      <c r="V56" s="115">
        <f>SUM(V57:V63)</f>
        <v>176613</v>
      </c>
      <c r="W56" s="241">
        <f t="shared" ref="W56:W63" si="27">(U56-V56)/V56</f>
        <v>-0.98442923227621981</v>
      </c>
      <c r="X56" s="239">
        <f>SUM(X57:X63)</f>
        <v>384353</v>
      </c>
      <c r="Y56" s="115">
        <f>SUM(Y57:Y63)</f>
        <v>758658</v>
      </c>
      <c r="Z56" s="240">
        <f t="shared" ref="Z56:Z63" si="28">(X56-Y56)/Y56</f>
        <v>-0.49337778023826284</v>
      </c>
      <c r="AA56" s="241">
        <f t="shared" ref="AA56:AA63" si="29">X56/$X$68</f>
        <v>1.3843069333336887E-2</v>
      </c>
    </row>
    <row r="57" spans="1:27" ht="14.1" customHeight="1" x14ac:dyDescent="0.2">
      <c r="A57" s="31"/>
      <c r="B57" s="295" t="s">
        <v>19</v>
      </c>
      <c r="C57" s="242">
        <f>[3]United!$GT$19</f>
        <v>62</v>
      </c>
      <c r="D57" s="2">
        <f>[3]United!$GF$19+[3]Continental!$GF$19</f>
        <v>548</v>
      </c>
      <c r="E57" s="58">
        <f t="shared" si="21"/>
        <v>-0.88686131386861311</v>
      </c>
      <c r="F57" s="2">
        <f>SUM([3]United!$GP$19:$GT$19)</f>
        <v>1624</v>
      </c>
      <c r="G57" s="2">
        <f>SUM([3]United!$GB$19:$GF$19)+SUM([3]Continental!$GB$19:$GF$19)</f>
        <v>2450</v>
      </c>
      <c r="H57" s="3">
        <f t="shared" si="22"/>
        <v>-0.33714285714285713</v>
      </c>
      <c r="I57" s="58">
        <f t="shared" si="23"/>
        <v>1.6272871199823645E-2</v>
      </c>
      <c r="J57" s="31"/>
      <c r="K57" s="295" t="s">
        <v>19</v>
      </c>
      <c r="L57" s="242">
        <f>[3]United!$GT$41</f>
        <v>3227</v>
      </c>
      <c r="M57" s="2">
        <f>[3]United!$GF$41+[3]Continental!$GF$41</f>
        <v>72574</v>
      </c>
      <c r="N57" s="58">
        <f t="shared" si="24"/>
        <v>-0.95553504009700441</v>
      </c>
      <c r="O57" s="242">
        <f>SUM([3]United!$GP$41:$GT$41)</f>
        <v>166768</v>
      </c>
      <c r="P57" s="2">
        <f>SUM([3]United!$GB$41:$GF$41)+SUM([3]Continental!$GB$41:$GF$41)</f>
        <v>315277</v>
      </c>
      <c r="Q57" s="3">
        <f t="shared" si="25"/>
        <v>-0.47104292415875565</v>
      </c>
      <c r="R57" s="58">
        <f t="shared" si="26"/>
        <v>2.167443764641663E-2</v>
      </c>
      <c r="S57" s="31"/>
      <c r="T57" s="295" t="s">
        <v>19</v>
      </c>
      <c r="U57" s="242">
        <f>[3]United!$GT$64</f>
        <v>2750</v>
      </c>
      <c r="V57" s="2">
        <f>[3]United!$GF$64+[3]Continental!$GF$64</f>
        <v>176613</v>
      </c>
      <c r="W57" s="58">
        <f t="shared" si="27"/>
        <v>-0.98442923227621981</v>
      </c>
      <c r="X57" s="242">
        <f>SUM([3]United!$GP$64:$GT$64)</f>
        <v>384353</v>
      </c>
      <c r="Y57" s="2">
        <f>SUM([3]United!$GB$64:$GF$64)+SUM([3]Continental!$GB$64:$GF$64)</f>
        <v>758658</v>
      </c>
      <c r="Z57" s="3">
        <f t="shared" si="28"/>
        <v>-0.49337778023826284</v>
      </c>
      <c r="AA57" s="58">
        <f t="shared" si="29"/>
        <v>1.3843069333336887E-2</v>
      </c>
    </row>
    <row r="58" spans="1:27" ht="14.1" customHeight="1" x14ac:dyDescent="0.2">
      <c r="A58" s="31"/>
      <c r="B58" s="295" t="s">
        <v>167</v>
      </c>
      <c r="C58" s="242">
        <f>'[3]Continental Express'!$GT$19</f>
        <v>0</v>
      </c>
      <c r="D58" s="2">
        <f>'[3]Continental Express'!$GF$19</f>
        <v>0</v>
      </c>
      <c r="E58" s="58" t="e">
        <f t="shared" si="21"/>
        <v>#DIV/0!</v>
      </c>
      <c r="F58" s="2">
        <f>SUM('[3]Continental Express'!$GP$19:$GT$19)</f>
        <v>236</v>
      </c>
      <c r="G58" s="2">
        <f>SUM('[3]Continental Express'!$GB$19:$GF$19)</f>
        <v>54</v>
      </c>
      <c r="H58" s="3">
        <f t="shared" si="22"/>
        <v>3.3703703703703702</v>
      </c>
      <c r="I58" s="58">
        <f t="shared" si="23"/>
        <v>2.3647768492354557E-3</v>
      </c>
      <c r="J58" s="31"/>
      <c r="K58" s="295" t="s">
        <v>167</v>
      </c>
      <c r="L58" s="242">
        <f>'[3]Continental Express'!$GT$41</f>
        <v>0</v>
      </c>
      <c r="M58" s="2">
        <f>'[3]Continental Express'!$GF$41</f>
        <v>0</v>
      </c>
      <c r="N58" s="58" t="e">
        <f t="shared" si="24"/>
        <v>#DIV/0!</v>
      </c>
      <c r="O58" s="242">
        <f>SUM('[3]Continental Express'!$GP$41:$GT$41)</f>
        <v>10983</v>
      </c>
      <c r="P58" s="2">
        <f>SUM('[3]Continental Express'!$GB$41:$GF$41)</f>
        <v>1426</v>
      </c>
      <c r="Q58" s="3">
        <f t="shared" si="25"/>
        <v>6.7019635343618518</v>
      </c>
      <c r="R58" s="58">
        <f t="shared" si="26"/>
        <v>1.4274342120226533E-3</v>
      </c>
      <c r="S58" s="31"/>
      <c r="T58" s="295" t="s">
        <v>167</v>
      </c>
      <c r="U58" s="242">
        <f>'[3]Continental Express'!$GT$64</f>
        <v>0</v>
      </c>
      <c r="V58" s="2">
        <f>'[3]Continental Express'!$GF$64</f>
        <v>0</v>
      </c>
      <c r="W58" s="58" t="e">
        <f t="shared" si="27"/>
        <v>#DIV/0!</v>
      </c>
      <c r="X58" s="242">
        <f>SUM('[3]Continental Express'!$GP$64:$GT$64)</f>
        <v>0</v>
      </c>
      <c r="Y58" s="2">
        <f>SUM('[3]Continental Express'!$GB$64:$GF$64)</f>
        <v>0</v>
      </c>
      <c r="Z58" s="3" t="e">
        <f t="shared" si="28"/>
        <v>#DIV/0!</v>
      </c>
      <c r="AA58" s="58">
        <f t="shared" si="29"/>
        <v>0</v>
      </c>
    </row>
    <row r="59" spans="1:27" ht="14.1" customHeight="1" x14ac:dyDescent="0.2">
      <c r="A59" s="31"/>
      <c r="B59" s="33" t="s">
        <v>155</v>
      </c>
      <c r="C59" s="242">
        <f>'[3]Go Jet_UA'!$GT$19</f>
        <v>0</v>
      </c>
      <c r="D59" s="2">
        <f>'[3]Go Jet_UA'!$GF$19</f>
        <v>4</v>
      </c>
      <c r="E59" s="58">
        <f t="shared" si="21"/>
        <v>-1</v>
      </c>
      <c r="F59" s="2">
        <f>SUM('[3]Go Jet_UA'!$GP$19:$GT$19)</f>
        <v>2</v>
      </c>
      <c r="G59" s="2">
        <f>SUM('[3]Go Jet_UA'!$GB$19:$GF$19)</f>
        <v>40</v>
      </c>
      <c r="H59" s="3">
        <f t="shared" si="22"/>
        <v>-0.95</v>
      </c>
      <c r="I59" s="58">
        <f t="shared" si="23"/>
        <v>2.0040481773181829E-5</v>
      </c>
      <c r="J59" s="31"/>
      <c r="K59" s="33" t="s">
        <v>155</v>
      </c>
      <c r="L59" s="242">
        <f>'[3]Go Jet_UA'!$GT$41</f>
        <v>0</v>
      </c>
      <c r="M59" s="2">
        <f>'[3]Go Jet_UA'!$GF$41</f>
        <v>262</v>
      </c>
      <c r="N59" s="58">
        <f t="shared" si="24"/>
        <v>-1</v>
      </c>
      <c r="O59" s="242">
        <f>SUM('[3]Go Jet_UA'!$GP$41:$GT$41)</f>
        <v>83</v>
      </c>
      <c r="P59" s="2">
        <f>SUM('[3]Go Jet_UA'!$GB$41:$GF$41)</f>
        <v>2380</v>
      </c>
      <c r="Q59" s="3">
        <f t="shared" si="25"/>
        <v>-0.96512605042016808</v>
      </c>
      <c r="R59" s="58">
        <f t="shared" si="26"/>
        <v>1.0787311262667781E-5</v>
      </c>
      <c r="S59" s="31"/>
      <c r="T59" s="33" t="s">
        <v>155</v>
      </c>
      <c r="U59" s="242">
        <f>'[3]Go Jet_UA'!$GT$64</f>
        <v>0</v>
      </c>
      <c r="V59" s="2">
        <f>'[3]Go Jet_UA'!$GF$64</f>
        <v>0</v>
      </c>
      <c r="W59" s="58" t="e">
        <f t="shared" si="27"/>
        <v>#DIV/0!</v>
      </c>
      <c r="X59" s="242">
        <f>SUM('[3]Go Jet_UA'!$GP$64:$GT$64)</f>
        <v>0</v>
      </c>
      <c r="Y59" s="2">
        <f>SUM('[3]Go Jet_UA'!$GB$64:$GF$64)</f>
        <v>0</v>
      </c>
      <c r="Z59" s="3" t="e">
        <f t="shared" si="28"/>
        <v>#DIV/0!</v>
      </c>
      <c r="AA59" s="58">
        <f t="shared" si="29"/>
        <v>0</v>
      </c>
    </row>
    <row r="60" spans="1:27" ht="14.1" customHeight="1" x14ac:dyDescent="0.2">
      <c r="A60" s="31"/>
      <c r="B60" s="33" t="s">
        <v>51</v>
      </c>
      <c r="C60" s="242">
        <f>[3]MESA_UA!$GT$19</f>
        <v>6</v>
      </c>
      <c r="D60" s="2">
        <f>[3]MESA_UA!$GF$19</f>
        <v>294</v>
      </c>
      <c r="E60" s="58">
        <f t="shared" si="21"/>
        <v>-0.97959183673469385</v>
      </c>
      <c r="F60" s="2">
        <f>SUM([3]MESA_UA!$GP$19:$GT$19)</f>
        <v>810</v>
      </c>
      <c r="G60" s="2">
        <f>SUM([3]MESA_UA!$GB$19:$GF$19)</f>
        <v>1248</v>
      </c>
      <c r="H60" s="3">
        <f>(F60-G60)/G60</f>
        <v>-0.35096153846153844</v>
      </c>
      <c r="I60" s="58">
        <f t="shared" si="23"/>
        <v>8.1163951181386397E-3</v>
      </c>
      <c r="J60" s="31"/>
      <c r="K60" s="33" t="s">
        <v>51</v>
      </c>
      <c r="L60" s="242">
        <f>[3]MESA_UA!$GT$41</f>
        <v>129</v>
      </c>
      <c r="M60" s="2">
        <f>[3]MESA_UA!$GF$41</f>
        <v>18416</v>
      </c>
      <c r="N60" s="58">
        <f t="shared" si="24"/>
        <v>-0.99299522154648134</v>
      </c>
      <c r="O60" s="242">
        <f>SUM([3]MESA_UA!$GP$41:$GT$41)</f>
        <v>40832</v>
      </c>
      <c r="P60" s="2">
        <f>SUM([3]MESA_UA!$GB$41:$GF$41)</f>
        <v>78942</v>
      </c>
      <c r="Q60" s="3">
        <f t="shared" si="25"/>
        <v>-0.48275949431227988</v>
      </c>
      <c r="R60" s="58">
        <f t="shared" si="26"/>
        <v>5.306837270810251E-3</v>
      </c>
      <c r="S60" s="31"/>
      <c r="T60" s="33" t="s">
        <v>51</v>
      </c>
      <c r="U60" s="242">
        <f>[3]MESA_UA!$GT$64</f>
        <v>0</v>
      </c>
      <c r="V60" s="2">
        <f>[3]MESA_UA!$GF$64</f>
        <v>0</v>
      </c>
      <c r="W60" s="58" t="e">
        <f t="shared" si="27"/>
        <v>#DIV/0!</v>
      </c>
      <c r="X60" s="242">
        <f>SUM([3]MESA_UA!$GP$64:$GT$64)</f>
        <v>0</v>
      </c>
      <c r="Y60" s="2">
        <f>SUM([3]MESA_UA!$GB$64:$GF$64)</f>
        <v>0</v>
      </c>
      <c r="Z60" s="3" t="e">
        <f t="shared" si="28"/>
        <v>#DIV/0!</v>
      </c>
      <c r="AA60" s="58">
        <f t="shared" si="29"/>
        <v>0</v>
      </c>
    </row>
    <row r="61" spans="1:27" ht="14.1" customHeight="1" x14ac:dyDescent="0.2">
      <c r="A61" s="31"/>
      <c r="B61" s="295" t="s">
        <v>52</v>
      </c>
      <c r="C61" s="242">
        <f>[3]Republic_UA!$GT$19</f>
        <v>8</v>
      </c>
      <c r="D61" s="2">
        <f>[3]Republic_UA!$GF$19</f>
        <v>506</v>
      </c>
      <c r="E61" s="58">
        <f t="shared" si="21"/>
        <v>-0.98418972332015808</v>
      </c>
      <c r="F61" s="2">
        <f>SUM([3]Republic_UA!$GP$19:$GT$19)</f>
        <v>1354</v>
      </c>
      <c r="G61" s="2">
        <f>SUM([3]Republic_UA!$GB$19:$GF$19)</f>
        <v>2448</v>
      </c>
      <c r="H61" s="3">
        <f t="shared" ref="H61" si="30">(F61-G61)/G61</f>
        <v>-0.44689542483660133</v>
      </c>
      <c r="I61" s="58">
        <f t="shared" si="23"/>
        <v>1.3567406160444098E-2</v>
      </c>
      <c r="J61" s="31"/>
      <c r="K61" s="295" t="s">
        <v>52</v>
      </c>
      <c r="L61" s="242">
        <f>[3]Republic_UA!$GT$41</f>
        <v>141</v>
      </c>
      <c r="M61" s="2">
        <f>[3]Republic_UA!$GF$41</f>
        <v>28406</v>
      </c>
      <c r="N61" s="58">
        <f t="shared" si="24"/>
        <v>-0.99503625994508205</v>
      </c>
      <c r="O61" s="242">
        <f>SUM([3]Republic_UA!$GP$41:$GT$41)</f>
        <v>65235</v>
      </c>
      <c r="P61" s="2">
        <f>SUM([3]Republic_UA!$GB$41:$GF$41)</f>
        <v>145964</v>
      </c>
      <c r="Q61" s="3">
        <f t="shared" si="25"/>
        <v>-0.55307473075552871</v>
      </c>
      <c r="R61" s="58">
        <f t="shared" si="26"/>
        <v>8.4784367496401527E-3</v>
      </c>
      <c r="S61" s="31"/>
      <c r="T61" s="295" t="s">
        <v>52</v>
      </c>
      <c r="U61" s="242">
        <f>[3]Republic_UA!$GT$64</f>
        <v>0</v>
      </c>
      <c r="V61" s="2">
        <f>[3]Republic_UA!$GF$64</f>
        <v>0</v>
      </c>
      <c r="W61" s="58" t="e">
        <f t="shared" si="27"/>
        <v>#DIV/0!</v>
      </c>
      <c r="X61" s="242">
        <f>SUM([3]Republic_UA!$GP$64:$GT$64)</f>
        <v>0</v>
      </c>
      <c r="Y61" s="2">
        <f>SUM([3]Republic_UA!$GB$64:$GF$64)</f>
        <v>0</v>
      </c>
      <c r="Z61" s="3" t="e">
        <f t="shared" si="28"/>
        <v>#DIV/0!</v>
      </c>
      <c r="AA61" s="58">
        <f t="shared" si="29"/>
        <v>0</v>
      </c>
    </row>
    <row r="62" spans="1:27" ht="14.1" customHeight="1" x14ac:dyDescent="0.2">
      <c r="A62" s="31"/>
      <c r="B62" s="33" t="s">
        <v>98</v>
      </c>
      <c r="C62" s="242">
        <f>'[3]Sky West_UA'!$GT$19</f>
        <v>60</v>
      </c>
      <c r="D62" s="2">
        <f>'[3]Sky West_UA'!$GF$19+'[3]Sky West_CO'!$GF$19</f>
        <v>134</v>
      </c>
      <c r="E62" s="58">
        <f t="shared" si="21"/>
        <v>-0.55223880597014929</v>
      </c>
      <c r="F62" s="2">
        <f>SUM('[3]Sky West_UA'!$GP$19:$GT$19)</f>
        <v>526</v>
      </c>
      <c r="G62" s="2">
        <f>SUM('[3]Sky West_UA'!$GB$19:$GF$19)+SUM('[3]Sky West_CO'!$GB$19:$GF$19)</f>
        <v>714</v>
      </c>
      <c r="H62" s="3">
        <f t="shared" si="22"/>
        <v>-0.26330532212885155</v>
      </c>
      <c r="I62" s="58">
        <f t="shared" si="23"/>
        <v>5.2706467063468208E-3</v>
      </c>
      <c r="J62" s="31"/>
      <c r="K62" s="33" t="s">
        <v>98</v>
      </c>
      <c r="L62" s="242">
        <f>'[3]Sky West_UA'!$GT$41</f>
        <v>1985</v>
      </c>
      <c r="M62" s="2">
        <f>'[3]Sky West_UA'!$GF$41+'[3]Sky West_CO'!$GF$41</f>
        <v>9124</v>
      </c>
      <c r="N62" s="58">
        <f t="shared" si="24"/>
        <v>-0.78244191144234987</v>
      </c>
      <c r="O62" s="242">
        <f>SUM('[3]Sky West_UA'!$GP$41:$GT$41)</f>
        <v>28317</v>
      </c>
      <c r="P62" s="2">
        <f>SUM('[3]Sky West_UA'!$GB$41:$GF$41)+SUM('[3]Sky West_CO'!$GB$41:$GF$41)</f>
        <v>47611</v>
      </c>
      <c r="Q62" s="3">
        <f t="shared" si="25"/>
        <v>-0.40524248598013063</v>
      </c>
      <c r="R62" s="58">
        <f t="shared" si="26"/>
        <v>3.6802926870477533E-3</v>
      </c>
      <c r="S62" s="31"/>
      <c r="T62" s="33" t="s">
        <v>98</v>
      </c>
      <c r="U62" s="242">
        <f>'[3]Sky West_UA'!$GT$64</f>
        <v>0</v>
      </c>
      <c r="V62" s="2">
        <f>'[3]Sky West_UA'!$GF$64+'[3]Sky West_CO'!$GF$64</f>
        <v>0</v>
      </c>
      <c r="W62" s="58" t="e">
        <f t="shared" si="27"/>
        <v>#DIV/0!</v>
      </c>
      <c r="X62" s="242">
        <f>SUM('[3]Sky West_UA'!$GP$64:$GT$64)</f>
        <v>0</v>
      </c>
      <c r="Y62" s="2">
        <f>SUM('[3]Sky West_UA'!$GB$64:$GF$64)+SUM('[3]Sky West_CO'!$GB$64:$GF$64)</f>
        <v>0</v>
      </c>
      <c r="Z62" s="3" t="e">
        <f t="shared" si="28"/>
        <v>#DIV/0!</v>
      </c>
      <c r="AA62" s="58">
        <f t="shared" si="29"/>
        <v>0</v>
      </c>
    </row>
    <row r="63" spans="1:27" ht="14.1" customHeight="1" x14ac:dyDescent="0.2">
      <c r="A63" s="31"/>
      <c r="B63" s="244" t="s">
        <v>132</v>
      </c>
      <c r="C63" s="242">
        <f>'[3]Shuttle America'!$GT$19</f>
        <v>0</v>
      </c>
      <c r="D63" s="2">
        <f>'[3]Shuttle America'!$GF$19</f>
        <v>0</v>
      </c>
      <c r="E63" s="58" t="e">
        <f t="shared" si="21"/>
        <v>#DIV/0!</v>
      </c>
      <c r="F63" s="2">
        <f>SUM('[3]Shuttle America'!$GP$19:$GT$19)</f>
        <v>0</v>
      </c>
      <c r="G63" s="2">
        <f>SUM('[3]Shuttle America'!$GB$19:$GF$19)</f>
        <v>0</v>
      </c>
      <c r="H63" s="3" t="e">
        <f t="shared" si="22"/>
        <v>#DIV/0!</v>
      </c>
      <c r="I63" s="58">
        <f t="shared" si="23"/>
        <v>0</v>
      </c>
      <c r="J63" s="31"/>
      <c r="K63" s="244" t="s">
        <v>132</v>
      </c>
      <c r="L63" s="242">
        <f>'[3]Shuttle America'!$GT$41</f>
        <v>0</v>
      </c>
      <c r="M63" s="2">
        <f>'[3]Shuttle America'!$GF$41</f>
        <v>0</v>
      </c>
      <c r="N63" s="58" t="e">
        <f t="shared" si="24"/>
        <v>#DIV/0!</v>
      </c>
      <c r="O63" s="242">
        <f>SUM('[3]Shuttle America'!$GP$41:$GT$41)</f>
        <v>0</v>
      </c>
      <c r="P63" s="2">
        <f>SUM('[3]Shuttle America'!$GB$41:$GF$41)</f>
        <v>0</v>
      </c>
      <c r="Q63" s="3" t="e">
        <f t="shared" si="25"/>
        <v>#DIV/0!</v>
      </c>
      <c r="R63" s="58">
        <f t="shared" si="26"/>
        <v>0</v>
      </c>
      <c r="S63" s="31"/>
      <c r="T63" s="244" t="s">
        <v>132</v>
      </c>
      <c r="U63" s="242">
        <f>'[3]Shuttle America'!$GT$64</f>
        <v>0</v>
      </c>
      <c r="V63" s="2">
        <f>'[3]Shuttle America'!$GF$64</f>
        <v>0</v>
      </c>
      <c r="W63" s="58" t="e">
        <f t="shared" si="27"/>
        <v>#DIV/0!</v>
      </c>
      <c r="X63" s="242">
        <f>SUM('[3]Shuttle America'!$GP$64:$GT$64)</f>
        <v>0</v>
      </c>
      <c r="Y63" s="2">
        <f>SUM('[3]Shuttle America'!$GB$64:$GF$64)</f>
        <v>0</v>
      </c>
      <c r="Z63" s="3" t="e">
        <f t="shared" si="28"/>
        <v>#DIV/0!</v>
      </c>
      <c r="AA63" s="58">
        <f t="shared" si="29"/>
        <v>0</v>
      </c>
    </row>
    <row r="64" spans="1:27" ht="14.1" customHeight="1" thickBot="1" x14ac:dyDescent="0.25">
      <c r="A64" s="297"/>
      <c r="B64" s="298"/>
      <c r="C64" s="245"/>
      <c r="D64" s="247"/>
      <c r="E64" s="248"/>
      <c r="F64" s="247"/>
      <c r="G64" s="247"/>
      <c r="H64" s="246"/>
      <c r="I64" s="248"/>
      <c r="J64" s="297"/>
      <c r="K64" s="298"/>
      <c r="L64" s="245"/>
      <c r="M64" s="247"/>
      <c r="N64" s="248"/>
      <c r="O64" s="245"/>
      <c r="P64" s="247"/>
      <c r="Q64" s="246"/>
      <c r="R64" s="324"/>
      <c r="S64" s="297"/>
      <c r="T64" s="298"/>
      <c r="U64" s="245"/>
      <c r="V64" s="247"/>
      <c r="W64" s="248"/>
      <c r="X64" s="245"/>
      <c r="Y64" s="247"/>
      <c r="Z64" s="246"/>
      <c r="AA64" s="324"/>
    </row>
    <row r="65" spans="2:27" s="141" customFormat="1" ht="14.1" customHeight="1" thickBot="1" x14ac:dyDescent="0.25">
      <c r="B65" s="140"/>
      <c r="C65" s="115"/>
      <c r="D65" s="115"/>
      <c r="E65" s="240"/>
      <c r="F65" s="296"/>
      <c r="G65" s="115"/>
      <c r="H65" s="240"/>
      <c r="I65" s="240"/>
      <c r="J65" s="249"/>
      <c r="K65" s="140"/>
      <c r="L65" s="250"/>
      <c r="M65" s="251"/>
      <c r="N65" s="249"/>
      <c r="S65" s="249"/>
      <c r="T65" s="140"/>
      <c r="U65" s="250"/>
      <c r="V65" s="251"/>
      <c r="W65" s="249"/>
    </row>
    <row r="66" spans="2:27" ht="14.1" customHeight="1" x14ac:dyDescent="0.2">
      <c r="B66" s="252" t="s">
        <v>134</v>
      </c>
      <c r="C66" s="305">
        <f>+C68-C67</f>
        <v>3722</v>
      </c>
      <c r="D66" s="305">
        <f>+D68-D67</f>
        <v>18996</v>
      </c>
      <c r="E66" s="306">
        <f>(C66-D66)/D66</f>
        <v>-0.80406401347652134</v>
      </c>
      <c r="F66" s="305">
        <f>+F68-F67</f>
        <v>57666</v>
      </c>
      <c r="G66" s="305">
        <f>+G68-G67</f>
        <v>90094</v>
      </c>
      <c r="H66" s="306">
        <f>(F66-G66)/G66</f>
        <v>-0.3599351788132395</v>
      </c>
      <c r="I66" s="346">
        <f>F66/$F$68</f>
        <v>0.57782721096615164</v>
      </c>
      <c r="K66" s="252" t="s">
        <v>134</v>
      </c>
      <c r="L66" s="305">
        <f>+L68-L67</f>
        <v>190675</v>
      </c>
      <c r="M66" s="305">
        <f>+M68-M67</f>
        <v>2561130</v>
      </c>
      <c r="N66" s="306">
        <f>(L66-M66)/M66</f>
        <v>-0.92555044062581748</v>
      </c>
      <c r="O66" s="305">
        <f>+O68-O67</f>
        <v>6086002</v>
      </c>
      <c r="P66" s="305">
        <f>+P68-P67</f>
        <v>11852020</v>
      </c>
      <c r="Q66" s="337">
        <f>(O66-P66)/P66</f>
        <v>-0.48650086651895624</v>
      </c>
      <c r="R66" s="341">
        <f>+O66/O68</f>
        <v>0.79098310746046552</v>
      </c>
      <c r="S66" s="3"/>
      <c r="T66" s="252" t="s">
        <v>134</v>
      </c>
      <c r="U66" s="305">
        <f>+U68-U67</f>
        <v>2054205</v>
      </c>
      <c r="V66" s="305">
        <f>+V68-V67</f>
        <v>11605953</v>
      </c>
      <c r="W66" s="306">
        <f>(U66-V66)/V66</f>
        <v>-0.82300419448536455</v>
      </c>
      <c r="X66" s="305">
        <f>+X68-X67</f>
        <v>27744904</v>
      </c>
      <c r="Y66" s="305">
        <f>+Y68-Y67</f>
        <v>57984636</v>
      </c>
      <c r="Z66" s="337">
        <f>(X66-Y66)/Y66</f>
        <v>-0.52151283660726955</v>
      </c>
      <c r="AA66" s="341">
        <f>+X66/X68</f>
        <v>0.99927574318081536</v>
      </c>
    </row>
    <row r="67" spans="2:27" ht="14.1" customHeight="1" x14ac:dyDescent="0.2">
      <c r="B67" s="140" t="s">
        <v>135</v>
      </c>
      <c r="C67" s="307">
        <f>C63+C40+C38+C36+C35+C39+C22+C62+C59+C37+C58+C60+C27+C26+C23+C17+C8+C61+C24+C25+C9+C18</f>
        <v>3252</v>
      </c>
      <c r="D67" s="307">
        <f>D63+D40+D38+D36+D35+D39+D22+D62+D59+D37+D58+D60+D27+D26+D23+D17+D8+D61+D24+D25+D9+D18</f>
        <v>12332</v>
      </c>
      <c r="E67" s="253">
        <f>(C67-D67)/D67</f>
        <v>-0.73629581576386638</v>
      </c>
      <c r="F67" s="307">
        <f>F63+F40+F38+F36+F35+F39+F22+F62+F59+F37+F58+F60+F27+F26+F23+F17+F8+F61+F24+F25+F9+F18</f>
        <v>42132</v>
      </c>
      <c r="G67" s="307">
        <f>G63+G40+G38+G36+G35+G39+G22+G62+G59+G37+G58+G60+G27+G26+G23+G17+G8+G61+G24+G25+G9+G18</f>
        <v>57940</v>
      </c>
      <c r="H67" s="253">
        <f>(F67-G67)/G67</f>
        <v>-0.27283396617190198</v>
      </c>
      <c r="I67" s="347">
        <f>F67/$F$68</f>
        <v>0.42217278903384836</v>
      </c>
      <c r="K67" s="140" t="s">
        <v>135</v>
      </c>
      <c r="L67" s="307">
        <f>L63+L40+L38+L36+L35+L39+L22+L62+L59+L37+L58+L60+L27+L26+L23+L17+L8+L61+L24+L25+L9+L18</f>
        <v>64772</v>
      </c>
      <c r="M67" s="307">
        <f>M63+M40+M38+M36+M35+M39+M22+M62+M59+M37+M58+M60+M27+M26+M23+M17+M8+M61+M24+M25+M9+M18</f>
        <v>673867</v>
      </c>
      <c r="N67" s="253">
        <f>(L67-M67)/M67</f>
        <v>-0.90388014252070514</v>
      </c>
      <c r="O67" s="307">
        <f>O63+O40+O38+O36+O35+O39+O22+O62+O59+O37+O58+O60+O27+O26+O23+O17+O8+O61+O24+O25+O9+O18</f>
        <v>1608223</v>
      </c>
      <c r="P67" s="307">
        <f>P63+P40+P38+P36+P35+P39+P22+P62+P59+P37+P58+P60+P27+P26+P23+P17+P8+P61+P24+P25+P9+P18</f>
        <v>3027017</v>
      </c>
      <c r="Q67" s="335">
        <f>(O67-P67)/P67</f>
        <v>-0.46871028474567539</v>
      </c>
      <c r="R67" s="342">
        <f>+O67/O68</f>
        <v>0.20901689253953451</v>
      </c>
      <c r="S67" s="3"/>
      <c r="T67" s="140" t="s">
        <v>135</v>
      </c>
      <c r="U67" s="307">
        <f>U63+U40+U38+U36+U35+U39+U22+U62+U59+U37+U58+U60+U27+U26+U23+U17+U8+U61+U24+U25+U9+U18</f>
        <v>4060</v>
      </c>
      <c r="V67" s="307">
        <f>V63+V40+V38+V36+V35+V39+V22+V62+V59+V37+V58+V60+V27+V26+V23+V17+V8+V61+V24+V25+V9+V18</f>
        <v>14720</v>
      </c>
      <c r="W67" s="253">
        <f>(U67-V67)/V67</f>
        <v>-0.72418478260869568</v>
      </c>
      <c r="X67" s="307">
        <f>X63+X40+X38+X36+X35+X39+X22+X62+X59+X37+X58+X60+X27+X26+X23+X17+X8+X61+X24+X25+X9+X18</f>
        <v>20109</v>
      </c>
      <c r="Y67" s="307">
        <f>Y63+Y40+Y38+Y36+Y35+Y39+Y22+Y62+Y59+Y37+Y58+Y60+Y27+Y26+Y23+Y17+Y8+Y61+Y24+Y25+Y9+Y18</f>
        <v>44148</v>
      </c>
      <c r="Z67" s="335">
        <f>(X67-Y67)/Y67</f>
        <v>-0.5445093775482468</v>
      </c>
      <c r="AA67" s="342">
        <f>+X67/X68</f>
        <v>7.2425681918463359E-4</v>
      </c>
    </row>
    <row r="68" spans="2:27" ht="14.1" customHeight="1" thickBot="1" x14ac:dyDescent="0.25">
      <c r="B68" s="140" t="s">
        <v>136</v>
      </c>
      <c r="C68" s="308">
        <f>C56+C54+C50+C44+C42+C33+C20+C15+C6+C52+C31+C29+C11+C48+C13+C46+C4</f>
        <v>6974</v>
      </c>
      <c r="D68" s="308">
        <f>D56+D54+D50+D44+D42+D33+D20+D15+D6+D52+D31+D29+D11+D48+D13+D46+D4</f>
        <v>31328</v>
      </c>
      <c r="E68" s="309">
        <f>(C68-D68)/D68</f>
        <v>-0.7773876404494382</v>
      </c>
      <c r="F68" s="308">
        <f>F56+F54+F50+F44+F42+F33+F20+F15+F6+F52+F31+F29+F11+F48+F13+F46+F4</f>
        <v>99798</v>
      </c>
      <c r="G68" s="308">
        <f>G56+G54+G50+G44+G42+G33+G20+G15+G6+G52+G31+G29+G11+G48+G13+G46+G4</f>
        <v>148034</v>
      </c>
      <c r="H68" s="309">
        <f>(F68-G68)/G68</f>
        <v>-0.32584406285042627</v>
      </c>
      <c r="I68" s="348">
        <f>+H68/H68</f>
        <v>1</v>
      </c>
      <c r="K68" s="140" t="s">
        <v>136</v>
      </c>
      <c r="L68" s="308">
        <f>L56+L54+L50+L44+L42+L33+L20+L15+L6+L52+L31+L29+L11+L48+L13+L46+L4</f>
        <v>255447</v>
      </c>
      <c r="M68" s="308">
        <f>M56+M54+M50+M44+M42+M33+M20+M15+M6+M52+M31+M29+M11+M48+M13+M46+M4</f>
        <v>3234997</v>
      </c>
      <c r="N68" s="309">
        <f>(L68-M68)/M68</f>
        <v>-0.92103640281582955</v>
      </c>
      <c r="O68" s="308">
        <f>O56+O54+O50+O44+O42+O33+O20+O15+O6+O52+O31+O29+O11+O48+O13+O46+O4</f>
        <v>7694225</v>
      </c>
      <c r="P68" s="308">
        <f>P56+P54+P50+P44+P42+P33+P20+P15+P6+P52+P31+P29+P11+P48+P13+P46+P4</f>
        <v>14879037</v>
      </c>
      <c r="Q68" s="338">
        <f>(O68-P68)/P68</f>
        <v>-0.48288151981878935</v>
      </c>
      <c r="R68" s="343">
        <f>+O68/O68</f>
        <v>1</v>
      </c>
      <c r="S68" s="3"/>
      <c r="T68" s="140" t="s">
        <v>136</v>
      </c>
      <c r="U68" s="308">
        <f>U56+U54+U50+U44+U42+U33+U20+U15+U6+U52+U31+U29+U11+U48+U13+U46+U4</f>
        <v>2058265</v>
      </c>
      <c r="V68" s="308">
        <f>V56+V54+V50+V44+V42+V33+V20+V15+V6+V52+V31+V29+V11+V48+V13+V46+V4</f>
        <v>11620673</v>
      </c>
      <c r="W68" s="309">
        <f>(U68-V68)/V68</f>
        <v>-0.82287901914114614</v>
      </c>
      <c r="X68" s="308">
        <f>X56+X54+X50+X44+X42+X33+X20+X15+X6+X52+X31+X29+X11+X48+X13+X46+X4</f>
        <v>27765013</v>
      </c>
      <c r="Y68" s="308">
        <f>Y56+Y54+Y50+Y44+Y42+Y33+Y20+Y15+Y6+Y52+Y31+Y29+Y11+Y48+Y13+Y46+Y4</f>
        <v>58028784</v>
      </c>
      <c r="Z68" s="338">
        <f>(X68-Y68)/Y68</f>
        <v>-0.52153033225717771</v>
      </c>
      <c r="AA68" s="343">
        <f>+X68/X68</f>
        <v>1</v>
      </c>
    </row>
    <row r="69" spans="2:27" x14ac:dyDescent="0.2">
      <c r="D69" s="3"/>
      <c r="F69" s="2"/>
      <c r="G69"/>
      <c r="H69"/>
      <c r="I69"/>
      <c r="J69"/>
      <c r="K69"/>
      <c r="M69"/>
      <c r="N69"/>
    </row>
    <row r="70" spans="2:27" x14ac:dyDescent="0.2">
      <c r="F70" s="2"/>
      <c r="H70"/>
      <c r="I70"/>
      <c r="J70"/>
      <c r="K70"/>
      <c r="N70"/>
      <c r="O70" s="2"/>
      <c r="P70" s="2"/>
    </row>
    <row r="71" spans="2:27" x14ac:dyDescent="0.2">
      <c r="F71" s="2"/>
      <c r="H71"/>
      <c r="I71"/>
      <c r="J71"/>
      <c r="K71"/>
      <c r="N71"/>
      <c r="O71" s="2"/>
      <c r="P71" s="2"/>
      <c r="U71" s="83"/>
    </row>
    <row r="72" spans="2:27" x14ac:dyDescent="0.2">
      <c r="F72" s="2"/>
      <c r="H72"/>
      <c r="I72"/>
      <c r="J72"/>
      <c r="K72"/>
      <c r="N72"/>
      <c r="O72" s="2"/>
      <c r="P72" s="2"/>
      <c r="U72" s="83"/>
    </row>
    <row r="73" spans="2:27" x14ac:dyDescent="0.2">
      <c r="D73" s="3"/>
      <c r="F73"/>
      <c r="G73"/>
      <c r="H73"/>
      <c r="I73"/>
      <c r="J73"/>
      <c r="K73"/>
      <c r="M73"/>
      <c r="N73"/>
    </row>
    <row r="74" spans="2:27" x14ac:dyDescent="0.2">
      <c r="D74" s="3"/>
      <c r="F74"/>
      <c r="G74"/>
      <c r="H74"/>
      <c r="I74"/>
      <c r="J74"/>
      <c r="K74"/>
      <c r="L74"/>
      <c r="M74"/>
      <c r="N74"/>
    </row>
    <row r="75" spans="2:27" x14ac:dyDescent="0.2">
      <c r="D75" s="3"/>
      <c r="F75"/>
      <c r="G75"/>
      <c r="H75"/>
      <c r="I75"/>
      <c r="J75"/>
      <c r="K75"/>
      <c r="L75"/>
      <c r="M75"/>
      <c r="N75"/>
    </row>
    <row r="76" spans="2:27" x14ac:dyDescent="0.2">
      <c r="D76" s="3"/>
      <c r="F76"/>
      <c r="G76"/>
      <c r="H76"/>
      <c r="I76"/>
      <c r="J76"/>
      <c r="K76"/>
      <c r="L76"/>
      <c r="M76"/>
      <c r="N76"/>
    </row>
    <row r="77" spans="2:27" x14ac:dyDescent="0.2">
      <c r="D77" s="3"/>
      <c r="F77"/>
      <c r="G77"/>
      <c r="H77"/>
      <c r="I77"/>
      <c r="J77"/>
      <c r="K77"/>
      <c r="L77"/>
      <c r="M77"/>
      <c r="N77"/>
    </row>
    <row r="78" spans="2:27" x14ac:dyDescent="0.2">
      <c r="D78" s="3"/>
      <c r="F78"/>
      <c r="G78"/>
      <c r="H78"/>
      <c r="I78"/>
      <c r="J78"/>
      <c r="K78"/>
      <c r="L78"/>
      <c r="M78"/>
      <c r="N78"/>
    </row>
    <row r="79" spans="2:27" x14ac:dyDescent="0.2">
      <c r="D79" s="3"/>
      <c r="F79"/>
      <c r="G79"/>
      <c r="H79"/>
      <c r="I79"/>
      <c r="J79"/>
      <c r="K79"/>
      <c r="L79"/>
      <c r="M79"/>
      <c r="N79"/>
    </row>
    <row r="80" spans="2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F140" s="142"/>
      <c r="K140"/>
    </row>
    <row r="141" spans="4:14" x14ac:dyDescent="0.2">
      <c r="F141" s="142"/>
      <c r="K141"/>
    </row>
    <row r="142" spans="4:14" x14ac:dyDescent="0.2">
      <c r="F142" s="142"/>
      <c r="K142"/>
    </row>
    <row r="143" spans="4:14" x14ac:dyDescent="0.2">
      <c r="F143" s="142"/>
      <c r="K143"/>
    </row>
    <row r="144" spans="4:14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  <row r="4671" spans="6:11" x14ac:dyDescent="0.2">
      <c r="F4671" s="142"/>
      <c r="K4671"/>
    </row>
    <row r="4672" spans="6:11" x14ac:dyDescent="0.2">
      <c r="F4672" s="142"/>
      <c r="K4672"/>
    </row>
    <row r="4673" spans="6:11" x14ac:dyDescent="0.2">
      <c r="F4673" s="142"/>
      <c r="K4673"/>
    </row>
    <row r="4674" spans="6:11" x14ac:dyDescent="0.2">
      <c r="F4674" s="142"/>
      <c r="K4674"/>
    </row>
    <row r="4675" spans="6:11" x14ac:dyDescent="0.2">
      <c r="F4675" s="142"/>
      <c r="K4675"/>
    </row>
    <row r="4676" spans="6:11" x14ac:dyDescent="0.2">
      <c r="F4676" s="142"/>
      <c r="K4676"/>
    </row>
    <row r="4677" spans="6:11" x14ac:dyDescent="0.2">
      <c r="F4677" s="142"/>
      <c r="K4677"/>
    </row>
    <row r="4678" spans="6:11" x14ac:dyDescent="0.2">
      <c r="F4678" s="142"/>
      <c r="K4678"/>
    </row>
    <row r="4679" spans="6:11" x14ac:dyDescent="0.2">
      <c r="F4679" s="142"/>
      <c r="K4679"/>
    </row>
    <row r="4680" spans="6:11" x14ac:dyDescent="0.2">
      <c r="F4680" s="142"/>
      <c r="K4680"/>
    </row>
    <row r="4681" spans="6:11" x14ac:dyDescent="0.2">
      <c r="F4681" s="142"/>
      <c r="K4681"/>
    </row>
    <row r="4682" spans="6:11" x14ac:dyDescent="0.2">
      <c r="F4682" s="142"/>
      <c r="K4682"/>
    </row>
    <row r="4683" spans="6:11" x14ac:dyDescent="0.2">
      <c r="F4683" s="142"/>
      <c r="K4683"/>
    </row>
    <row r="4684" spans="6:11" x14ac:dyDescent="0.2">
      <c r="F4684" s="142"/>
      <c r="K4684"/>
    </row>
    <row r="4685" spans="6:11" x14ac:dyDescent="0.2">
      <c r="F4685" s="142"/>
      <c r="K4685"/>
    </row>
    <row r="4686" spans="6:11" x14ac:dyDescent="0.2">
      <c r="F4686" s="142"/>
      <c r="K4686"/>
    </row>
    <row r="4687" spans="6:11" x14ac:dyDescent="0.2">
      <c r="F4687" s="142"/>
      <c r="K4687"/>
    </row>
    <row r="4688" spans="6:11" x14ac:dyDescent="0.2">
      <c r="F4688" s="142"/>
      <c r="K4688"/>
    </row>
    <row r="4689" spans="6:11" x14ac:dyDescent="0.2">
      <c r="F4689" s="142"/>
      <c r="K4689"/>
    </row>
    <row r="4690" spans="6:11" x14ac:dyDescent="0.2">
      <c r="F4690" s="142"/>
      <c r="K4690"/>
    </row>
    <row r="4691" spans="6:11" x14ac:dyDescent="0.2">
      <c r="F4691" s="142"/>
      <c r="K4691"/>
    </row>
    <row r="4692" spans="6:11" x14ac:dyDescent="0.2">
      <c r="F4692" s="142"/>
      <c r="K4692"/>
    </row>
    <row r="4693" spans="6:11" x14ac:dyDescent="0.2">
      <c r="F4693" s="142"/>
      <c r="K4693"/>
    </row>
    <row r="4694" spans="6:11" x14ac:dyDescent="0.2">
      <c r="F4694" s="142"/>
      <c r="K4694"/>
    </row>
    <row r="4695" spans="6:11" x14ac:dyDescent="0.2">
      <c r="F4695" s="142"/>
      <c r="K4695"/>
    </row>
    <row r="4696" spans="6:11" x14ac:dyDescent="0.2">
      <c r="F4696" s="142"/>
      <c r="K4696"/>
    </row>
    <row r="4697" spans="6:11" x14ac:dyDescent="0.2">
      <c r="F4697" s="142"/>
      <c r="K4697"/>
    </row>
    <row r="4698" spans="6:11" x14ac:dyDescent="0.2">
      <c r="F4698" s="142"/>
      <c r="K4698"/>
    </row>
    <row r="4699" spans="6:11" x14ac:dyDescent="0.2">
      <c r="F4699" s="142"/>
      <c r="K4699"/>
    </row>
    <row r="4700" spans="6:11" x14ac:dyDescent="0.2">
      <c r="F4700" s="142"/>
      <c r="K4700"/>
    </row>
    <row r="4701" spans="6:11" x14ac:dyDescent="0.2">
      <c r="F4701" s="142"/>
      <c r="K4701"/>
    </row>
    <row r="4702" spans="6:11" x14ac:dyDescent="0.2">
      <c r="F4702" s="142"/>
      <c r="K4702"/>
    </row>
    <row r="4703" spans="6:11" x14ac:dyDescent="0.2">
      <c r="F4703" s="142"/>
      <c r="K4703"/>
    </row>
    <row r="4704" spans="6:11" x14ac:dyDescent="0.2">
      <c r="F4704" s="142"/>
      <c r="K4704"/>
    </row>
    <row r="4705" spans="6:11" x14ac:dyDescent="0.2">
      <c r="F4705" s="142"/>
      <c r="K4705"/>
    </row>
    <row r="4706" spans="6:11" x14ac:dyDescent="0.2">
      <c r="F4706" s="142"/>
      <c r="K4706"/>
    </row>
    <row r="4707" spans="6:11" x14ac:dyDescent="0.2">
      <c r="F4707" s="142"/>
      <c r="K4707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6" fitToWidth="2" orientation="portrait" r:id="rId1"/>
  <headerFooter alignWithMargins="0">
    <oddHeader>&amp;L
Schedule 10
&amp;CMinneapolis-St. Paul International Airport
&amp;"Arial,Bold"&amp;A
May 2020</oddHeader>
    <oddFooter>&amp;LPrinted on &amp;D&amp;RPage &amp;P of &amp;N</oddFooter>
  </headerFooter>
  <colBreaks count="2" manualBreakCount="2">
    <brk id="9" max="67" man="1"/>
    <brk id="18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D8" sqref="D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7">
        <v>43952</v>
      </c>
      <c r="B1" s="427" t="s">
        <v>17</v>
      </c>
      <c r="C1" s="427" t="s">
        <v>18</v>
      </c>
      <c r="D1" s="427" t="s">
        <v>19</v>
      </c>
      <c r="E1" s="427" t="s">
        <v>156</v>
      </c>
      <c r="F1" s="304" t="s">
        <v>162</v>
      </c>
      <c r="G1" s="304" t="s">
        <v>157</v>
      </c>
      <c r="H1" s="428" t="s">
        <v>201</v>
      </c>
      <c r="I1" s="350" t="s">
        <v>194</v>
      </c>
      <c r="J1" s="304" t="s">
        <v>20</v>
      </c>
      <c r="K1" s="303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49"/>
      <c r="I2" s="349"/>
      <c r="J2" s="34"/>
      <c r="K2" s="370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[3]American!$GT$22</f>
        <v>12480</v>
      </c>
      <c r="C4" s="12">
        <f>[3]Delta!$GT$22+[3]Delta!$GT$32</f>
        <v>54872</v>
      </c>
      <c r="D4" s="12">
        <f>[3]United!$GT$22</f>
        <v>1780</v>
      </c>
      <c r="E4" s="12">
        <f>[3]Spirit!$GT$22</f>
        <v>68</v>
      </c>
      <c r="F4" s="12">
        <f>[3]Condor!$GT$22</f>
        <v>0</v>
      </c>
      <c r="G4" s="12">
        <f>'[3]Air France'!$GT$22</f>
        <v>0</v>
      </c>
      <c r="H4" s="12">
        <f>'[3]Jet Blue'!$GT$22</f>
        <v>33</v>
      </c>
      <c r="I4" s="12">
        <f>[3]KLM!$GT$22+[3]KLM!$GT$32</f>
        <v>0</v>
      </c>
      <c r="J4" s="12">
        <f>'Other Major Airline Stats'!J5</f>
        <v>29944</v>
      </c>
      <c r="K4" s="371">
        <f>SUM(B4:J4)</f>
        <v>99177</v>
      </c>
    </row>
    <row r="5" spans="1:20" x14ac:dyDescent="0.2">
      <c r="A5" s="38" t="s">
        <v>31</v>
      </c>
      <c r="B5" s="7">
        <f>[3]American!$GT$23</f>
        <v>11877</v>
      </c>
      <c r="C5" s="7">
        <f>[3]Delta!$GT$23+[3]Delta!$GT$33</f>
        <v>50950</v>
      </c>
      <c r="D5" s="7">
        <f>[3]United!$GT$23</f>
        <v>1447</v>
      </c>
      <c r="E5" s="7">
        <f>[3]Spirit!$GT$23</f>
        <v>87</v>
      </c>
      <c r="F5" s="7">
        <f>[3]Condor!$GT$23</f>
        <v>0</v>
      </c>
      <c r="G5" s="7">
        <f>'[3]Air France'!$GT$23</f>
        <v>0</v>
      </c>
      <c r="H5" s="7">
        <f>'[3]Jet Blue'!$GT$23</f>
        <v>25</v>
      </c>
      <c r="I5" s="7">
        <f>[3]KLM!$GT$23+[3]KLM!$GT$33</f>
        <v>0</v>
      </c>
      <c r="J5" s="7">
        <f>'Other Major Airline Stats'!J6</f>
        <v>27112</v>
      </c>
      <c r="K5" s="372">
        <f>SUM(B5:J5)</f>
        <v>91498</v>
      </c>
      <c r="M5" s="203"/>
      <c r="N5" s="203"/>
      <c r="O5" s="203"/>
      <c r="P5" s="203"/>
      <c r="Q5" s="203"/>
      <c r="R5" s="203"/>
      <c r="S5" s="203"/>
      <c r="T5" s="203"/>
    </row>
    <row r="6" spans="1:20" ht="15" x14ac:dyDescent="0.25">
      <c r="A6" s="36" t="s">
        <v>7</v>
      </c>
      <c r="B6" s="18">
        <f t="shared" ref="B6:J6" si="0">SUM(B4:B5)</f>
        <v>24357</v>
      </c>
      <c r="C6" s="18">
        <f t="shared" si="0"/>
        <v>105822</v>
      </c>
      <c r="D6" s="18">
        <f t="shared" si="0"/>
        <v>3227</v>
      </c>
      <c r="E6" s="18">
        <f t="shared" si="0"/>
        <v>155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58</v>
      </c>
      <c r="I6" s="18">
        <f t="shared" si="1"/>
        <v>0</v>
      </c>
      <c r="J6" s="18">
        <f t="shared" si="0"/>
        <v>57056</v>
      </c>
      <c r="K6" s="373">
        <f>SUM(B6:J6)</f>
        <v>190675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1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1">
        <f>SUM(B8:J8)</f>
        <v>0</v>
      </c>
    </row>
    <row r="9" spans="1:20" x14ac:dyDescent="0.2">
      <c r="A9" s="38" t="s">
        <v>30</v>
      </c>
      <c r="B9" s="12">
        <f>[3]American!$GT$27</f>
        <v>850</v>
      </c>
      <c r="C9" s="12">
        <f>[3]Delta!$GT$27+[3]Delta!$GT$37</f>
        <v>8151</v>
      </c>
      <c r="D9" s="12">
        <f>[3]United!$GT$27</f>
        <v>273</v>
      </c>
      <c r="E9" s="12">
        <f>[3]Spirit!$GT$27</f>
        <v>0</v>
      </c>
      <c r="F9" s="12">
        <f>[3]Condor!$GT$27</f>
        <v>0</v>
      </c>
      <c r="G9" s="12">
        <f>'[3]Air France'!$GT$27</f>
        <v>0</v>
      </c>
      <c r="H9" s="12">
        <f>'[3]Jet Blue'!$GT$27</f>
        <v>6</v>
      </c>
      <c r="I9" s="12">
        <f>[3]KLM!$GT$27+[3]KLM!$GT$37</f>
        <v>0</v>
      </c>
      <c r="J9" s="12">
        <f>'Other Major Airline Stats'!J10</f>
        <v>1531</v>
      </c>
      <c r="K9" s="371">
        <f>SUM(B9:J9)</f>
        <v>10811</v>
      </c>
    </row>
    <row r="10" spans="1:20" x14ac:dyDescent="0.2">
      <c r="A10" s="38" t="s">
        <v>33</v>
      </c>
      <c r="B10" s="7">
        <f>[3]American!$GT$28</f>
        <v>900</v>
      </c>
      <c r="C10" s="7">
        <f>[3]Delta!$GT$28+[3]Delta!$GT$38</f>
        <v>8260</v>
      </c>
      <c r="D10" s="7">
        <f>[3]United!$GT$28</f>
        <v>337</v>
      </c>
      <c r="E10" s="7">
        <f>[3]Spirit!$GT$28</f>
        <v>0</v>
      </c>
      <c r="F10" s="7">
        <f>[3]Condor!$GT$28</f>
        <v>0</v>
      </c>
      <c r="G10" s="7">
        <f>'[3]Air France'!$GT$28</f>
        <v>0</v>
      </c>
      <c r="H10" s="7">
        <f>'[3]Jet Blue'!$GT$28</f>
        <v>2</v>
      </c>
      <c r="I10" s="7">
        <f>[3]KLM!$GT$28+[3]KLM!$GT$38</f>
        <v>0</v>
      </c>
      <c r="J10" s="7">
        <f>'Other Major Airline Stats'!J11</f>
        <v>1449</v>
      </c>
      <c r="K10" s="372">
        <f>SUM(B10:J10)</f>
        <v>10948</v>
      </c>
    </row>
    <row r="11" spans="1:20" ht="15.75" thickBot="1" x14ac:dyDescent="0.3">
      <c r="A11" s="39" t="s">
        <v>34</v>
      </c>
      <c r="B11" s="186">
        <f t="shared" ref="B11:J11" si="3">SUM(B9:B10)</f>
        <v>1750</v>
      </c>
      <c r="C11" s="186">
        <f t="shared" si="3"/>
        <v>16411</v>
      </c>
      <c r="D11" s="186">
        <f t="shared" si="3"/>
        <v>610</v>
      </c>
      <c r="E11" s="186">
        <f t="shared" si="3"/>
        <v>0</v>
      </c>
      <c r="F11" s="186">
        <f t="shared" ref="F11:I11" si="4">SUM(F9:F10)</f>
        <v>0</v>
      </c>
      <c r="G11" s="186">
        <f t="shared" si="4"/>
        <v>0</v>
      </c>
      <c r="H11" s="186">
        <f t="shared" ref="H11" si="5">SUM(H9:H10)</f>
        <v>8</v>
      </c>
      <c r="I11" s="186">
        <f t="shared" si="4"/>
        <v>0</v>
      </c>
      <c r="J11" s="186">
        <f t="shared" si="3"/>
        <v>2980</v>
      </c>
      <c r="K11" s="374">
        <f>SUM(B11:J11)</f>
        <v>21759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75"/>
    </row>
    <row r="15" spans="1:20" x14ac:dyDescent="0.2">
      <c r="A15" s="38" t="s">
        <v>22</v>
      </c>
      <c r="B15" s="12">
        <f>[3]American!$GT$4</f>
        <v>152</v>
      </c>
      <c r="C15" s="12">
        <f>[3]Delta!$GT$4+[3]Delta!$GT$15</f>
        <v>1006</v>
      </c>
      <c r="D15" s="12">
        <f>[3]United!$GT$4</f>
        <v>31</v>
      </c>
      <c r="E15" s="12">
        <f>[3]Spirit!$GT$4</f>
        <v>3</v>
      </c>
      <c r="F15" s="12">
        <f>[3]Condor!$GT$4</f>
        <v>0</v>
      </c>
      <c r="G15" s="12">
        <f>'[3]Air France'!$GT$4</f>
        <v>0</v>
      </c>
      <c r="H15" s="12">
        <f>'[3]Jet Blue'!$GT$4</f>
        <v>5</v>
      </c>
      <c r="I15" s="12">
        <f>[3]KLM!$GT$4+[3]KLM!$GT$15</f>
        <v>0</v>
      </c>
      <c r="J15" s="12">
        <f>'Other Major Airline Stats'!J16</f>
        <v>615</v>
      </c>
      <c r="K15" s="371">
        <f>SUM(B15:J15)</f>
        <v>1812</v>
      </c>
    </row>
    <row r="16" spans="1:20" x14ac:dyDescent="0.2">
      <c r="A16" s="38" t="s">
        <v>23</v>
      </c>
      <c r="B16" s="7">
        <f>[3]American!$GT$5</f>
        <v>151</v>
      </c>
      <c r="C16" s="7">
        <f>[3]Delta!$GT$5+[3]Delta!$GT$16</f>
        <v>1013</v>
      </c>
      <c r="D16" s="7">
        <f>[3]United!$GT$5</f>
        <v>31</v>
      </c>
      <c r="E16" s="7">
        <f>[3]Spirit!$GT$5</f>
        <v>3</v>
      </c>
      <c r="F16" s="7">
        <f>[3]Condor!$GT$5</f>
        <v>0</v>
      </c>
      <c r="G16" s="7">
        <f>'[3]Air France'!$GT$5</f>
        <v>0</v>
      </c>
      <c r="H16" s="7">
        <f>'[3]Jet Blue'!$GT$5</f>
        <v>5</v>
      </c>
      <c r="I16" s="7">
        <f>[3]KLM!$GT$5+[3]KLM!$GT$16</f>
        <v>0</v>
      </c>
      <c r="J16" s="7">
        <f>'Other Major Airline Stats'!J17</f>
        <v>624</v>
      </c>
      <c r="K16" s="372">
        <f>SUM(B16:J16)</f>
        <v>1827</v>
      </c>
    </row>
    <row r="17" spans="1:11" x14ac:dyDescent="0.2">
      <c r="A17" s="38" t="s">
        <v>24</v>
      </c>
      <c r="B17" s="188">
        <f t="shared" ref="B17:J17" si="6">SUM(B15:B16)</f>
        <v>303</v>
      </c>
      <c r="C17" s="187">
        <f t="shared" si="6"/>
        <v>2019</v>
      </c>
      <c r="D17" s="187">
        <f t="shared" si="6"/>
        <v>62</v>
      </c>
      <c r="E17" s="187">
        <f t="shared" si="6"/>
        <v>6</v>
      </c>
      <c r="F17" s="187">
        <f t="shared" ref="F17:I17" si="7">SUM(F15:F16)</f>
        <v>0</v>
      </c>
      <c r="G17" s="187">
        <f t="shared" si="7"/>
        <v>0</v>
      </c>
      <c r="H17" s="187">
        <f t="shared" ref="H17" si="8">SUM(H15:H16)</f>
        <v>10</v>
      </c>
      <c r="I17" s="187">
        <f t="shared" si="7"/>
        <v>0</v>
      </c>
      <c r="J17" s="187">
        <f t="shared" si="6"/>
        <v>1239</v>
      </c>
      <c r="K17" s="376">
        <f>SUM(B17:J17)</f>
        <v>3639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1"/>
    </row>
    <row r="19" spans="1:11" x14ac:dyDescent="0.2">
      <c r="A19" s="38" t="s">
        <v>25</v>
      </c>
      <c r="B19" s="12">
        <f>[3]American!$GT$8</f>
        <v>0</v>
      </c>
      <c r="C19" s="12">
        <f>[3]Delta!$GT$8</f>
        <v>0</v>
      </c>
      <c r="D19" s="12">
        <f>[3]United!$GT$8</f>
        <v>0</v>
      </c>
      <c r="E19" s="12">
        <f>[3]Spirit!$GT$8</f>
        <v>0</v>
      </c>
      <c r="F19" s="12">
        <f>[3]Condor!$GT$8</f>
        <v>0</v>
      </c>
      <c r="G19" s="12">
        <f>'[3]Air France'!$GT$8</f>
        <v>0</v>
      </c>
      <c r="H19" s="12">
        <f>'[3]Jet Blue'!$GT$8</f>
        <v>0</v>
      </c>
      <c r="I19" s="12">
        <f>[3]KLM!$GT$8</f>
        <v>0</v>
      </c>
      <c r="J19" s="12">
        <f>'Other Major Airline Stats'!J20</f>
        <v>41</v>
      </c>
      <c r="K19" s="371">
        <f>SUM(B19:J19)</f>
        <v>41</v>
      </c>
    </row>
    <row r="20" spans="1:11" x14ac:dyDescent="0.2">
      <c r="A20" s="38" t="s">
        <v>26</v>
      </c>
      <c r="B20" s="7">
        <f>[3]American!$GT$9</f>
        <v>0</v>
      </c>
      <c r="C20" s="7">
        <f>[3]Delta!$GT$9</f>
        <v>2</v>
      </c>
      <c r="D20" s="7">
        <f>[3]United!$GT$9</f>
        <v>0</v>
      </c>
      <c r="E20" s="7">
        <f>[3]Spirit!$GT$9</f>
        <v>0</v>
      </c>
      <c r="F20" s="7">
        <f>[3]Condor!$GT$9</f>
        <v>0</v>
      </c>
      <c r="G20" s="7">
        <f>'[3]Air France'!$GT$9</f>
        <v>0</v>
      </c>
      <c r="H20" s="7">
        <f>'[3]Jet Blue'!$GT$9</f>
        <v>0</v>
      </c>
      <c r="I20" s="7">
        <f>[3]KLM!$GT$9</f>
        <v>0</v>
      </c>
      <c r="J20" s="7">
        <f>'Other Major Airline Stats'!J21</f>
        <v>40</v>
      </c>
      <c r="K20" s="372">
        <f>SUM(B20:J20)</f>
        <v>42</v>
      </c>
    </row>
    <row r="21" spans="1:11" x14ac:dyDescent="0.2">
      <c r="A21" s="38" t="s">
        <v>27</v>
      </c>
      <c r="B21" s="188">
        <f t="shared" ref="B21:J21" si="9">SUM(B19:B20)</f>
        <v>0</v>
      </c>
      <c r="C21" s="187">
        <f t="shared" si="9"/>
        <v>2</v>
      </c>
      <c r="D21" s="187">
        <f t="shared" si="9"/>
        <v>0</v>
      </c>
      <c r="E21" s="187">
        <f t="shared" si="9"/>
        <v>0</v>
      </c>
      <c r="F21" s="187">
        <f t="shared" ref="F21:I21" si="10">SUM(F19:F20)</f>
        <v>0</v>
      </c>
      <c r="G21" s="187">
        <f t="shared" si="10"/>
        <v>0</v>
      </c>
      <c r="H21" s="187">
        <f t="shared" ref="H21" si="11">SUM(H19:H20)</f>
        <v>0</v>
      </c>
      <c r="I21" s="187">
        <f t="shared" si="10"/>
        <v>0</v>
      </c>
      <c r="J21" s="187">
        <f t="shared" si="9"/>
        <v>81</v>
      </c>
      <c r="K21" s="377">
        <f>SUM(B21:J21)</f>
        <v>83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1"/>
    </row>
    <row r="23" spans="1:11" ht="15.75" thickBot="1" x14ac:dyDescent="0.3">
      <c r="A23" s="39" t="s">
        <v>28</v>
      </c>
      <c r="B23" s="16">
        <f t="shared" ref="B23:J23" si="12">B17+B21</f>
        <v>303</v>
      </c>
      <c r="C23" s="16">
        <f t="shared" si="12"/>
        <v>2021</v>
      </c>
      <c r="D23" s="16">
        <f t="shared" si="12"/>
        <v>62</v>
      </c>
      <c r="E23" s="16">
        <f>E17+E21</f>
        <v>6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10</v>
      </c>
      <c r="I23" s="16">
        <f t="shared" si="13"/>
        <v>0</v>
      </c>
      <c r="J23" s="16">
        <f t="shared" si="12"/>
        <v>1320</v>
      </c>
      <c r="K23" s="374">
        <f>SUM(B23:J23)</f>
        <v>3722</v>
      </c>
    </row>
    <row r="25" spans="1:11" ht="13.5" thickBot="1" x14ac:dyDescent="0.25">
      <c r="B25" s="288"/>
      <c r="C25" s="288"/>
      <c r="D25" s="288"/>
      <c r="E25" s="288"/>
      <c r="F25" s="288"/>
      <c r="G25" s="288"/>
      <c r="H25" s="288"/>
      <c r="I25" s="288"/>
      <c r="J25" s="288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78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[3]American!$GT$47</f>
        <v>9368</v>
      </c>
      <c r="C28" s="12">
        <f>[3]Delta!$GT$47</f>
        <v>328289</v>
      </c>
      <c r="D28" s="12">
        <f>[3]United!$GT$47</f>
        <v>2644</v>
      </c>
      <c r="E28" s="12">
        <f>[3]Spirit!$GT$47</f>
        <v>0</v>
      </c>
      <c r="F28" s="12">
        <f>[3]Condor!$GT$47</f>
        <v>0</v>
      </c>
      <c r="G28" s="12">
        <f>'[3]Air France'!$GT$47</f>
        <v>0</v>
      </c>
      <c r="H28" s="12">
        <f>'[3]Jet Blue'!$GT$47</f>
        <v>0</v>
      </c>
      <c r="I28" s="12">
        <f>[3]KLM!$GT$47</f>
        <v>0</v>
      </c>
      <c r="J28" s="12">
        <f>'Other Major Airline Stats'!J28</f>
        <v>56216</v>
      </c>
      <c r="K28" s="371">
        <f>SUM(B28:J28)</f>
        <v>396517</v>
      </c>
    </row>
    <row r="29" spans="1:11" x14ac:dyDescent="0.2">
      <c r="A29" s="38" t="s">
        <v>38</v>
      </c>
      <c r="B29" s="7">
        <f>[3]American!$GT$48</f>
        <v>104017</v>
      </c>
      <c r="C29" s="7">
        <f>[3]Delta!$GT$48</f>
        <v>564545</v>
      </c>
      <c r="D29" s="7">
        <f>[3]United!$GT$48</f>
        <v>44</v>
      </c>
      <c r="E29" s="7">
        <f>[3]Spirit!$GT$48</f>
        <v>0</v>
      </c>
      <c r="F29" s="7">
        <f>[3]Condor!$GT$48</f>
        <v>0</v>
      </c>
      <c r="G29" s="7">
        <f>'[3]Air France'!$GT$48</f>
        <v>0</v>
      </c>
      <c r="H29" s="7">
        <f>'[3]Jet Blue'!$GT$48</f>
        <v>0</v>
      </c>
      <c r="I29" s="7">
        <f>[3]KLM!$GT$48</f>
        <v>0</v>
      </c>
      <c r="J29" s="7">
        <f>'Other Major Airline Stats'!J29</f>
        <v>27894</v>
      </c>
      <c r="K29" s="372">
        <f>SUM(B29:J29)</f>
        <v>696500</v>
      </c>
    </row>
    <row r="30" spans="1:11" x14ac:dyDescent="0.2">
      <c r="A30" s="42" t="s">
        <v>39</v>
      </c>
      <c r="B30" s="188">
        <f t="shared" ref="B30:J30" si="15">SUM(B28:B29)</f>
        <v>113385</v>
      </c>
      <c r="C30" s="188">
        <f t="shared" si="15"/>
        <v>892834</v>
      </c>
      <c r="D30" s="188">
        <f t="shared" si="15"/>
        <v>2688</v>
      </c>
      <c r="E30" s="188">
        <f t="shared" si="15"/>
        <v>0</v>
      </c>
      <c r="F30" s="188">
        <f t="shared" ref="F30:I30" si="16">SUM(F28:F29)</f>
        <v>0</v>
      </c>
      <c r="G30" s="188">
        <f t="shared" si="16"/>
        <v>0</v>
      </c>
      <c r="H30" s="188">
        <f t="shared" ref="H30" si="17">SUM(H28:H29)</f>
        <v>0</v>
      </c>
      <c r="I30" s="188">
        <f t="shared" si="16"/>
        <v>0</v>
      </c>
      <c r="J30" s="188">
        <f t="shared" si="15"/>
        <v>84110</v>
      </c>
      <c r="K30" s="371">
        <f>SUM(B30:J30)</f>
        <v>1093017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1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1">
        <f t="shared" ref="K32:K40" si="18">SUM(B32:J32)</f>
        <v>0</v>
      </c>
    </row>
    <row r="33" spans="1:11" x14ac:dyDescent="0.2">
      <c r="A33" s="38" t="s">
        <v>37</v>
      </c>
      <c r="B33" s="12">
        <f>[3]American!$GT$52</f>
        <v>3094</v>
      </c>
      <c r="C33" s="12">
        <f>[3]Delta!$GT$52</f>
        <v>212907</v>
      </c>
      <c r="D33" s="12">
        <f>[3]United!$GT$52</f>
        <v>62</v>
      </c>
      <c r="E33" s="12">
        <f>[3]Spirit!$GT$52</f>
        <v>0</v>
      </c>
      <c r="F33" s="12">
        <f>[3]Condor!$GT$52</f>
        <v>0</v>
      </c>
      <c r="G33" s="12">
        <f>'[3]Air France'!$GT$52</f>
        <v>0</v>
      </c>
      <c r="H33" s="12">
        <f>'[3]Jet Blue'!$GT$52</f>
        <v>0</v>
      </c>
      <c r="I33" s="12">
        <f>[3]KLM!$GT$52</f>
        <v>0</v>
      </c>
      <c r="J33" s="12">
        <f>'Other Major Airline Stats'!J33</f>
        <v>7440</v>
      </c>
      <c r="K33" s="371">
        <f t="shared" si="18"/>
        <v>223503</v>
      </c>
    </row>
    <row r="34" spans="1:11" x14ac:dyDescent="0.2">
      <c r="A34" s="38" t="s">
        <v>38</v>
      </c>
      <c r="B34" s="7">
        <f>[3]American!$GT$53</f>
        <v>143534</v>
      </c>
      <c r="C34" s="7">
        <f>[3]Delta!$GT$53</f>
        <v>563170</v>
      </c>
      <c r="D34" s="7">
        <f>[3]United!$GT$53</f>
        <v>0</v>
      </c>
      <c r="E34" s="7">
        <f>[3]Spirit!$GT$53</f>
        <v>0</v>
      </c>
      <c r="F34" s="7">
        <f>[3]Condor!$GT$53</f>
        <v>0</v>
      </c>
      <c r="G34" s="7">
        <f>'[3]Air France'!$GT$53</f>
        <v>0</v>
      </c>
      <c r="H34" s="7">
        <f>'[3]Jet Blue'!$GT$53</f>
        <v>0</v>
      </c>
      <c r="I34" s="7">
        <f>[3]KLM!$GT$53</f>
        <v>0</v>
      </c>
      <c r="J34" s="7">
        <f>'Other Major Airline Stats'!J34</f>
        <v>30981</v>
      </c>
      <c r="K34" s="372">
        <f t="shared" si="18"/>
        <v>737685</v>
      </c>
    </row>
    <row r="35" spans="1:11" x14ac:dyDescent="0.2">
      <c r="A35" s="42" t="s">
        <v>41</v>
      </c>
      <c r="B35" s="188">
        <f t="shared" ref="B35:J35" si="19">SUM(B33:B34)</f>
        <v>146628</v>
      </c>
      <c r="C35" s="188">
        <f t="shared" si="19"/>
        <v>776077</v>
      </c>
      <c r="D35" s="188">
        <f t="shared" si="19"/>
        <v>62</v>
      </c>
      <c r="E35" s="188">
        <f t="shared" si="19"/>
        <v>0</v>
      </c>
      <c r="F35" s="188">
        <f t="shared" ref="F35:I35" si="20">SUM(F33:F34)</f>
        <v>0</v>
      </c>
      <c r="G35" s="188">
        <f t="shared" si="20"/>
        <v>0</v>
      </c>
      <c r="H35" s="188">
        <f t="shared" ref="H35" si="21">SUM(H33:H34)</f>
        <v>0</v>
      </c>
      <c r="I35" s="188">
        <f t="shared" si="20"/>
        <v>0</v>
      </c>
      <c r="J35" s="188">
        <f t="shared" si="19"/>
        <v>38421</v>
      </c>
      <c r="K35" s="371">
        <f t="shared" si="18"/>
        <v>961188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1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1">
        <f t="shared" si="18"/>
        <v>0</v>
      </c>
    </row>
    <row r="38" spans="1:11" hidden="1" x14ac:dyDescent="0.2">
      <c r="A38" s="38" t="s">
        <v>37</v>
      </c>
      <c r="B38" s="12">
        <f>[3]American!$GT$57</f>
        <v>0</v>
      </c>
      <c r="C38" s="12">
        <f>[3]Delta!$GT$57</f>
        <v>0</v>
      </c>
      <c r="D38" s="12">
        <f>[3]United!$GT$57</f>
        <v>0</v>
      </c>
      <c r="E38" s="12">
        <f>[3]Spirit!$GT$57</f>
        <v>0</v>
      </c>
      <c r="F38" s="12">
        <f>[3]Condor!$GT$57</f>
        <v>0</v>
      </c>
      <c r="G38" s="12">
        <f>'[3]Air France'!$GT$57</f>
        <v>0</v>
      </c>
      <c r="H38" s="12">
        <f>'[3]Jet Blue'!$GT$57</f>
        <v>0</v>
      </c>
      <c r="I38" s="12">
        <f>[3]KLM!$GT$57</f>
        <v>0</v>
      </c>
      <c r="J38" s="12">
        <f>'Other Major Airline Stats'!J38</f>
        <v>0</v>
      </c>
      <c r="K38" s="371">
        <f t="shared" si="18"/>
        <v>0</v>
      </c>
    </row>
    <row r="39" spans="1:11" hidden="1" x14ac:dyDescent="0.2">
      <c r="A39" s="38" t="s">
        <v>38</v>
      </c>
      <c r="B39" s="7">
        <f>[3]American!$GT$58</f>
        <v>0</v>
      </c>
      <c r="C39" s="7">
        <f>[3]Delta!$GT$58</f>
        <v>0</v>
      </c>
      <c r="D39" s="7">
        <f>[3]United!$GT$58</f>
        <v>0</v>
      </c>
      <c r="E39" s="7">
        <f>[3]Spirit!$GT$58</f>
        <v>0</v>
      </c>
      <c r="F39" s="7">
        <f>[3]Condor!$GT$58</f>
        <v>0</v>
      </c>
      <c r="G39" s="7">
        <f>'[3]Air France'!$GT$58</f>
        <v>0</v>
      </c>
      <c r="H39" s="7">
        <f>'[3]Jet Blue'!$GT$58</f>
        <v>0</v>
      </c>
      <c r="I39" s="7">
        <f>[3]KLM!$GT$58</f>
        <v>0</v>
      </c>
      <c r="J39" s="7">
        <f>'Other Major Airline Stats'!J39</f>
        <v>0</v>
      </c>
      <c r="K39" s="372">
        <f t="shared" si="18"/>
        <v>0</v>
      </c>
    </row>
    <row r="40" spans="1:11" hidden="1" x14ac:dyDescent="0.2">
      <c r="A40" s="42" t="s">
        <v>43</v>
      </c>
      <c r="B40" s="188">
        <f t="shared" ref="B40:J40" si="22">SUM(B38:B39)</f>
        <v>0</v>
      </c>
      <c r="C40" s="188">
        <f t="shared" si="22"/>
        <v>0</v>
      </c>
      <c r="D40" s="188">
        <f t="shared" si="22"/>
        <v>0</v>
      </c>
      <c r="E40" s="188">
        <f t="shared" si="22"/>
        <v>0</v>
      </c>
      <c r="F40" s="188">
        <f t="shared" ref="F40:I40" si="23">SUM(F38:F39)</f>
        <v>0</v>
      </c>
      <c r="G40" s="188">
        <f t="shared" si="23"/>
        <v>0</v>
      </c>
      <c r="H40" s="188">
        <f t="shared" ref="H40" si="24">SUM(H38:H39)</f>
        <v>0</v>
      </c>
      <c r="I40" s="188">
        <f t="shared" si="23"/>
        <v>0</v>
      </c>
      <c r="J40" s="188">
        <f t="shared" si="22"/>
        <v>0</v>
      </c>
      <c r="K40" s="371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1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1">
        <f>SUM(B42:J42)</f>
        <v>0</v>
      </c>
    </row>
    <row r="43" spans="1:11" x14ac:dyDescent="0.2">
      <c r="A43" s="38" t="s">
        <v>45</v>
      </c>
      <c r="B43" s="12">
        <f t="shared" ref="B43:J44" si="25">B28+B33+B38</f>
        <v>12462</v>
      </c>
      <c r="C43" s="12">
        <f t="shared" si="25"/>
        <v>541196</v>
      </c>
      <c r="D43" s="12">
        <f t="shared" si="25"/>
        <v>2706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0</v>
      </c>
      <c r="J43" s="12">
        <f t="shared" si="25"/>
        <v>63656</v>
      </c>
      <c r="K43" s="371">
        <f>SUM(B43:J43)</f>
        <v>620020</v>
      </c>
    </row>
    <row r="44" spans="1:11" x14ac:dyDescent="0.2">
      <c r="A44" s="38" t="s">
        <v>38</v>
      </c>
      <c r="B44" s="7">
        <f t="shared" si="25"/>
        <v>247551</v>
      </c>
      <c r="C44" s="7">
        <f t="shared" si="25"/>
        <v>1127715</v>
      </c>
      <c r="D44" s="7">
        <f t="shared" si="25"/>
        <v>44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58875</v>
      </c>
      <c r="K44" s="371">
        <f>SUM(B44:J44)</f>
        <v>1434185</v>
      </c>
    </row>
    <row r="45" spans="1:11" ht="15.75" thickBot="1" x14ac:dyDescent="0.3">
      <c r="A45" s="39" t="s">
        <v>46</v>
      </c>
      <c r="B45" s="189">
        <f t="shared" ref="B45:J45" si="30">SUM(B43:B44)</f>
        <v>260013</v>
      </c>
      <c r="C45" s="189">
        <f t="shared" si="30"/>
        <v>1668911</v>
      </c>
      <c r="D45" s="189">
        <f t="shared" si="30"/>
        <v>2750</v>
      </c>
      <c r="E45" s="189">
        <f t="shared" si="30"/>
        <v>0</v>
      </c>
      <c r="F45" s="189">
        <f t="shared" ref="F45:I45" si="31">SUM(F43:F44)</f>
        <v>0</v>
      </c>
      <c r="G45" s="189">
        <f t="shared" si="31"/>
        <v>0</v>
      </c>
      <c r="H45" s="189">
        <f t="shared" ref="H45" si="32">SUM(H43:H44)</f>
        <v>0</v>
      </c>
      <c r="I45" s="189">
        <f t="shared" si="31"/>
        <v>0</v>
      </c>
      <c r="J45" s="189">
        <f t="shared" si="30"/>
        <v>122531</v>
      </c>
      <c r="K45" s="379">
        <f>SUM(B45:J45)</f>
        <v>2054205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4" t="s">
        <v>122</v>
      </c>
      <c r="C47" s="212">
        <f>[3]Delta!$GT$70+[3]Delta!$GT$73</f>
        <v>29103</v>
      </c>
      <c r="D47" s="200"/>
      <c r="E47" s="200"/>
      <c r="F47" s="200"/>
      <c r="G47" s="200"/>
      <c r="H47" s="200"/>
      <c r="I47" s="200"/>
      <c r="J47" s="200"/>
      <c r="K47" s="201">
        <f>SUM(B47:J47)</f>
        <v>29103</v>
      </c>
    </row>
    <row r="48" spans="1:11" hidden="1" x14ac:dyDescent="0.2">
      <c r="A48" s="255" t="s">
        <v>123</v>
      </c>
      <c r="C48" s="212">
        <f>[3]Delta!$GT$71+[3]Delta!$GT$74</f>
        <v>21847</v>
      </c>
      <c r="D48" s="200"/>
      <c r="E48" s="200"/>
      <c r="F48" s="200"/>
      <c r="G48" s="200"/>
      <c r="H48" s="200"/>
      <c r="I48" s="200"/>
      <c r="J48" s="200"/>
      <c r="K48" s="201">
        <f>SUM(B48:J48)</f>
        <v>21847</v>
      </c>
    </row>
    <row r="49" spans="1:11" hidden="1" x14ac:dyDescent="0.2">
      <c r="A49" s="256" t="s">
        <v>124</v>
      </c>
      <c r="C49" s="213">
        <f>SUM(C47:C48)</f>
        <v>50950</v>
      </c>
      <c r="K49" s="201">
        <f>SUM(B49:J49)</f>
        <v>50950</v>
      </c>
    </row>
    <row r="50" spans="1:11" x14ac:dyDescent="0.2">
      <c r="A50" s="254" t="s">
        <v>122</v>
      </c>
      <c r="B50" s="264"/>
      <c r="C50" s="215">
        <f>[3]Delta!$GT$70+[3]Delta!$GT$73</f>
        <v>29103</v>
      </c>
      <c r="D50" s="264"/>
      <c r="E50" s="215">
        <f>[3]Spirit!$GT$70+[3]Spirit!$GT$73</f>
        <v>0</v>
      </c>
      <c r="F50" s="264"/>
      <c r="G50" s="264"/>
      <c r="H50" s="264"/>
      <c r="I50" s="264"/>
      <c r="J50" s="214">
        <f>'Other Major Airline Stats'!J48</f>
        <v>23554</v>
      </c>
      <c r="K50" s="204">
        <f>SUM(B50:J50)</f>
        <v>52657</v>
      </c>
    </row>
    <row r="51" spans="1:11" x14ac:dyDescent="0.2">
      <c r="A51" s="266" t="s">
        <v>123</v>
      </c>
      <c r="B51" s="264"/>
      <c r="C51" s="215">
        <f>[3]Delta!$GT$71+[3]Delta!$GT$74</f>
        <v>21847</v>
      </c>
      <c r="D51" s="264"/>
      <c r="E51" s="215">
        <f>[3]Spirit!$GT$71+[3]Spirit!$GT$74</f>
        <v>0</v>
      </c>
      <c r="F51" s="264"/>
      <c r="G51" s="264"/>
      <c r="H51" s="264"/>
      <c r="I51" s="264"/>
      <c r="J51" s="214">
        <f>+'Other Major Airline Stats'!J49</f>
        <v>10</v>
      </c>
      <c r="K51" s="204">
        <f>SUM(B51:J51)</f>
        <v>21857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G20" sqref="G2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257">
        <v>43952</v>
      </c>
      <c r="B2" s="427" t="s">
        <v>47</v>
      </c>
      <c r="C2" s="429" t="s">
        <v>179</v>
      </c>
      <c r="D2" s="429" t="s">
        <v>211</v>
      </c>
      <c r="E2" s="429" t="s">
        <v>180</v>
      </c>
      <c r="F2" s="427" t="s">
        <v>48</v>
      </c>
      <c r="G2" s="429" t="s">
        <v>130</v>
      </c>
      <c r="H2" s="429" t="s">
        <v>49</v>
      </c>
      <c r="I2" s="429" t="s">
        <v>129</v>
      </c>
      <c r="J2" s="113" t="s">
        <v>61</v>
      </c>
    </row>
    <row r="3" spans="1:13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380"/>
    </row>
    <row r="4" spans="1:13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381"/>
    </row>
    <row r="5" spans="1:13" x14ac:dyDescent="0.2">
      <c r="A5" s="38" t="s">
        <v>30</v>
      </c>
      <c r="B5" s="83">
        <f>[3]Frontier!$GT$22</f>
        <v>1814</v>
      </c>
      <c r="C5" s="83">
        <f>'[3]Air Choice One'!$GT$22</f>
        <v>82</v>
      </c>
      <c r="D5" s="83">
        <f>'[3]Aer Lingus'!$GT$32</f>
        <v>0</v>
      </c>
      <c r="E5" s="83">
        <f>'[3]Boutique Air'!$GT$22</f>
        <v>77</v>
      </c>
      <c r="F5" s="83">
        <f>[3]Icelandair!$GT$32</f>
        <v>0</v>
      </c>
      <c r="G5" s="83">
        <f>[3]Southwest!$GT$22</f>
        <v>8723</v>
      </c>
      <c r="H5" s="83">
        <f>'[3]Sun Country'!$GT$22+'[3]Sun Country'!$GT$32</f>
        <v>17442</v>
      </c>
      <c r="I5" s="83">
        <f>[3]Alaska!$GT$22</f>
        <v>1806</v>
      </c>
      <c r="J5" s="382">
        <f>SUM(B5:I5)</f>
        <v>29944</v>
      </c>
      <c r="M5" s="83"/>
    </row>
    <row r="6" spans="1:13" x14ac:dyDescent="0.2">
      <c r="A6" s="38" t="s">
        <v>31</v>
      </c>
      <c r="B6" s="83">
        <f>[3]Frontier!$GT$23</f>
        <v>1616</v>
      </c>
      <c r="C6" s="83">
        <f>'[3]Air Choice One'!$GT$23</f>
        <v>98</v>
      </c>
      <c r="D6" s="83">
        <f>'[3]Aer Lingus'!$GT$33</f>
        <v>0</v>
      </c>
      <c r="E6" s="83">
        <f>'[3]Boutique Air'!$GT$23</f>
        <v>0</v>
      </c>
      <c r="F6" s="83">
        <f>[3]Icelandair!$GT$33</f>
        <v>0</v>
      </c>
      <c r="G6" s="83">
        <f>[3]Southwest!$GT$23</f>
        <v>7809</v>
      </c>
      <c r="H6" s="83">
        <f>'[3]Sun Country'!$GT$23+'[3]Sun Country'!$GT$33</f>
        <v>15755</v>
      </c>
      <c r="I6" s="83">
        <f>[3]Alaska!$GT$23</f>
        <v>1834</v>
      </c>
      <c r="J6" s="382">
        <f>SUM(B6:I6)</f>
        <v>27112</v>
      </c>
    </row>
    <row r="7" spans="1:13" ht="15" x14ac:dyDescent="0.25">
      <c r="A7" s="36" t="s">
        <v>7</v>
      </c>
      <c r="B7" s="101">
        <f t="shared" ref="B7:I7" si="0">SUM(B5:B6)</f>
        <v>3430</v>
      </c>
      <c r="C7" s="101">
        <f t="shared" ref="C7:E7" si="1">SUM(C5:C6)</f>
        <v>180</v>
      </c>
      <c r="D7" s="101">
        <f t="shared" si="1"/>
        <v>0</v>
      </c>
      <c r="E7" s="101">
        <f t="shared" si="1"/>
        <v>77</v>
      </c>
      <c r="F7" s="101">
        <f t="shared" si="0"/>
        <v>0</v>
      </c>
      <c r="G7" s="101">
        <f t="shared" si="0"/>
        <v>16532</v>
      </c>
      <c r="H7" s="101">
        <f>SUM(H5:H6)</f>
        <v>33197</v>
      </c>
      <c r="I7" s="101">
        <f t="shared" si="0"/>
        <v>3640</v>
      </c>
      <c r="J7" s="383">
        <f>SUM(B7:I7)</f>
        <v>57056</v>
      </c>
    </row>
    <row r="8" spans="1:13" x14ac:dyDescent="0.2">
      <c r="A8" s="38"/>
      <c r="B8" s="100"/>
      <c r="C8" s="100"/>
      <c r="D8" s="100"/>
      <c r="E8" s="100"/>
      <c r="F8" s="100"/>
      <c r="G8" s="100"/>
      <c r="H8" s="100"/>
      <c r="I8" s="100"/>
      <c r="J8" s="382"/>
    </row>
    <row r="9" spans="1:13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382"/>
    </row>
    <row r="10" spans="1:13" x14ac:dyDescent="0.2">
      <c r="A10" s="38" t="s">
        <v>30</v>
      </c>
      <c r="B10" s="100">
        <f>[3]Frontier!$GT$27</f>
        <v>41</v>
      </c>
      <c r="C10" s="100">
        <f>'[3]Air Choice One'!$GT$27</f>
        <v>0</v>
      </c>
      <c r="D10" s="100">
        <f>'[3]Aer Lingus'!$GT$37</f>
        <v>0</v>
      </c>
      <c r="E10" s="100">
        <f>'[3]Boutique Air'!$GT$27</f>
        <v>0</v>
      </c>
      <c r="F10" s="100">
        <f>[3]Icelandair!$GT$37</f>
        <v>0</v>
      </c>
      <c r="G10" s="100">
        <f>[3]Southwest!$GT$27</f>
        <v>871</v>
      </c>
      <c r="H10" s="100">
        <f>'[3]Sun Country'!$GT$27+'[3]Sun Country'!$GT$37</f>
        <v>462</v>
      </c>
      <c r="I10" s="100">
        <f>[3]Alaska!$GT$27</f>
        <v>157</v>
      </c>
      <c r="J10" s="382">
        <f>SUM(B10:I10)</f>
        <v>1531</v>
      </c>
    </row>
    <row r="11" spans="1:13" x14ac:dyDescent="0.2">
      <c r="A11" s="38" t="s">
        <v>33</v>
      </c>
      <c r="B11" s="102">
        <f>[3]Frontier!$GT$28</f>
        <v>27</v>
      </c>
      <c r="C11" s="102">
        <f>'[3]Air Choice One'!$GT$28</f>
        <v>0</v>
      </c>
      <c r="D11" s="102">
        <f>'[3]Aer Lingus'!$GT$38</f>
        <v>0</v>
      </c>
      <c r="E11" s="102">
        <f>'[3]Boutique Air'!$GT$28</f>
        <v>0</v>
      </c>
      <c r="F11" s="102">
        <f>[3]Icelandair!$GT$38</f>
        <v>0</v>
      </c>
      <c r="G11" s="102">
        <f>[3]Southwest!$GT$28</f>
        <v>873</v>
      </c>
      <c r="H11" s="102">
        <f>'[3]Sun Country'!$GT$28+'[3]Sun Country'!$GT$38</f>
        <v>432</v>
      </c>
      <c r="I11" s="102">
        <f>[3]Alaska!$GT$28</f>
        <v>117</v>
      </c>
      <c r="J11" s="382">
        <f>SUM(B11:I11)</f>
        <v>1449</v>
      </c>
    </row>
    <row r="12" spans="1:13" ht="15.75" thickBot="1" x14ac:dyDescent="0.3">
      <c r="A12" s="39" t="s">
        <v>34</v>
      </c>
      <c r="B12" s="99">
        <f t="shared" ref="B12:I12" si="2">SUM(B10:B11)</f>
        <v>68</v>
      </c>
      <c r="C12" s="99">
        <f t="shared" ref="C12:E12" si="3">SUM(C10:C11)</f>
        <v>0</v>
      </c>
      <c r="D12" s="99">
        <f t="shared" si="3"/>
        <v>0</v>
      </c>
      <c r="E12" s="99">
        <f t="shared" si="3"/>
        <v>0</v>
      </c>
      <c r="F12" s="99">
        <f t="shared" si="2"/>
        <v>0</v>
      </c>
      <c r="G12" s="99">
        <f t="shared" si="2"/>
        <v>1744</v>
      </c>
      <c r="H12" s="99">
        <f>SUM(H10:H11)</f>
        <v>894</v>
      </c>
      <c r="I12" s="99">
        <f t="shared" si="2"/>
        <v>274</v>
      </c>
      <c r="J12" s="384">
        <f>SUM(B12:I12)</f>
        <v>2980</v>
      </c>
      <c r="M12" s="83"/>
    </row>
    <row r="13" spans="1:13" ht="15" x14ac:dyDescent="0.25">
      <c r="A13" s="35"/>
      <c r="B13" s="190"/>
      <c r="C13" s="190"/>
      <c r="D13" s="190"/>
      <c r="E13" s="190"/>
      <c r="F13" s="190"/>
      <c r="G13" s="190"/>
      <c r="H13" s="190"/>
      <c r="I13" s="190"/>
      <c r="J13" s="191"/>
    </row>
    <row r="14" spans="1:13" ht="13.5" thickBot="1" x14ac:dyDescent="0.25"/>
    <row r="15" spans="1:13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385"/>
    </row>
    <row r="16" spans="1:13" x14ac:dyDescent="0.2">
      <c r="A16" s="38" t="s">
        <v>22</v>
      </c>
      <c r="B16" s="83">
        <f>[3]Frontier!$GT$4</f>
        <v>17</v>
      </c>
      <c r="C16" s="76">
        <f>'[3]Air Choice One'!$GT$4</f>
        <v>94</v>
      </c>
      <c r="D16" s="83">
        <f>'[3]Aer Lingus'!$GT$15</f>
        <v>0</v>
      </c>
      <c r="E16" s="76">
        <f>'[3]Boutique Air'!$GT$4</f>
        <v>75</v>
      </c>
      <c r="F16" s="83">
        <f>[3]Icelandair!$GT$15</f>
        <v>0</v>
      </c>
      <c r="G16" s="76">
        <f>[3]Southwest!$GT$4</f>
        <v>181</v>
      </c>
      <c r="H16" s="83">
        <f>'[3]Sun Country'!$GT$4+'[3]Sun Country'!$GT$15</f>
        <v>187</v>
      </c>
      <c r="I16" s="83">
        <f>[3]Alaska!$GT$4</f>
        <v>61</v>
      </c>
      <c r="J16" s="382">
        <f>SUM(B16:I16)</f>
        <v>615</v>
      </c>
    </row>
    <row r="17" spans="1:257" x14ac:dyDescent="0.2">
      <c r="A17" s="38" t="s">
        <v>23</v>
      </c>
      <c r="B17" s="83">
        <f>[3]Frontier!$GT$5</f>
        <v>17</v>
      </c>
      <c r="C17" s="76">
        <f>'[3]Air Choice One'!$GT$5</f>
        <v>94</v>
      </c>
      <c r="D17" s="83">
        <f>'[3]Aer Lingus'!$GT$16</f>
        <v>0</v>
      </c>
      <c r="E17" s="76">
        <f>'[3]Boutique Air'!$GT$5</f>
        <v>77</v>
      </c>
      <c r="F17" s="83">
        <f>[3]Icelandair!$GT$16</f>
        <v>0</v>
      </c>
      <c r="G17" s="76">
        <f>[3]Southwest!$GT$5</f>
        <v>189</v>
      </c>
      <c r="H17" s="83">
        <f>'[3]Sun Country'!$GT$5+'[3]Sun Country'!$GT$16</f>
        <v>186</v>
      </c>
      <c r="I17" s="83">
        <f>[3]Alaska!$GT$5</f>
        <v>61</v>
      </c>
      <c r="J17" s="382">
        <f>SUM(B17:I17)</f>
        <v>624</v>
      </c>
    </row>
    <row r="18" spans="1:257" x14ac:dyDescent="0.2">
      <c r="A18" s="42" t="s">
        <v>24</v>
      </c>
      <c r="B18" s="98">
        <f t="shared" ref="B18:I18" si="4">SUM(B16:B17)</f>
        <v>34</v>
      </c>
      <c r="C18" s="98">
        <f t="shared" ref="C18:E18" si="5">SUM(C16:C17)</f>
        <v>188</v>
      </c>
      <c r="D18" s="98">
        <f t="shared" si="5"/>
        <v>0</v>
      </c>
      <c r="E18" s="98">
        <f t="shared" si="5"/>
        <v>152</v>
      </c>
      <c r="F18" s="98">
        <f t="shared" si="4"/>
        <v>0</v>
      </c>
      <c r="G18" s="98">
        <f t="shared" si="4"/>
        <v>370</v>
      </c>
      <c r="H18" s="98">
        <f t="shared" si="4"/>
        <v>373</v>
      </c>
      <c r="I18" s="98">
        <f t="shared" si="4"/>
        <v>122</v>
      </c>
      <c r="J18" s="386">
        <f>SUM(B18:I18)</f>
        <v>1239</v>
      </c>
    </row>
    <row r="19" spans="1:257" x14ac:dyDescent="0.2">
      <c r="A19" s="42"/>
      <c r="B19" s="82"/>
      <c r="C19" s="82"/>
      <c r="D19" s="82"/>
      <c r="E19" s="82"/>
      <c r="F19" s="82"/>
      <c r="G19" s="82"/>
      <c r="H19" s="82"/>
      <c r="I19" s="82"/>
      <c r="J19" s="382"/>
    </row>
    <row r="20" spans="1:257" x14ac:dyDescent="0.2">
      <c r="A20" s="38" t="s">
        <v>25</v>
      </c>
      <c r="B20" s="83">
        <f>[3]Frontier!$GT$8</f>
        <v>0</v>
      </c>
      <c r="C20" s="83">
        <f>'[3]Air Choice One'!$GT$8</f>
        <v>0</v>
      </c>
      <c r="D20" s="83">
        <f>'[3]Aer Lingus'!$GT$8</f>
        <v>0</v>
      </c>
      <c r="E20" s="83">
        <f>'[3]Boutique Air'!$GT$8</f>
        <v>0</v>
      </c>
      <c r="F20" s="83">
        <f>[3]Icelandair!$GT$8</f>
        <v>0</v>
      </c>
      <c r="G20" s="83">
        <f>[3]Southwest!$GT$8</f>
        <v>0</v>
      </c>
      <c r="H20" s="83">
        <f>'[3]Sun Country'!$GT$8</f>
        <v>41</v>
      </c>
      <c r="I20" s="83">
        <f>[3]Alaska!$GT$8</f>
        <v>0</v>
      </c>
      <c r="J20" s="382">
        <f>SUM(B20:I20)</f>
        <v>41</v>
      </c>
    </row>
    <row r="21" spans="1:257" x14ac:dyDescent="0.2">
      <c r="A21" s="38" t="s">
        <v>26</v>
      </c>
      <c r="B21" s="83">
        <f>[3]Frontier!$GT$9</f>
        <v>0</v>
      </c>
      <c r="C21" s="83">
        <f>'[3]Air Choice One'!$GT$9</f>
        <v>0</v>
      </c>
      <c r="D21" s="83">
        <f>'[3]Aer Lingus'!$GT$9</f>
        <v>0</v>
      </c>
      <c r="E21" s="83">
        <f>'[3]Boutique Air'!$GT$9</f>
        <v>0</v>
      </c>
      <c r="F21" s="83">
        <f>[3]Icelandair!$GT$9</f>
        <v>0</v>
      </c>
      <c r="G21" s="83">
        <f>[3]Southwest!$GT$9</f>
        <v>0</v>
      </c>
      <c r="H21" s="83">
        <f>'[3]Sun Country'!$GT$9</f>
        <v>40</v>
      </c>
      <c r="I21" s="83">
        <f>[3]Alaska!$GT$9</f>
        <v>0</v>
      </c>
      <c r="J21" s="382">
        <f>SUM(B21:I21)</f>
        <v>40</v>
      </c>
    </row>
    <row r="22" spans="1:257" x14ac:dyDescent="0.2">
      <c r="A22" s="42" t="s">
        <v>27</v>
      </c>
      <c r="B22" s="98">
        <f t="shared" ref="B22:I22" si="6">SUM(B20:B21)</f>
        <v>0</v>
      </c>
      <c r="C22" s="98">
        <f t="shared" ref="C22:E22" si="7">SUM(C20:C21)</f>
        <v>0</v>
      </c>
      <c r="D22" s="98">
        <f t="shared" si="7"/>
        <v>0</v>
      </c>
      <c r="E22" s="98">
        <f t="shared" si="7"/>
        <v>0</v>
      </c>
      <c r="F22" s="98">
        <f t="shared" si="6"/>
        <v>0</v>
      </c>
      <c r="G22" s="98">
        <f t="shared" si="6"/>
        <v>0</v>
      </c>
      <c r="H22" s="98">
        <f t="shared" si="6"/>
        <v>81</v>
      </c>
      <c r="I22" s="98">
        <f t="shared" si="6"/>
        <v>0</v>
      </c>
      <c r="J22" s="386">
        <f>SUM(B22:I22)</f>
        <v>81</v>
      </c>
    </row>
    <row r="23" spans="1:257" ht="15.75" thickBot="1" x14ac:dyDescent="0.3">
      <c r="A23" s="39" t="s">
        <v>28</v>
      </c>
      <c r="B23" s="99">
        <f t="shared" ref="B23:I23" si="8">B22+B18</f>
        <v>34</v>
      </c>
      <c r="C23" s="99">
        <f t="shared" ref="C23:E23" si="9">C22+C18</f>
        <v>188</v>
      </c>
      <c r="D23" s="99">
        <f t="shared" si="9"/>
        <v>0</v>
      </c>
      <c r="E23" s="99">
        <f t="shared" si="9"/>
        <v>152</v>
      </c>
      <c r="F23" s="99">
        <f t="shared" si="8"/>
        <v>0</v>
      </c>
      <c r="G23" s="99">
        <f t="shared" si="8"/>
        <v>370</v>
      </c>
      <c r="H23" s="99">
        <f t="shared" si="8"/>
        <v>454</v>
      </c>
      <c r="I23" s="99">
        <f t="shared" si="8"/>
        <v>122</v>
      </c>
      <c r="J23" s="387">
        <f>SUM(B23:I23)</f>
        <v>1320</v>
      </c>
    </row>
    <row r="24" spans="1:257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</row>
    <row r="25" spans="1:257" ht="13.5" thickBot="1" x14ac:dyDescent="0.25">
      <c r="B25" s="288"/>
      <c r="C25" s="288"/>
      <c r="D25" s="288"/>
      <c r="E25" s="288"/>
      <c r="F25" s="288"/>
      <c r="G25" s="288"/>
      <c r="H25" s="288"/>
      <c r="I25" s="288"/>
      <c r="J25" s="83"/>
    </row>
    <row r="26" spans="1:257" ht="15.75" thickTop="1" x14ac:dyDescent="0.25">
      <c r="A26" s="41" t="s">
        <v>35</v>
      </c>
      <c r="B26" s="103"/>
      <c r="C26" s="103"/>
      <c r="D26" s="103"/>
      <c r="E26" s="433"/>
      <c r="F26" s="103"/>
      <c r="G26" s="103"/>
      <c r="H26" s="103"/>
      <c r="I26" s="103"/>
      <c r="J26" s="388"/>
    </row>
    <row r="27" spans="1:257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381"/>
    </row>
    <row r="28" spans="1:257" x14ac:dyDescent="0.2">
      <c r="A28" s="38" t="s">
        <v>37</v>
      </c>
      <c r="B28" s="83">
        <f>[3]Frontier!$GT$47</f>
        <v>0</v>
      </c>
      <c r="C28" s="83">
        <f>'[3]Air Choice One'!$GT$47</f>
        <v>0</v>
      </c>
      <c r="D28" s="83">
        <f>'[3]Aer Lingus'!$GT$47</f>
        <v>0</v>
      </c>
      <c r="E28" s="83">
        <f>'[3]Boutique Air'!$GT$47</f>
        <v>0</v>
      </c>
      <c r="F28" s="83">
        <f>[3]Icelandair!$GT$47</f>
        <v>0</v>
      </c>
      <c r="G28" s="83">
        <f>[3]Southwest!$GT$47</f>
        <v>5357</v>
      </c>
      <c r="H28" s="83">
        <f>'[3]Sun Country'!$GT$47</f>
        <v>18479</v>
      </c>
      <c r="I28" s="83">
        <f>[3]Alaska!$GT$47</f>
        <v>32380</v>
      </c>
      <c r="J28" s="382">
        <f>SUM(B28:I28)</f>
        <v>56216</v>
      </c>
    </row>
    <row r="29" spans="1:257" x14ac:dyDescent="0.2">
      <c r="A29" s="38" t="s">
        <v>38</v>
      </c>
      <c r="B29" s="83">
        <f>[3]Frontier!$GT$48</f>
        <v>0</v>
      </c>
      <c r="C29" s="83">
        <f>'[3]Air Choice One'!$GT$48</f>
        <v>0</v>
      </c>
      <c r="D29" s="83">
        <f>'[3]Aer Lingus'!$GT$48</f>
        <v>0</v>
      </c>
      <c r="E29" s="83">
        <f>'[3]Boutique Air'!$GT$48</f>
        <v>0</v>
      </c>
      <c r="F29" s="83">
        <f>[3]Icelandair!$GT$48</f>
        <v>0</v>
      </c>
      <c r="G29" s="83">
        <f>[3]Southwest!$GT$48</f>
        <v>0</v>
      </c>
      <c r="H29" s="83">
        <f>'[3]Sun Country'!$GT$48</f>
        <v>25756</v>
      </c>
      <c r="I29" s="83">
        <f>[3]Alaska!$GT$48</f>
        <v>2138</v>
      </c>
      <c r="J29" s="382">
        <f>SUM(B29:I29)</f>
        <v>27894</v>
      </c>
    </row>
    <row r="30" spans="1:257" x14ac:dyDescent="0.2">
      <c r="A30" s="42" t="s">
        <v>39</v>
      </c>
      <c r="B30" s="105">
        <f t="shared" ref="B30:I30" si="10">SUM(B28:B29)</f>
        <v>0</v>
      </c>
      <c r="C30" s="105">
        <f t="shared" ref="C30:E30" si="11">SUM(C28:C29)</f>
        <v>0</v>
      </c>
      <c r="D30" s="105">
        <f t="shared" si="11"/>
        <v>0</v>
      </c>
      <c r="E30" s="105">
        <f t="shared" si="11"/>
        <v>0</v>
      </c>
      <c r="F30" s="105">
        <f t="shared" si="10"/>
        <v>0</v>
      </c>
      <c r="G30" s="105">
        <f t="shared" si="10"/>
        <v>5357</v>
      </c>
      <c r="H30" s="105">
        <f t="shared" si="10"/>
        <v>44235</v>
      </c>
      <c r="I30" s="105">
        <f t="shared" si="10"/>
        <v>34518</v>
      </c>
      <c r="J30" s="389">
        <f>SUM(B30:I30)</f>
        <v>84110</v>
      </c>
    </row>
    <row r="31" spans="1:257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382"/>
    </row>
    <row r="32" spans="1:257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382"/>
    </row>
    <row r="33" spans="1:10" x14ac:dyDescent="0.2">
      <c r="A33" s="38" t="s">
        <v>37</v>
      </c>
      <c r="B33" s="83">
        <f>[3]Frontier!$GT$52</f>
        <v>0</v>
      </c>
      <c r="C33" s="83">
        <f>'[3]Air Choice One'!$GT$52</f>
        <v>0</v>
      </c>
      <c r="D33" s="83">
        <f>'[3]Aer Lingus'!$GT$52</f>
        <v>0</v>
      </c>
      <c r="E33" s="83">
        <f>'[3]Boutique Air'!$GT$52</f>
        <v>0</v>
      </c>
      <c r="F33" s="83">
        <f>[3]Icelandair!$GT$52</f>
        <v>0</v>
      </c>
      <c r="G33" s="83">
        <f>[3]Southwest!$GT$52</f>
        <v>2690</v>
      </c>
      <c r="H33" s="83">
        <f>'[3]Sun Country'!$GT$52</f>
        <v>130</v>
      </c>
      <c r="I33" s="83">
        <f>[3]Alaska!$GT$52</f>
        <v>4620</v>
      </c>
      <c r="J33" s="382">
        <f>SUM(B33:I33)</f>
        <v>7440</v>
      </c>
    </row>
    <row r="34" spans="1:10" x14ac:dyDescent="0.2">
      <c r="A34" s="38" t="s">
        <v>38</v>
      </c>
      <c r="B34" s="83">
        <f>[3]Frontier!$GT$53</f>
        <v>0</v>
      </c>
      <c r="C34" s="83">
        <f>'[3]Air Choice One'!$GT$53</f>
        <v>0</v>
      </c>
      <c r="D34" s="83">
        <f>'[3]Aer Lingus'!$GT$53</f>
        <v>0</v>
      </c>
      <c r="E34" s="83">
        <f>'[3]Boutique Air'!$GT$53</f>
        <v>0</v>
      </c>
      <c r="F34" s="83">
        <f>[3]Icelandair!$GT$53</f>
        <v>0</v>
      </c>
      <c r="G34" s="83">
        <f>[3]Southwest!$GT$53</f>
        <v>0</v>
      </c>
      <c r="H34" s="83">
        <f>'[3]Sun Country'!$GT$53</f>
        <v>30981</v>
      </c>
      <c r="I34" s="83">
        <f>[3]Alaska!$GT$53</f>
        <v>0</v>
      </c>
      <c r="J34" s="390">
        <f>SUM(B34:I34)</f>
        <v>30981</v>
      </c>
    </row>
    <row r="35" spans="1:10" x14ac:dyDescent="0.2">
      <c r="A35" s="42" t="s">
        <v>41</v>
      </c>
      <c r="B35" s="98">
        <f t="shared" ref="B35:I35" si="12">SUM(B33:B34)</f>
        <v>0</v>
      </c>
      <c r="C35" s="98">
        <f t="shared" ref="C35:E35" si="13">SUM(C33:C34)</f>
        <v>0</v>
      </c>
      <c r="D35" s="98">
        <f t="shared" si="13"/>
        <v>0</v>
      </c>
      <c r="E35" s="98">
        <f t="shared" si="13"/>
        <v>0</v>
      </c>
      <c r="F35" s="98">
        <f t="shared" si="12"/>
        <v>0</v>
      </c>
      <c r="G35" s="98">
        <f t="shared" si="12"/>
        <v>2690</v>
      </c>
      <c r="H35" s="98">
        <f t="shared" si="12"/>
        <v>31111</v>
      </c>
      <c r="I35" s="98">
        <f t="shared" si="12"/>
        <v>4620</v>
      </c>
      <c r="J35" s="389">
        <f>SUM(B35:I35)</f>
        <v>38421</v>
      </c>
    </row>
    <row r="36" spans="1:10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382"/>
    </row>
    <row r="37" spans="1:10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382"/>
    </row>
    <row r="38" spans="1:10" hidden="1" x14ac:dyDescent="0.2">
      <c r="A38" s="38" t="s">
        <v>37</v>
      </c>
      <c r="B38" s="100">
        <f>[3]Frontier!$GT$57</f>
        <v>0</v>
      </c>
      <c r="C38" s="100">
        <f>'[3]Air Choice One'!$GT$57</f>
        <v>0</v>
      </c>
      <c r="D38" s="100">
        <f>'[3]Aer Lingus'!$GT$57</f>
        <v>0</v>
      </c>
      <c r="E38" s="100">
        <f>'[3]Boutique Air'!$GT$57</f>
        <v>0</v>
      </c>
      <c r="F38" s="100">
        <f>[3]Icelandair!$GT$57</f>
        <v>0</v>
      </c>
      <c r="G38" s="100">
        <f>[3]Southwest!$GT$57</f>
        <v>0</v>
      </c>
      <c r="H38" s="100">
        <f>'[3]Sun Country'!$GT$57</f>
        <v>0</v>
      </c>
      <c r="I38" s="100">
        <f>[3]Alaska!$GT$57</f>
        <v>0</v>
      </c>
      <c r="J38" s="382">
        <f>SUM(B38:H38)</f>
        <v>0</v>
      </c>
    </row>
    <row r="39" spans="1:10" hidden="1" x14ac:dyDescent="0.2">
      <c r="A39" s="38" t="s">
        <v>38</v>
      </c>
      <c r="B39" s="102">
        <f>[3]Frontier!$GT$58</f>
        <v>0</v>
      </c>
      <c r="C39" s="102">
        <f>'[3]Air Choice One'!$GT$58</f>
        <v>0</v>
      </c>
      <c r="D39" s="102">
        <f>'[3]Aer Lingus'!$GT$58</f>
        <v>0</v>
      </c>
      <c r="E39" s="102">
        <f>'[3]Boutique Air'!$GT$58</f>
        <v>0</v>
      </c>
      <c r="F39" s="102">
        <f>[3]Icelandair!$GT$58</f>
        <v>0</v>
      </c>
      <c r="G39" s="102">
        <f>[3]Southwest!$GT$58</f>
        <v>0</v>
      </c>
      <c r="H39" s="102">
        <f>'[3]Sun Country'!$GT$58</f>
        <v>0</v>
      </c>
      <c r="I39" s="102">
        <f>[3]Alaska!$GT$58</f>
        <v>0</v>
      </c>
      <c r="J39" s="390">
        <f>SUM(B39:H39)</f>
        <v>0</v>
      </c>
    </row>
    <row r="40" spans="1:10" hidden="1" x14ac:dyDescent="0.2">
      <c r="A40" s="42" t="s">
        <v>43</v>
      </c>
      <c r="B40" s="106">
        <f t="shared" ref="B40:I40" si="14">SUM(B38:B39)</f>
        <v>0</v>
      </c>
      <c r="C40" s="106">
        <f t="shared" ref="C40:E40" si="15">SUM(C38:C39)</f>
        <v>0</v>
      </c>
      <c r="D40" s="106">
        <f t="shared" si="15"/>
        <v>0</v>
      </c>
      <c r="E40" s="106">
        <f t="shared" si="15"/>
        <v>0</v>
      </c>
      <c r="F40" s="106">
        <f t="shared" si="14"/>
        <v>0</v>
      </c>
      <c r="G40" s="106">
        <f t="shared" si="14"/>
        <v>0</v>
      </c>
      <c r="H40" s="106">
        <f t="shared" si="14"/>
        <v>0</v>
      </c>
      <c r="I40" s="106">
        <f t="shared" si="14"/>
        <v>0</v>
      </c>
      <c r="J40" s="382">
        <f>SUM(B40:H40)</f>
        <v>0</v>
      </c>
    </row>
    <row r="41" spans="1:10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382"/>
    </row>
    <row r="42" spans="1:10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382"/>
    </row>
    <row r="43" spans="1:10" x14ac:dyDescent="0.2">
      <c r="A43" s="38" t="s">
        <v>45</v>
      </c>
      <c r="B43" s="100">
        <f t="shared" ref="B43:I43" si="16">B28+B33+B38</f>
        <v>0</v>
      </c>
      <c r="C43" s="100">
        <f t="shared" ref="C43:E43" si="17">C28+C33+C38</f>
        <v>0</v>
      </c>
      <c r="D43" s="100">
        <f t="shared" si="17"/>
        <v>0</v>
      </c>
      <c r="E43" s="100">
        <f t="shared" si="17"/>
        <v>0</v>
      </c>
      <c r="F43" s="100">
        <f t="shared" si="16"/>
        <v>0</v>
      </c>
      <c r="G43" s="100">
        <f t="shared" si="16"/>
        <v>8047</v>
      </c>
      <c r="H43" s="100">
        <f t="shared" si="16"/>
        <v>18609</v>
      </c>
      <c r="I43" s="100">
        <f t="shared" si="16"/>
        <v>37000</v>
      </c>
      <c r="J43" s="382">
        <f>SUM(B43:I43)</f>
        <v>63656</v>
      </c>
    </row>
    <row r="44" spans="1:10" x14ac:dyDescent="0.2">
      <c r="A44" s="38" t="s">
        <v>38</v>
      </c>
      <c r="B44" s="102">
        <f t="shared" ref="B44:I44" si="18">+B39+B34+B29</f>
        <v>0</v>
      </c>
      <c r="C44" s="102">
        <f t="shared" ref="C44:E44" si="19">+C39+C34+C29</f>
        <v>0</v>
      </c>
      <c r="D44" s="102">
        <f t="shared" si="19"/>
        <v>0</v>
      </c>
      <c r="E44" s="102">
        <f t="shared" si="19"/>
        <v>0</v>
      </c>
      <c r="F44" s="102">
        <f t="shared" si="18"/>
        <v>0</v>
      </c>
      <c r="G44" s="102">
        <f t="shared" si="18"/>
        <v>0</v>
      </c>
      <c r="H44" s="102">
        <f t="shared" si="18"/>
        <v>56737</v>
      </c>
      <c r="I44" s="102">
        <f t="shared" si="18"/>
        <v>2138</v>
      </c>
      <c r="J44" s="382">
        <f>SUM(B44:I44)</f>
        <v>58875</v>
      </c>
    </row>
    <row r="45" spans="1:10" ht="15.75" thickBot="1" x14ac:dyDescent="0.3">
      <c r="A45" s="39" t="s">
        <v>46</v>
      </c>
      <c r="B45" s="107">
        <f t="shared" ref="B45:I45" si="20">B43+B44</f>
        <v>0</v>
      </c>
      <c r="C45" s="107">
        <f t="shared" ref="C45:E45" si="21">C43+C44</f>
        <v>0</v>
      </c>
      <c r="D45" s="107">
        <f t="shared" si="21"/>
        <v>0</v>
      </c>
      <c r="E45" s="107">
        <f t="shared" si="21"/>
        <v>0</v>
      </c>
      <c r="F45" s="107">
        <f t="shared" si="20"/>
        <v>0</v>
      </c>
      <c r="G45" s="107">
        <f t="shared" si="20"/>
        <v>8047</v>
      </c>
      <c r="H45" s="107">
        <f t="shared" si="20"/>
        <v>75346</v>
      </c>
      <c r="I45" s="107">
        <f t="shared" si="20"/>
        <v>39138</v>
      </c>
      <c r="J45" s="391">
        <f>SUM(B45:I45)</f>
        <v>122531</v>
      </c>
    </row>
    <row r="48" spans="1:10" x14ac:dyDescent="0.2">
      <c r="A48" s="254" t="s">
        <v>122</v>
      </c>
      <c r="B48" s="264"/>
      <c r="C48" s="264"/>
      <c r="D48" s="264"/>
      <c r="E48" s="264"/>
      <c r="G48" s="215">
        <f>[3]Southwest!$GT$70+[3]Southwest!$GT$73</f>
        <v>7799</v>
      </c>
      <c r="H48" s="215">
        <f>'[3]Sun Country'!$GT$70+'[3]Sun Country'!$GT$73</f>
        <v>15755</v>
      </c>
      <c r="I48" s="264"/>
      <c r="J48" s="204">
        <f>SUM(B48:I48)</f>
        <v>23554</v>
      </c>
    </row>
    <row r="49" spans="1:10" x14ac:dyDescent="0.2">
      <c r="A49" s="266" t="s">
        <v>123</v>
      </c>
      <c r="B49" s="264"/>
      <c r="C49" s="264"/>
      <c r="D49" s="264"/>
      <c r="E49" s="264"/>
      <c r="G49" s="215">
        <f>[3]Southwest!$GT$71+[3]Southwest!$GT$74</f>
        <v>10</v>
      </c>
      <c r="H49" s="215">
        <f>'[3]Sun Country'!$GT$71+'[3]Sun Country'!$GT$74</f>
        <v>0</v>
      </c>
      <c r="I49" s="264"/>
      <c r="J49" s="204">
        <f>SUM(B49:I49)</f>
        <v>10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May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E10" sqref="E10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2"/>
    </row>
    <row r="2" spans="1:13" ht="51.75" thickBot="1" x14ac:dyDescent="0.25">
      <c r="A2" s="257">
        <v>43952</v>
      </c>
      <c r="B2" s="430" t="s">
        <v>158</v>
      </c>
      <c r="C2" s="430" t="s">
        <v>161</v>
      </c>
      <c r="D2" s="430" t="s">
        <v>169</v>
      </c>
      <c r="E2" s="430" t="s">
        <v>168</v>
      </c>
      <c r="F2" s="430" t="s">
        <v>170</v>
      </c>
      <c r="G2" s="430" t="s">
        <v>198</v>
      </c>
      <c r="H2" s="430" t="s">
        <v>174</v>
      </c>
      <c r="I2" s="430" t="s">
        <v>181</v>
      </c>
      <c r="J2" s="430" t="s">
        <v>196</v>
      </c>
      <c r="K2" s="430" t="s">
        <v>173</v>
      </c>
      <c r="L2" s="302" t="s">
        <v>116</v>
      </c>
      <c r="M2" s="398" t="s">
        <v>21</v>
      </c>
    </row>
    <row r="3" spans="1:13" ht="15.75" thickTop="1" x14ac:dyDescent="0.25">
      <c r="A3" s="185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2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3"/>
    </row>
    <row r="5" spans="1:13" x14ac:dyDescent="0.2">
      <c r="A5" s="38" t="s">
        <v>30</v>
      </c>
      <c r="B5" s="78">
        <f>[3]Pinnacle!$GT$22+[3]Pinnacle!$GT$32</f>
        <v>15783</v>
      </c>
      <c r="C5" s="78">
        <f>[3]MESA_UA!$GT$22</f>
        <v>87</v>
      </c>
      <c r="D5" s="83">
        <f>'[3]Sky West'!$GT$22+'[3]Sky West'!$GT$32</f>
        <v>12562</v>
      </c>
      <c r="E5" s="83">
        <f>'[3]Sky West_UA'!$GT$22</f>
        <v>938</v>
      </c>
      <c r="F5" s="83">
        <f>'[3]Sky West_AS'!$GT$22</f>
        <v>159</v>
      </c>
      <c r="G5" s="83">
        <f>'[3]Sky West_AA'!$GT$22</f>
        <v>0</v>
      </c>
      <c r="H5" s="83">
        <f>[3]Republic!$GT$22</f>
        <v>791</v>
      </c>
      <c r="I5" s="83">
        <f>[3]Republic_UA!$GT$22</f>
        <v>60</v>
      </c>
      <c r="J5" s="83">
        <f>'[3]Sky Regional'!$GT$32</f>
        <v>0</v>
      </c>
      <c r="K5" s="83">
        <f>'[3]American Eagle'!$GT$22</f>
        <v>1558</v>
      </c>
      <c r="L5" s="83">
        <f>'Other Regional'!J5</f>
        <v>0</v>
      </c>
      <c r="M5" s="393">
        <f>SUM(B5:L5)</f>
        <v>31938</v>
      </c>
    </row>
    <row r="6" spans="1:13" s="6" customFormat="1" x14ac:dyDescent="0.2">
      <c r="A6" s="38" t="s">
        <v>31</v>
      </c>
      <c r="B6" s="78">
        <f>[3]Pinnacle!$GT$23+[3]Pinnacle!$GT$33</f>
        <v>15411</v>
      </c>
      <c r="C6" s="78">
        <f>[3]MESA_UA!$GT$23</f>
        <v>42</v>
      </c>
      <c r="D6" s="83">
        <f>'[3]Sky West'!$GT$23+'[3]Sky West'!$GT$33</f>
        <v>13450</v>
      </c>
      <c r="E6" s="83">
        <f>'[3]Sky West_UA'!$GT$23</f>
        <v>1047</v>
      </c>
      <c r="F6" s="83">
        <f>'[3]Sky West_AS'!$GT$23</f>
        <v>206</v>
      </c>
      <c r="G6" s="83">
        <f>'[3]Sky West_AA'!$GT$23</f>
        <v>0</v>
      </c>
      <c r="H6" s="83">
        <f>[3]Republic!$GT$23</f>
        <v>836</v>
      </c>
      <c r="I6" s="83">
        <f>[3]Republic_UA!$GT$23</f>
        <v>81</v>
      </c>
      <c r="J6" s="83">
        <f>'[3]Sky Regional'!$GT$33</f>
        <v>0</v>
      </c>
      <c r="K6" s="83">
        <f>'[3]American Eagle'!$GT$23</f>
        <v>1761</v>
      </c>
      <c r="L6" s="83">
        <f>'Other Regional'!J6</f>
        <v>0</v>
      </c>
      <c r="M6" s="394">
        <f>SUM(B6:L6)</f>
        <v>32834</v>
      </c>
    </row>
    <row r="7" spans="1:13" ht="15" thickBot="1" x14ac:dyDescent="0.25">
      <c r="A7" s="47" t="s">
        <v>7</v>
      </c>
      <c r="B7" s="91">
        <f>SUM(B5:B6)</f>
        <v>31194</v>
      </c>
      <c r="C7" s="91">
        <f t="shared" ref="C7:L7" si="0">SUM(C5:C6)</f>
        <v>129</v>
      </c>
      <c r="D7" s="91">
        <f t="shared" si="0"/>
        <v>26012</v>
      </c>
      <c r="E7" s="91">
        <f t="shared" si="0"/>
        <v>1985</v>
      </c>
      <c r="F7" s="91">
        <f t="shared" ref="F7:G7" si="1">SUM(F5:F6)</f>
        <v>365</v>
      </c>
      <c r="G7" s="91">
        <f t="shared" si="1"/>
        <v>0</v>
      </c>
      <c r="H7" s="91">
        <f t="shared" si="0"/>
        <v>1627</v>
      </c>
      <c r="I7" s="91">
        <f t="shared" si="0"/>
        <v>141</v>
      </c>
      <c r="J7" s="91">
        <f t="shared" si="0"/>
        <v>0</v>
      </c>
      <c r="K7" s="91">
        <f t="shared" si="0"/>
        <v>3319</v>
      </c>
      <c r="L7" s="91">
        <f t="shared" si="0"/>
        <v>0</v>
      </c>
      <c r="M7" s="395">
        <f>SUM(B7:L7)</f>
        <v>64772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396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3"/>
    </row>
    <row r="10" spans="1:13" x14ac:dyDescent="0.2">
      <c r="A10" s="38" t="s">
        <v>30</v>
      </c>
      <c r="B10" s="78">
        <f>[3]Pinnacle!$GT$27+[3]Pinnacle!$GT$37</f>
        <v>1532</v>
      </c>
      <c r="C10" s="78">
        <f>[3]MESA_UA!$GT$27</f>
        <v>12</v>
      </c>
      <c r="D10" s="83">
        <f>'[3]Sky West'!$GT$27+'[3]Sky West'!$GT$37</f>
        <v>1444</v>
      </c>
      <c r="E10" s="83">
        <f>'[3]Sky West_UA'!$GT$27</f>
        <v>132</v>
      </c>
      <c r="F10" s="83">
        <f>'[3]Sky West_AS'!$GT$27</f>
        <v>18</v>
      </c>
      <c r="G10" s="83">
        <f>'[3]Sky West_AA'!$GT$27</f>
        <v>0</v>
      </c>
      <c r="H10" s="83">
        <f>[3]Republic!$GT$27</f>
        <v>39</v>
      </c>
      <c r="I10" s="83">
        <f>[3]Republic_UA!$GT$27</f>
        <v>5</v>
      </c>
      <c r="J10" s="83">
        <f>'[3]Sky Regional'!$GT$37</f>
        <v>0</v>
      </c>
      <c r="K10" s="83">
        <f>'[3]American Eagle'!$GT$27</f>
        <v>202</v>
      </c>
      <c r="L10" s="83">
        <f>'Other Regional'!J10</f>
        <v>0</v>
      </c>
      <c r="M10" s="393">
        <f>SUM(B10:L10)</f>
        <v>3384</v>
      </c>
    </row>
    <row r="11" spans="1:13" x14ac:dyDescent="0.2">
      <c r="A11" s="38" t="s">
        <v>33</v>
      </c>
      <c r="B11" s="78">
        <f>[3]Pinnacle!$GT$28+[3]Pinnacle!$GT$38</f>
        <v>1417</v>
      </c>
      <c r="C11" s="78">
        <f>[3]MESA_UA!$GT$28</f>
        <v>12</v>
      </c>
      <c r="D11" s="83">
        <f>'[3]Sky West'!$GT$28+'[3]Sky West'!$GT$38</f>
        <v>1584</v>
      </c>
      <c r="E11" s="83">
        <f>'[3]Sky West_UA'!$GT$28</f>
        <v>174</v>
      </c>
      <c r="F11" s="83">
        <f>'[3]Sky West_AS'!$GT$28</f>
        <v>26</v>
      </c>
      <c r="G11" s="83">
        <f>'[3]Sky West_AA'!$GT$28</f>
        <v>0</v>
      </c>
      <c r="H11" s="83">
        <f>[3]Republic!$GT$28</f>
        <v>53</v>
      </c>
      <c r="I11" s="83">
        <f>[3]Republic_UA!$GT$28</f>
        <v>30</v>
      </c>
      <c r="J11" s="83">
        <f>'[3]Sky Regional'!$GT$38</f>
        <v>0</v>
      </c>
      <c r="K11" s="83">
        <f>'[3]American Eagle'!$GT$28</f>
        <v>184</v>
      </c>
      <c r="L11" s="83">
        <f>'Other Regional'!J11</f>
        <v>0</v>
      </c>
      <c r="M11" s="394">
        <f>SUM(B11:L11)</f>
        <v>3480</v>
      </c>
    </row>
    <row r="12" spans="1:13" ht="15" thickBot="1" x14ac:dyDescent="0.25">
      <c r="A12" s="48" t="s">
        <v>34</v>
      </c>
      <c r="B12" s="92">
        <f t="shared" ref="B12:L12" si="2">SUM(B10:B11)</f>
        <v>2949</v>
      </c>
      <c r="C12" s="92">
        <f t="shared" si="2"/>
        <v>24</v>
      </c>
      <c r="D12" s="92">
        <f t="shared" si="2"/>
        <v>3028</v>
      </c>
      <c r="E12" s="92">
        <f t="shared" si="2"/>
        <v>306</v>
      </c>
      <c r="F12" s="92">
        <f t="shared" ref="F12:G12" si="3">SUM(F10:F11)</f>
        <v>44</v>
      </c>
      <c r="G12" s="92">
        <f t="shared" si="3"/>
        <v>0</v>
      </c>
      <c r="H12" s="92">
        <f t="shared" si="2"/>
        <v>92</v>
      </c>
      <c r="I12" s="92">
        <f t="shared" si="2"/>
        <v>35</v>
      </c>
      <c r="J12" s="92">
        <f t="shared" si="2"/>
        <v>0</v>
      </c>
      <c r="K12" s="92">
        <f t="shared" si="2"/>
        <v>386</v>
      </c>
      <c r="L12" s="92">
        <f t="shared" si="2"/>
        <v>0</v>
      </c>
      <c r="M12" s="397">
        <f>SUM(B12:L12)</f>
        <v>6864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399">
        <f t="shared" ref="M14" si="4">SUM(B14:L14)</f>
        <v>0</v>
      </c>
    </row>
    <row r="15" spans="1:13" x14ac:dyDescent="0.2">
      <c r="A15" s="38" t="s">
        <v>53</v>
      </c>
      <c r="B15" s="12">
        <f>[3]Pinnacle!$GT$4+[3]Pinnacle!$GT$15</f>
        <v>751</v>
      </c>
      <c r="C15" s="77">
        <f>[3]MESA_UA!$GT$4</f>
        <v>3</v>
      </c>
      <c r="D15" s="76">
        <f>'[3]Sky West'!$GT$4+'[3]Sky West'!$GT$15</f>
        <v>777</v>
      </c>
      <c r="E15" s="76">
        <f>'[3]Sky West_UA'!$GT$4</f>
        <v>30</v>
      </c>
      <c r="F15" s="76">
        <f>'[3]Sky West_AS'!$GT$4</f>
        <v>7</v>
      </c>
      <c r="G15" s="76">
        <f>'[3]Sky West_AA'!$GT$4</f>
        <v>0</v>
      </c>
      <c r="H15" s="78">
        <f>[3]Republic!$GT$4</f>
        <v>21</v>
      </c>
      <c r="I15" s="311">
        <f>[3]Republic_UA!$GT$4</f>
        <v>4</v>
      </c>
      <c r="J15" s="311">
        <f>'[3]Sky Regional'!$GT$15</f>
        <v>0</v>
      </c>
      <c r="K15" s="432">
        <f>'[3]American Eagle'!$GT$4</f>
        <v>38</v>
      </c>
      <c r="L15" s="77">
        <f>'Other Regional'!J15</f>
        <v>0</v>
      </c>
      <c r="M15" s="393">
        <f t="shared" ref="M15:M21" si="5">SUM(B15:L15)</f>
        <v>1631</v>
      </c>
    </row>
    <row r="16" spans="1:13" x14ac:dyDescent="0.2">
      <c r="A16" s="38" t="s">
        <v>54</v>
      </c>
      <c r="B16" s="7">
        <f>[3]Pinnacle!$GT$5+[3]Pinnacle!$GT$16</f>
        <v>747</v>
      </c>
      <c r="C16" s="80">
        <f>[3]MESA_UA!$GT$5</f>
        <v>3</v>
      </c>
      <c r="D16" s="79">
        <f>'[3]Sky West'!$GT$5+'[3]Sky West'!$GT$16</f>
        <v>773</v>
      </c>
      <c r="E16" s="79">
        <f>'[3]Sky West_UA'!$GT$5</f>
        <v>30</v>
      </c>
      <c r="F16" s="79">
        <f>'[3]Sky West_AS'!$GT$5</f>
        <v>6</v>
      </c>
      <c r="G16" s="79">
        <f>'[3]Sky West_AA'!$GT$5</f>
        <v>0</v>
      </c>
      <c r="H16" s="81">
        <f>[3]Republic!$GT$5</f>
        <v>21</v>
      </c>
      <c r="I16" s="193">
        <f>[3]Republic_UA!$GT$5</f>
        <v>4</v>
      </c>
      <c r="J16" s="193">
        <f>'[3]Sky Regional'!$GT$16</f>
        <v>0</v>
      </c>
      <c r="K16" s="81">
        <f>'[3]American Eagle'!$GT$5</f>
        <v>37</v>
      </c>
      <c r="L16" s="80">
        <f>'Other Regional'!J16</f>
        <v>0</v>
      </c>
      <c r="M16" s="394">
        <f t="shared" si="5"/>
        <v>1621</v>
      </c>
    </row>
    <row r="17" spans="1:13" x14ac:dyDescent="0.2">
      <c r="A17" s="42" t="s">
        <v>55</v>
      </c>
      <c r="B17" s="82">
        <f t="shared" ref="B17:K17" si="6">SUM(B15:B16)</f>
        <v>1498</v>
      </c>
      <c r="C17" s="82">
        <f t="shared" si="6"/>
        <v>6</v>
      </c>
      <c r="D17" s="82">
        <f t="shared" si="6"/>
        <v>1550</v>
      </c>
      <c r="E17" s="82">
        <f>SUM(E15:E16)</f>
        <v>60</v>
      </c>
      <c r="F17" s="82">
        <f>SUM(F15:F16)</f>
        <v>13</v>
      </c>
      <c r="G17" s="82">
        <f>SUM(G15:G16)</f>
        <v>0</v>
      </c>
      <c r="H17" s="82">
        <f>SUM(H15:H16)</f>
        <v>42</v>
      </c>
      <c r="I17" s="82">
        <f t="shared" ref="I17" si="7">SUM(I15:I16)</f>
        <v>8</v>
      </c>
      <c r="J17" s="82">
        <f>SUM(J15:J16)</f>
        <v>0</v>
      </c>
      <c r="K17" s="82">
        <f t="shared" si="6"/>
        <v>75</v>
      </c>
      <c r="L17" s="82">
        <f>SUM(L15:L16)</f>
        <v>0</v>
      </c>
      <c r="M17" s="400">
        <f t="shared" si="5"/>
        <v>3252</v>
      </c>
    </row>
    <row r="18" spans="1:13" x14ac:dyDescent="0.2">
      <c r="A18" s="38" t="s">
        <v>56</v>
      </c>
      <c r="B18" s="83">
        <f>[3]Pinnacle!$GT$8</f>
        <v>0</v>
      </c>
      <c r="C18" s="78">
        <f>[3]MESA_UA!$GT$8</f>
        <v>0</v>
      </c>
      <c r="D18" s="83">
        <f>'[3]Sky West'!$GT$8</f>
        <v>0</v>
      </c>
      <c r="E18" s="83">
        <f>'[3]Sky West_UA'!$GT$8</f>
        <v>0</v>
      </c>
      <c r="F18" s="83">
        <f>'[3]Sky West_AS'!$GT$8</f>
        <v>0</v>
      </c>
      <c r="G18" s="83">
        <f>'[3]Sky West_AA'!$GT$8</f>
        <v>0</v>
      </c>
      <c r="H18" s="83">
        <f>[3]Republic!$GT$8</f>
        <v>0</v>
      </c>
      <c r="I18" s="83">
        <f>[3]Republic_UA!$GT$8</f>
        <v>0</v>
      </c>
      <c r="J18" s="83">
        <f>'[3]Sky Regional'!$GT$8</f>
        <v>0</v>
      </c>
      <c r="K18" s="83">
        <f>'[3]American Eagle'!$GT$8</f>
        <v>0</v>
      </c>
      <c r="L18" s="83">
        <f>'Other Regional'!J18</f>
        <v>0</v>
      </c>
      <c r="M18" s="393">
        <f t="shared" si="5"/>
        <v>0</v>
      </c>
    </row>
    <row r="19" spans="1:13" x14ac:dyDescent="0.2">
      <c r="A19" s="38" t="s">
        <v>57</v>
      </c>
      <c r="B19" s="84">
        <f>[3]Pinnacle!$GT$9</f>
        <v>0</v>
      </c>
      <c r="C19" s="81">
        <f>[3]MESA_UA!$GT$9</f>
        <v>0</v>
      </c>
      <c r="D19" s="84">
        <f>'[3]Sky West'!$GT$9</f>
        <v>0</v>
      </c>
      <c r="E19" s="84">
        <f>'[3]Sky West_UA'!$GT$9</f>
        <v>0</v>
      </c>
      <c r="F19" s="84">
        <f>'[3]Sky West_AS'!$GT$9</f>
        <v>0</v>
      </c>
      <c r="G19" s="84">
        <f>'[3]Sky West_AA'!$GT$9</f>
        <v>0</v>
      </c>
      <c r="H19" s="84">
        <f>[3]Republic!$GT$9</f>
        <v>0</v>
      </c>
      <c r="I19" s="84">
        <f>[3]Republic_UA!$GT$9</f>
        <v>0</v>
      </c>
      <c r="J19" s="84">
        <f>'[3]Sky Regional'!$GT$9</f>
        <v>0</v>
      </c>
      <c r="K19" s="84">
        <f>'[3]American Eagle'!$GT$9</f>
        <v>0</v>
      </c>
      <c r="L19" s="84">
        <f>'Other Regional'!J19</f>
        <v>0</v>
      </c>
      <c r="M19" s="394">
        <f t="shared" si="5"/>
        <v>0</v>
      </c>
    </row>
    <row r="20" spans="1:13" x14ac:dyDescent="0.2">
      <c r="A20" s="42" t="s">
        <v>58</v>
      </c>
      <c r="B20" s="82">
        <f t="shared" ref="B20:L20" si="8">SUM(B18:B19)</f>
        <v>0</v>
      </c>
      <c r="C20" s="82">
        <f t="shared" si="8"/>
        <v>0</v>
      </c>
      <c r="D20" s="82">
        <f t="shared" si="8"/>
        <v>0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400">
        <f t="shared" si="5"/>
        <v>0</v>
      </c>
    </row>
    <row r="21" spans="1:13" ht="15.75" thickBot="1" x14ac:dyDescent="0.3">
      <c r="A21" s="46" t="s">
        <v>28</v>
      </c>
      <c r="B21" s="85">
        <f t="shared" ref="B21:K21" si="10">SUM(B20,B17)</f>
        <v>1498</v>
      </c>
      <c r="C21" s="85">
        <f t="shared" si="10"/>
        <v>6</v>
      </c>
      <c r="D21" s="85">
        <f t="shared" si="10"/>
        <v>1550</v>
      </c>
      <c r="E21" s="85">
        <f t="shared" si="10"/>
        <v>60</v>
      </c>
      <c r="F21" s="85">
        <f t="shared" ref="F21:G21" si="11">SUM(F20,F17)</f>
        <v>13</v>
      </c>
      <c r="G21" s="85">
        <f t="shared" si="11"/>
        <v>0</v>
      </c>
      <c r="H21" s="85">
        <f t="shared" si="10"/>
        <v>42</v>
      </c>
      <c r="I21" s="85">
        <f t="shared" si="10"/>
        <v>8</v>
      </c>
      <c r="J21" s="85">
        <f t="shared" si="10"/>
        <v>0</v>
      </c>
      <c r="K21" s="85">
        <f t="shared" si="10"/>
        <v>75</v>
      </c>
      <c r="L21" s="85">
        <f>SUM(L20,L17)</f>
        <v>0</v>
      </c>
      <c r="M21" s="401">
        <f t="shared" si="5"/>
        <v>3252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2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3"/>
    </row>
    <row r="25" spans="1:13" x14ac:dyDescent="0.2">
      <c r="A25" s="38" t="s">
        <v>37</v>
      </c>
      <c r="B25" s="83">
        <f>[3]Pinnacle!$GT$47</f>
        <v>0</v>
      </c>
      <c r="C25" s="78">
        <f>[3]MESA_UA!$GT$47</f>
        <v>0</v>
      </c>
      <c r="D25" s="83">
        <f>'[3]Sky West'!$GT$47</f>
        <v>0</v>
      </c>
      <c r="E25" s="83">
        <f>'[3]Sky West_UA'!$GT$47</f>
        <v>0</v>
      </c>
      <c r="F25" s="83">
        <f>'[3]Sky West_AS'!$GT$47</f>
        <v>0</v>
      </c>
      <c r="G25" s="83">
        <f>'[3]Sky West_AA'!$GT$47</f>
        <v>0</v>
      </c>
      <c r="H25" s="83">
        <f>[3]Republic!$GT$47</f>
        <v>471</v>
      </c>
      <c r="I25" s="83">
        <f>[3]Republic_UA!$GT$47</f>
        <v>0</v>
      </c>
      <c r="J25" s="83">
        <f>'[3]Sky Regional'!$GT$47</f>
        <v>0</v>
      </c>
      <c r="K25" s="83">
        <f>'[3]American Eagle'!$GT$47</f>
        <v>2621</v>
      </c>
      <c r="L25" s="83">
        <f>'Other Regional'!J25</f>
        <v>0</v>
      </c>
      <c r="M25" s="393">
        <f>SUM(B25:L25)</f>
        <v>3092</v>
      </c>
    </row>
    <row r="26" spans="1:13" x14ac:dyDescent="0.2">
      <c r="A26" s="38" t="s">
        <v>38</v>
      </c>
      <c r="B26" s="83">
        <f>[3]Pinnacle!$GT$48</f>
        <v>0</v>
      </c>
      <c r="C26" s="78">
        <f>[3]MESA_UA!$GT$48</f>
        <v>0</v>
      </c>
      <c r="D26" s="83">
        <f>'[3]Sky West'!$GT$48</f>
        <v>0</v>
      </c>
      <c r="E26" s="83">
        <f>'[3]Sky West_UA'!$GT$48</f>
        <v>0</v>
      </c>
      <c r="F26" s="83">
        <f>'[3]Sky West_AS'!$GT$48</f>
        <v>0</v>
      </c>
      <c r="G26" s="83">
        <f>'[3]Sky West_AA'!$GT$48</f>
        <v>0</v>
      </c>
      <c r="H26" s="83">
        <f>[3]Republic!$GT$48</f>
        <v>0</v>
      </c>
      <c r="I26" s="83">
        <f>[3]Republic_UA!$GT$48</f>
        <v>0</v>
      </c>
      <c r="J26" s="83">
        <f>'[3]Sky Regional'!$GT$48</f>
        <v>0</v>
      </c>
      <c r="K26" s="83">
        <f>'[3]American Eagle'!$GT$48</f>
        <v>0</v>
      </c>
      <c r="L26" s="83">
        <f>'Other Regional'!J26</f>
        <v>0</v>
      </c>
      <c r="M26" s="393">
        <f>SUM(B26:L26)</f>
        <v>0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0</v>
      </c>
      <c r="G27" s="91">
        <f t="shared" si="13"/>
        <v>0</v>
      </c>
      <c r="H27" s="91">
        <f t="shared" si="12"/>
        <v>471</v>
      </c>
      <c r="I27" s="91">
        <f t="shared" si="12"/>
        <v>0</v>
      </c>
      <c r="J27" s="91">
        <f t="shared" si="12"/>
        <v>0</v>
      </c>
      <c r="K27" s="91">
        <f t="shared" si="12"/>
        <v>2621</v>
      </c>
      <c r="L27" s="91">
        <f t="shared" si="12"/>
        <v>0</v>
      </c>
      <c r="M27" s="395">
        <f>SUM(B27:L27)</f>
        <v>3092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3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3"/>
    </row>
    <row r="30" spans="1:13" x14ac:dyDescent="0.2">
      <c r="A30" s="38" t="s">
        <v>59</v>
      </c>
      <c r="B30" s="83">
        <f>[3]Pinnacle!$GT$52</f>
        <v>0</v>
      </c>
      <c r="C30" s="78">
        <f>[3]MESA_UA!$GT$52</f>
        <v>0</v>
      </c>
      <c r="D30" s="83">
        <f>'[3]Sky West'!$GT$52</f>
        <v>0</v>
      </c>
      <c r="E30" s="83">
        <f>'[3]Sky West_UA'!$GT$52</f>
        <v>0</v>
      </c>
      <c r="F30" s="83">
        <f>'[3]Sky West_AS'!$GT$52</f>
        <v>70</v>
      </c>
      <c r="G30" s="83">
        <f>'[3]Sky West_AA'!$GT$52</f>
        <v>0</v>
      </c>
      <c r="H30" s="83">
        <f>[3]Republic!$GT$52</f>
        <v>0</v>
      </c>
      <c r="I30" s="83">
        <f>[3]Republic_UA!$GT$52</f>
        <v>0</v>
      </c>
      <c r="J30" s="83">
        <f>'[3]Sky Regional'!$GT$52</f>
        <v>0</v>
      </c>
      <c r="K30" s="83">
        <f>'[3]American Eagle'!$GT$52</f>
        <v>898</v>
      </c>
      <c r="L30" s="83">
        <f>'Other Regional'!J30</f>
        <v>0</v>
      </c>
      <c r="M30" s="393">
        <f t="shared" ref="M30:M37" si="14">SUM(B30:L30)</f>
        <v>968</v>
      </c>
    </row>
    <row r="31" spans="1:13" x14ac:dyDescent="0.2">
      <c r="A31" s="38" t="s">
        <v>60</v>
      </c>
      <c r="B31" s="83">
        <f>[3]Pinnacle!$GT$53</f>
        <v>0</v>
      </c>
      <c r="C31" s="78">
        <f>[3]MESA_UA!$GT$53</f>
        <v>0</v>
      </c>
      <c r="D31" s="83">
        <f>'[3]Sky West'!$GT$53</f>
        <v>0</v>
      </c>
      <c r="E31" s="83">
        <f>'[3]Sky West_UA'!$GT$53</f>
        <v>0</v>
      </c>
      <c r="F31" s="83">
        <f>'[3]Sky West_AS'!$GT$53</f>
        <v>0</v>
      </c>
      <c r="G31" s="83">
        <f>'[3]Sky West_AA'!$GT$53</f>
        <v>0</v>
      </c>
      <c r="H31" s="83">
        <f>[3]Republic!$GT$53</f>
        <v>0</v>
      </c>
      <c r="I31" s="83">
        <f>[3]Republic_UA!$GT$53</f>
        <v>0</v>
      </c>
      <c r="J31" s="83">
        <f>'[3]Sky Regional'!$GT$53</f>
        <v>0</v>
      </c>
      <c r="K31" s="83">
        <f>'[3]American Eagle'!$GT$53</f>
        <v>0</v>
      </c>
      <c r="L31" s="83">
        <f>'Other Regional'!J31</f>
        <v>0</v>
      </c>
      <c r="M31" s="393">
        <f t="shared" si="14"/>
        <v>0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70</v>
      </c>
      <c r="G32" s="91">
        <f t="shared" si="16"/>
        <v>0</v>
      </c>
      <c r="H32" s="91">
        <f t="shared" si="15"/>
        <v>0</v>
      </c>
      <c r="I32" s="91">
        <f t="shared" si="15"/>
        <v>0</v>
      </c>
      <c r="J32" s="91">
        <f t="shared" si="15"/>
        <v>0</v>
      </c>
      <c r="K32" s="91">
        <f t="shared" si="15"/>
        <v>898</v>
      </c>
      <c r="L32" s="91">
        <f>SUM(L30:L31)</f>
        <v>0</v>
      </c>
      <c r="M32" s="395">
        <f t="shared" si="14"/>
        <v>968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3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3">
        <f t="shared" si="14"/>
        <v>0</v>
      </c>
    </row>
    <row r="35" spans="1:13" ht="13.5" hidden="1" thickTop="1" x14ac:dyDescent="0.2">
      <c r="A35" s="38" t="s">
        <v>37</v>
      </c>
      <c r="B35" s="83">
        <f>[3]Pinnacle!$GT$57</f>
        <v>0</v>
      </c>
      <c r="C35" s="78">
        <f>[3]MESA_UA!$GT$57</f>
        <v>0</v>
      </c>
      <c r="D35" s="83">
        <f>'[3]Sky West'!$GT$57</f>
        <v>0</v>
      </c>
      <c r="E35" s="83">
        <f>'[3]Sky West_UA'!$GT$57</f>
        <v>0</v>
      </c>
      <c r="F35" s="83">
        <f>'[3]Sky West_AS'!$GT$57</f>
        <v>0</v>
      </c>
      <c r="G35" s="83">
        <f>'[3]Sky West_AA'!$GT$57</f>
        <v>0</v>
      </c>
      <c r="H35" s="83">
        <f>[3]Republic!$GT$57</f>
        <v>0</v>
      </c>
      <c r="I35" s="83">
        <f>[3]Republic!$GT$57</f>
        <v>0</v>
      </c>
      <c r="J35" s="83">
        <f>[3]Republic!$GT$57</f>
        <v>0</v>
      </c>
      <c r="K35" s="83">
        <f>'[3]American Eagle'!$GT$57</f>
        <v>0</v>
      </c>
      <c r="L35" s="83">
        <f>'Other Regional'!J35</f>
        <v>0</v>
      </c>
      <c r="M35" s="393">
        <f t="shared" si="14"/>
        <v>0</v>
      </c>
    </row>
    <row r="36" spans="1:13" ht="13.5" hidden="1" thickTop="1" x14ac:dyDescent="0.2">
      <c r="A36" s="38" t="s">
        <v>38</v>
      </c>
      <c r="B36" s="83">
        <f>[3]Pinnacle!$GT$58</f>
        <v>0</v>
      </c>
      <c r="C36" s="78">
        <f>[3]MESA_UA!$GT$58</f>
        <v>0</v>
      </c>
      <c r="D36" s="83">
        <f>'[3]Sky West'!$GT$58</f>
        <v>0</v>
      </c>
      <c r="E36" s="83">
        <f>'[3]Sky West_UA'!$GT$58</f>
        <v>0</v>
      </c>
      <c r="F36" s="83">
        <f>'[3]Sky West_AS'!$GT$58</f>
        <v>0</v>
      </c>
      <c r="G36" s="83">
        <f>'[3]Sky West_AA'!$GT$58</f>
        <v>0</v>
      </c>
      <c r="H36" s="83">
        <f>[3]Republic!$GT$58</f>
        <v>0</v>
      </c>
      <c r="I36" s="83">
        <f>[3]Republic!$GT$58</f>
        <v>0</v>
      </c>
      <c r="J36" s="83">
        <f>[3]Republic!$GT$58</f>
        <v>0</v>
      </c>
      <c r="K36" s="83">
        <f>'[3]American Eagle'!$GT$58</f>
        <v>0</v>
      </c>
      <c r="L36" s="83">
        <f>'Other Regional'!J36</f>
        <v>0</v>
      </c>
      <c r="M36" s="393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3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3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3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70</v>
      </c>
      <c r="G40" s="83">
        <f t="shared" ref="G40" si="21">SUM(G35,G30,G25)</f>
        <v>0</v>
      </c>
      <c r="H40" s="83">
        <f t="shared" si="19"/>
        <v>471</v>
      </c>
      <c r="I40" s="83">
        <f t="shared" si="19"/>
        <v>0</v>
      </c>
      <c r="J40" s="83">
        <f t="shared" si="19"/>
        <v>0</v>
      </c>
      <c r="K40" s="83">
        <f>SUM(K35,K30,K25)</f>
        <v>3519</v>
      </c>
      <c r="L40" s="83">
        <f>L35+L30+L25</f>
        <v>0</v>
      </c>
      <c r="M40" s="393">
        <f>SUM(B40:L40)</f>
        <v>4060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0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0</v>
      </c>
      <c r="M41" s="393">
        <f>SUM(B41:L41)</f>
        <v>0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70</v>
      </c>
      <c r="G42" s="92">
        <f t="shared" ref="G42" si="23">SUM(G37,G32,G27)</f>
        <v>0</v>
      </c>
      <c r="H42" s="92">
        <f t="shared" si="19"/>
        <v>471</v>
      </c>
      <c r="I42" s="92">
        <f t="shared" si="19"/>
        <v>0</v>
      </c>
      <c r="J42" s="92">
        <f t="shared" si="19"/>
        <v>0</v>
      </c>
      <c r="K42" s="92">
        <f>SUM(K37,K32,K27)</f>
        <v>3519</v>
      </c>
      <c r="L42" s="92">
        <f>SUM(L37,L32,L27)</f>
        <v>0</v>
      </c>
      <c r="M42" s="397">
        <f>SUM(B42:L42)</f>
        <v>4060</v>
      </c>
    </row>
    <row r="44" spans="1:13" x14ac:dyDescent="0.2">
      <c r="A44" s="254" t="s">
        <v>122</v>
      </c>
      <c r="B44" s="214">
        <f>[3]Pinnacle!$GT$70+[3]Pinnacle!$GT$73</f>
        <v>4215</v>
      </c>
      <c r="D44" s="215">
        <f>'[3]Sky West'!$GT$70+'[3]Sky West'!$GT$73</f>
        <v>4086</v>
      </c>
      <c r="E44" s="2"/>
      <c r="F44" s="2"/>
      <c r="G44" s="2"/>
      <c r="L44" s="215">
        <f>+'Other Regional'!J46</f>
        <v>0</v>
      </c>
      <c r="M44" s="204">
        <f>SUM(B44:L44)</f>
        <v>8301</v>
      </c>
    </row>
    <row r="45" spans="1:13" x14ac:dyDescent="0.2">
      <c r="A45" s="266" t="s">
        <v>123</v>
      </c>
      <c r="B45" s="214">
        <f>[3]Pinnacle!$GT$71+[3]Pinnacle!$GT$74</f>
        <v>11196</v>
      </c>
      <c r="D45" s="215">
        <f>'[3]Sky West'!$GT$71+'[3]Sky West'!$GT$74</f>
        <v>9364</v>
      </c>
      <c r="E45" s="2"/>
      <c r="F45" s="2"/>
      <c r="G45" s="2"/>
      <c r="L45" s="215">
        <f>+'Other Regional'!J47</f>
        <v>0</v>
      </c>
      <c r="M45" s="204">
        <f>SUM(B45:L45)</f>
        <v>20560</v>
      </c>
    </row>
    <row r="46" spans="1:13" x14ac:dyDescent="0.2">
      <c r="A46" s="205" t="s">
        <v>124</v>
      </c>
      <c r="B46" s="206">
        <f>SUM(B44:B45)</f>
        <v>15411</v>
      </c>
      <c r="L46" s="2"/>
      <c r="M46" s="192"/>
    </row>
    <row r="47" spans="1:13" x14ac:dyDescent="0.2">
      <c r="A47" s="207"/>
      <c r="B47" s="208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May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0" customHeight="1" x14ac:dyDescent="0.2">
      <c r="A1" s="262"/>
    </row>
    <row r="2" spans="1:10" ht="55.5" customHeight="1" thickBot="1" x14ac:dyDescent="0.25">
      <c r="A2" s="257">
        <v>43952</v>
      </c>
      <c r="B2" s="351" t="s">
        <v>172</v>
      </c>
      <c r="C2" s="351" t="s">
        <v>171</v>
      </c>
      <c r="D2" s="431" t="s">
        <v>197</v>
      </c>
      <c r="E2" s="431" t="s">
        <v>222</v>
      </c>
      <c r="F2" s="431" t="s">
        <v>176</v>
      </c>
      <c r="G2" s="431" t="s">
        <v>175</v>
      </c>
      <c r="H2" s="351" t="s">
        <v>160</v>
      </c>
      <c r="I2" s="351" t="s">
        <v>163</v>
      </c>
      <c r="J2" s="351" t="s">
        <v>21</v>
      </c>
    </row>
    <row r="3" spans="1:10" ht="15" x14ac:dyDescent="0.25">
      <c r="A3" s="185" t="s">
        <v>3</v>
      </c>
      <c r="B3" s="278"/>
      <c r="C3" s="278"/>
      <c r="D3" s="278"/>
      <c r="E3" s="278"/>
      <c r="F3" s="279"/>
      <c r="G3" s="279"/>
      <c r="H3" s="279"/>
      <c r="I3" s="279"/>
      <c r="J3" s="392"/>
    </row>
    <row r="4" spans="1:10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3"/>
    </row>
    <row r="5" spans="1:10" x14ac:dyDescent="0.2">
      <c r="A5" s="38" t="s">
        <v>30</v>
      </c>
      <c r="B5" s="78">
        <f>'[3]Shuttle America'!$GT$22</f>
        <v>0</v>
      </c>
      <c r="C5" s="78">
        <f>'[3]Shuttle America_Delta'!$GT$22</f>
        <v>0</v>
      </c>
      <c r="D5" s="311">
        <f>[3]Horizon_AS!$GT$22</f>
        <v>0</v>
      </c>
      <c r="E5" s="311">
        <f>'[3]Air Wisconsin'!$GT$22</f>
        <v>0</v>
      </c>
      <c r="F5" s="78">
        <f>'[3]Atlantic Southeast'!$GT$22+'[3]Atlantic Southeast'!$GT$32</f>
        <v>0</v>
      </c>
      <c r="G5" s="78">
        <f>'[3]Continental Express'!$GT$22</f>
        <v>0</v>
      </c>
      <c r="H5" s="83">
        <f>'[3]Go Jet_UA'!$GT$22</f>
        <v>0</v>
      </c>
      <c r="I5" s="12">
        <f>'[3]Go Jet'!$GT$22+'[3]Go Jet'!$GT$32</f>
        <v>0</v>
      </c>
      <c r="J5" s="393">
        <f>SUM(B5:I5)</f>
        <v>0</v>
      </c>
    </row>
    <row r="6" spans="1:10" s="6" customFormat="1" x14ac:dyDescent="0.2">
      <c r="A6" s="38" t="s">
        <v>31</v>
      </c>
      <c r="B6" s="78">
        <f>'[3]Shuttle America'!$GT$23</f>
        <v>0</v>
      </c>
      <c r="C6" s="78">
        <f>'[3]Shuttle America_Delta'!$GT$23</f>
        <v>0</v>
      </c>
      <c r="D6" s="311">
        <f>[3]Horizon_AS!$GT$23</f>
        <v>0</v>
      </c>
      <c r="E6" s="311">
        <f>'[3]Air Wisconsin'!$GT$23</f>
        <v>0</v>
      </c>
      <c r="F6" s="78">
        <f>'[3]Atlantic Southeast'!$GT$23+'[3]Atlantic Southeast'!$GT$33</f>
        <v>0</v>
      </c>
      <c r="G6" s="78">
        <f>'[3]Continental Express'!$GT$23</f>
        <v>0</v>
      </c>
      <c r="H6" s="83">
        <f>'[3]Go Jet_UA'!$GT$23</f>
        <v>0</v>
      </c>
      <c r="I6" s="7">
        <f>'[3]Go Jet'!$GT$23+'[3]Go Jet'!$GT$33</f>
        <v>0</v>
      </c>
      <c r="J6" s="394">
        <f>SUM(B6:I6)</f>
        <v>0</v>
      </c>
    </row>
    <row r="7" spans="1:10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0</v>
      </c>
      <c r="E7" s="91">
        <f t="shared" si="0"/>
        <v>0</v>
      </c>
      <c r="F7" s="91">
        <f t="shared" si="0"/>
        <v>0</v>
      </c>
      <c r="G7" s="91">
        <f t="shared" si="0"/>
        <v>0</v>
      </c>
      <c r="H7" s="91">
        <f t="shared" si="0"/>
        <v>0</v>
      </c>
      <c r="I7" s="91">
        <f>SUM(I5:I6)</f>
        <v>0</v>
      </c>
      <c r="J7" s="395">
        <f>SUM(B7:I7)</f>
        <v>0</v>
      </c>
    </row>
    <row r="8" spans="1:10" ht="13.5" thickTop="1" x14ac:dyDescent="0.2">
      <c r="A8" s="38"/>
      <c r="B8" s="78"/>
      <c r="C8" s="78"/>
      <c r="D8" s="311"/>
      <c r="E8" s="311"/>
      <c r="F8" s="78"/>
      <c r="G8" s="78"/>
      <c r="H8" s="83"/>
      <c r="I8" s="229"/>
      <c r="J8" s="396"/>
    </row>
    <row r="9" spans="1:10" s="6" customFormat="1" x14ac:dyDescent="0.2">
      <c r="A9" s="38" t="s">
        <v>32</v>
      </c>
      <c r="B9" s="78"/>
      <c r="C9" s="78"/>
      <c r="D9" s="311"/>
      <c r="E9" s="311"/>
      <c r="F9" s="78"/>
      <c r="G9" s="78"/>
      <c r="H9" s="83"/>
      <c r="I9" s="12"/>
      <c r="J9" s="393"/>
    </row>
    <row r="10" spans="1:10" x14ac:dyDescent="0.2">
      <c r="A10" s="38" t="s">
        <v>30</v>
      </c>
      <c r="B10" s="78">
        <f>'[3]Shuttle America'!$GT$27</f>
        <v>0</v>
      </c>
      <c r="C10" s="78">
        <f>'[3]Shuttle America_Delta'!$GT$27</f>
        <v>0</v>
      </c>
      <c r="D10" s="311">
        <f>[3]Horizon_AS!$GT$27</f>
        <v>0</v>
      </c>
      <c r="E10" s="311">
        <f>'[3]Air Wisconsin'!$GT$27</f>
        <v>0</v>
      </c>
      <c r="F10" s="12">
        <f>'[3]Atlantic Southeast'!$GT$27+'[3]Atlantic Southeast'!$GT$37</f>
        <v>0</v>
      </c>
      <c r="G10" s="78">
        <f>'[3]Continental Express'!$GT$27</f>
        <v>0</v>
      </c>
      <c r="H10" s="83">
        <f>'[3]Go Jet_UA'!$GT$27</f>
        <v>0</v>
      </c>
      <c r="I10" s="12">
        <f>'[3]Go Jet'!$GT$27+'[3]Go Jet'!$GT$37</f>
        <v>0</v>
      </c>
      <c r="J10" s="393">
        <f>SUM(B10:I10)</f>
        <v>0</v>
      </c>
    </row>
    <row r="11" spans="1:10" x14ac:dyDescent="0.2">
      <c r="A11" s="38" t="s">
        <v>33</v>
      </c>
      <c r="B11" s="78">
        <f>'[3]Shuttle America'!$GT$28</f>
        <v>0</v>
      </c>
      <c r="C11" s="78">
        <f>'[3]Shuttle America_Delta'!$GT$28</f>
        <v>0</v>
      </c>
      <c r="D11" s="311">
        <f>[3]Horizon_AS!$GT$28</f>
        <v>0</v>
      </c>
      <c r="E11" s="311">
        <f>'[3]Air Wisconsin'!$GT$28</f>
        <v>0</v>
      </c>
      <c r="F11" s="7">
        <f>'[3]Atlantic Southeast'!$GT$28+'[3]Atlantic Southeast'!$GT$38</f>
        <v>0</v>
      </c>
      <c r="G11" s="78">
        <f>'[3]Continental Express'!$GT$28</f>
        <v>0</v>
      </c>
      <c r="H11" s="83">
        <f>'[3]Go Jet_UA'!$GT$28</f>
        <v>0</v>
      </c>
      <c r="I11" s="7">
        <f>'[3]Go Jet'!$GT$28+'[3]Go Jet'!$GT$38</f>
        <v>0</v>
      </c>
      <c r="J11" s="394">
        <f>SUM(B11:I11)</f>
        <v>0</v>
      </c>
    </row>
    <row r="12" spans="1:10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0</v>
      </c>
      <c r="E12" s="92">
        <f t="shared" si="2"/>
        <v>0</v>
      </c>
      <c r="F12" s="92">
        <f t="shared" ref="F12:H12" si="3">SUM(F10:F11)</f>
        <v>0</v>
      </c>
      <c r="G12" s="92">
        <f t="shared" si="3"/>
        <v>0</v>
      </c>
      <c r="H12" s="92">
        <f t="shared" si="3"/>
        <v>0</v>
      </c>
      <c r="I12" s="92">
        <f t="shared" ref="I12" si="4">SUM(I10:I11)</f>
        <v>0</v>
      </c>
      <c r="J12" s="397">
        <f>SUM(B12:I12)</f>
        <v>0</v>
      </c>
    </row>
    <row r="13" spans="1:10" ht="6" customHeight="1" thickBot="1" x14ac:dyDescent="0.25"/>
    <row r="14" spans="1:10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399"/>
    </row>
    <row r="15" spans="1:10" x14ac:dyDescent="0.2">
      <c r="A15" s="38" t="s">
        <v>53</v>
      </c>
      <c r="B15" s="76">
        <f>'[3]Shuttle America'!$GT$4</f>
        <v>0</v>
      </c>
      <c r="C15" s="76">
        <f>'[3]Shuttle America_Delta'!$GT$4</f>
        <v>0</v>
      </c>
      <c r="D15" s="312">
        <f>[3]Horizon_AS!$GT$4</f>
        <v>0</v>
      </c>
      <c r="E15" s="312">
        <f>'[3]Air Wisconsin'!$GT$4</f>
        <v>0</v>
      </c>
      <c r="F15" s="77">
        <f>'[3]Atlantic Southeast'!$GT$4+'[3]Atlantic Southeast'!$GT$15</f>
        <v>0</v>
      </c>
      <c r="G15" s="77">
        <f>'[3]Continental Express'!$GT$4</f>
        <v>0</v>
      </c>
      <c r="H15" s="76">
        <f>'[3]Go Jet_UA'!$GT$4</f>
        <v>0</v>
      </c>
      <c r="I15" s="12">
        <f>'[3]Go Jet'!$GT$4+'[3]Go Jet'!$GT$15</f>
        <v>0</v>
      </c>
      <c r="J15" s="393">
        <f t="shared" ref="J15:J21" si="5">SUM(B15:I15)</f>
        <v>0</v>
      </c>
    </row>
    <row r="16" spans="1:10" x14ac:dyDescent="0.2">
      <c r="A16" s="38" t="s">
        <v>54</v>
      </c>
      <c r="B16" s="79">
        <f>'[3]Shuttle America'!$GT$5</f>
        <v>0</v>
      </c>
      <c r="C16" s="79">
        <f>'[3]Shuttle America_Delta'!$GT$5</f>
        <v>0</v>
      </c>
      <c r="D16" s="313">
        <f>[3]Horizon_AS!$GT$5</f>
        <v>0</v>
      </c>
      <c r="E16" s="313">
        <f>'[3]Air Wisconsin'!$GT$5</f>
        <v>0</v>
      </c>
      <c r="F16" s="80">
        <f>'[3]Atlantic Southeast'!$GT$5+'[3]Atlantic Southeast'!$GT$16</f>
        <v>0</v>
      </c>
      <c r="G16" s="80">
        <f>'[3]Continental Express'!$GT$5</f>
        <v>0</v>
      </c>
      <c r="H16" s="79">
        <f>'[3]Go Jet_UA'!$GT$5</f>
        <v>0</v>
      </c>
      <c r="I16" s="7">
        <f>'[3]Go Jet'!$GT$5+'[3]Go Jet'!$GT$16</f>
        <v>0</v>
      </c>
      <c r="J16" s="394">
        <f t="shared" si="5"/>
        <v>0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0</v>
      </c>
      <c r="E17" s="82">
        <f t="shared" si="6"/>
        <v>0</v>
      </c>
      <c r="F17" s="82">
        <f t="shared" ref="F17:H17" si="7">SUM(F15:F16)</f>
        <v>0</v>
      </c>
      <c r="G17" s="82">
        <f t="shared" si="7"/>
        <v>0</v>
      </c>
      <c r="H17" s="82">
        <f t="shared" si="7"/>
        <v>0</v>
      </c>
      <c r="I17" s="187">
        <f>SUM(I15:I16)</f>
        <v>0</v>
      </c>
      <c r="J17" s="400">
        <f t="shared" si="5"/>
        <v>0</v>
      </c>
    </row>
    <row r="18" spans="1:10" x14ac:dyDescent="0.2">
      <c r="A18" s="38" t="s">
        <v>56</v>
      </c>
      <c r="B18" s="83">
        <f>'[3]Shuttle America'!$GT$8</f>
        <v>0</v>
      </c>
      <c r="C18" s="83">
        <f>'[3]Shuttle America_Delta'!$GT$8</f>
        <v>0</v>
      </c>
      <c r="D18" s="83">
        <f>[3]Horizon_AS!$GT$8</f>
        <v>0</v>
      </c>
      <c r="E18" s="83">
        <f>'[3]Air Wisconsin'!$GT$8</f>
        <v>0</v>
      </c>
      <c r="F18" s="78">
        <f>'[3]Atlantic Southeast'!$GT$8</f>
        <v>0</v>
      </c>
      <c r="G18" s="78">
        <f>'[3]Continental Express'!$GT$8</f>
        <v>0</v>
      </c>
      <c r="H18" s="83">
        <f>'[3]Go Jet_UA'!$GT$8</f>
        <v>0</v>
      </c>
      <c r="I18" s="12">
        <f>'[3]Go Jet'!$GT$8</f>
        <v>0</v>
      </c>
      <c r="J18" s="393">
        <f t="shared" si="5"/>
        <v>0</v>
      </c>
    </row>
    <row r="19" spans="1:10" x14ac:dyDescent="0.2">
      <c r="A19" s="38" t="s">
        <v>57</v>
      </c>
      <c r="B19" s="84">
        <f>'[3]Shuttle America'!$GT$9</f>
        <v>0</v>
      </c>
      <c r="C19" s="84">
        <f>'[3]Shuttle America_Delta'!$GT$9</f>
        <v>0</v>
      </c>
      <c r="D19" s="84">
        <f>[3]Horizon_AS!$GT$9</f>
        <v>0</v>
      </c>
      <c r="E19" s="84">
        <f>'[3]Air Wisconsin'!$GT$9</f>
        <v>0</v>
      </c>
      <c r="F19" s="81">
        <f>'[3]Atlantic Southeast'!$GT$9</f>
        <v>0</v>
      </c>
      <c r="G19" s="81">
        <f>'[3]Continental Express'!$GT$9</f>
        <v>0</v>
      </c>
      <c r="H19" s="84">
        <f>'[3]Go Jet_UA'!$GT$9</f>
        <v>0</v>
      </c>
      <c r="I19" s="7">
        <f>'[3]Go Jet'!$GT$9</f>
        <v>0</v>
      </c>
      <c r="J19" s="394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7">
        <f>SUM(I18:I19)</f>
        <v>0</v>
      </c>
      <c r="J20" s="400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0</v>
      </c>
      <c r="E21" s="85">
        <f t="shared" si="10"/>
        <v>0</v>
      </c>
      <c r="F21" s="85">
        <f t="shared" ref="F21:H21" si="11">SUM(F20,F17)</f>
        <v>0</v>
      </c>
      <c r="G21" s="85">
        <f t="shared" si="11"/>
        <v>0</v>
      </c>
      <c r="H21" s="85">
        <f t="shared" si="11"/>
        <v>0</v>
      </c>
      <c r="I21" s="85">
        <f t="shared" ref="I21" si="12">SUM(I20,I17)</f>
        <v>0</v>
      </c>
      <c r="J21" s="401">
        <f t="shared" si="5"/>
        <v>0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2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3"/>
    </row>
    <row r="25" spans="1:10" x14ac:dyDescent="0.2">
      <c r="A25" s="38" t="s">
        <v>37</v>
      </c>
      <c r="B25" s="83">
        <f>'[3]Shuttle America'!$GT$47</f>
        <v>0</v>
      </c>
      <c r="C25" s="83">
        <f>'[3]Shuttle America_Delta'!$GT$47</f>
        <v>0</v>
      </c>
      <c r="D25" s="83">
        <f>[3]Horizon_AS!$GT$47</f>
        <v>0</v>
      </c>
      <c r="E25" s="83">
        <f>'[3]Air Wisconsin'!$GT$47</f>
        <v>0</v>
      </c>
      <c r="F25" s="78">
        <f>'[3]Atlantic Southeast'!$GT$47</f>
        <v>0</v>
      </c>
      <c r="G25" s="78">
        <f>'[3]Continental Express'!$GT$47</f>
        <v>0</v>
      </c>
      <c r="H25" s="83">
        <f>'[3]Go Jet_UA'!$GT$47</f>
        <v>0</v>
      </c>
      <c r="I25" s="83">
        <f>'[3]Go Jet'!$GT$47</f>
        <v>0</v>
      </c>
      <c r="J25" s="393">
        <f>SUM(B25:I25)</f>
        <v>0</v>
      </c>
    </row>
    <row r="26" spans="1:10" x14ac:dyDescent="0.2">
      <c r="A26" s="38" t="s">
        <v>38</v>
      </c>
      <c r="B26" s="83">
        <f>'[3]Shuttle America'!$GT$48</f>
        <v>0</v>
      </c>
      <c r="C26" s="83">
        <f>'[3]Shuttle America_Delta'!$GT$48</f>
        <v>0</v>
      </c>
      <c r="D26" s="83">
        <f>[3]Horizon_AS!$GT$48</f>
        <v>0</v>
      </c>
      <c r="E26" s="83">
        <f>'[3]Air Wisconsin'!$GT$48</f>
        <v>0</v>
      </c>
      <c r="F26" s="78">
        <f>'[3]Atlantic Southeast'!$GT$48</f>
        <v>0</v>
      </c>
      <c r="G26" s="78">
        <f>'[3]Continental Express'!$GT$48</f>
        <v>0</v>
      </c>
      <c r="H26" s="83">
        <f>'[3]Go Jet_UA'!$GT$48</f>
        <v>0</v>
      </c>
      <c r="I26" s="83">
        <f>'[3]Go Jet'!$GT$48</f>
        <v>0</v>
      </c>
      <c r="J26" s="393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0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395">
        <f>SUM(B27:I27)</f>
        <v>0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3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3"/>
    </row>
    <row r="30" spans="1:10" x14ac:dyDescent="0.2">
      <c r="A30" s="38" t="s">
        <v>59</v>
      </c>
      <c r="B30" s="83">
        <f>'[3]Shuttle America'!$GT$52</f>
        <v>0</v>
      </c>
      <c r="C30" s="83">
        <f>'[3]Shuttle America_Delta'!$GT$52</f>
        <v>0</v>
      </c>
      <c r="D30" s="83">
        <f>[3]Horizon_AS!$GT$52</f>
        <v>0</v>
      </c>
      <c r="E30" s="83">
        <f>'[3]Air Wisconsin'!$GT$52</f>
        <v>0</v>
      </c>
      <c r="F30" s="78">
        <f>'[3]Atlantic Southeast'!$GT$52</f>
        <v>0</v>
      </c>
      <c r="G30" s="78">
        <f>'[3]Continental Express'!$GT$52</f>
        <v>0</v>
      </c>
      <c r="H30" s="83">
        <f>'[3]Go Jet_UA'!$GT$52</f>
        <v>0</v>
      </c>
      <c r="I30" s="83">
        <f>'[3]Go Jet'!$GT$52</f>
        <v>0</v>
      </c>
      <c r="J30" s="393">
        <f>SUM(B30:I30)</f>
        <v>0</v>
      </c>
    </row>
    <row r="31" spans="1:10" x14ac:dyDescent="0.2">
      <c r="A31" s="38" t="s">
        <v>60</v>
      </c>
      <c r="B31" s="83">
        <f>'[3]Shuttle America'!$GT$53</f>
        <v>0</v>
      </c>
      <c r="C31" s="83">
        <f>'[3]Shuttle America_Delta'!$GT$53</f>
        <v>0</v>
      </c>
      <c r="D31" s="83">
        <f>[3]Horizon_AS!$GT$53</f>
        <v>0</v>
      </c>
      <c r="E31" s="83">
        <f>'[3]Air Wisconsin'!$GT$53</f>
        <v>0</v>
      </c>
      <c r="F31" s="78">
        <f>'[3]Atlantic Southeast'!$GT$53</f>
        <v>0</v>
      </c>
      <c r="G31" s="78">
        <f>'[3]Continental Express'!$GT$53</f>
        <v>0</v>
      </c>
      <c r="H31" s="83">
        <f>'[3]Go Jet_UA'!$GT$53</f>
        <v>0</v>
      </c>
      <c r="I31" s="83">
        <f>'[3]Go Jet'!$GT$53</f>
        <v>0</v>
      </c>
      <c r="J31" s="393">
        <f>SUM(B31:I31)</f>
        <v>0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0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395">
        <f>SUM(B32:I32)</f>
        <v>0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3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3"/>
    </row>
    <row r="35" spans="1:10" ht="13.5" hidden="1" thickTop="1" x14ac:dyDescent="0.2">
      <c r="A35" s="38" t="s">
        <v>37</v>
      </c>
      <c r="B35" s="83">
        <f>'[3]Shuttle America'!$GT$57</f>
        <v>0</v>
      </c>
      <c r="C35" s="83">
        <f>'[3]Shuttle America_Delta'!$GT$57</f>
        <v>0</v>
      </c>
      <c r="D35" s="83">
        <f>[3]Horizon_AS!$GT$57</f>
        <v>0</v>
      </c>
      <c r="E35" s="83">
        <f>'[3]Air Wisconsin'!$GT$57</f>
        <v>0</v>
      </c>
      <c r="F35" s="78">
        <f>'[3]Atlantic Southeast'!$GT$57</f>
        <v>0</v>
      </c>
      <c r="G35" s="78">
        <f>'[3]Continental Express'!$GT$57</f>
        <v>0</v>
      </c>
      <c r="H35" s="83">
        <f>'[3]Go Jet_UA'!$AJ$57</f>
        <v>0</v>
      </c>
      <c r="I35" s="83">
        <f>'[3]Go Jet'!$GT$57</f>
        <v>0</v>
      </c>
      <c r="J35" s="393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3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3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3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3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0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3">
        <f>SUM(B40:I40)</f>
        <v>0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0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3">
        <f>SUM(B41:I41)</f>
        <v>0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0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397">
        <f>SUM(B42:I42)</f>
        <v>0</v>
      </c>
    </row>
    <row r="43" spans="1:10" ht="4.5" customHeight="1" x14ac:dyDescent="0.2"/>
    <row r="44" spans="1:10" hidden="1" x14ac:dyDescent="0.2">
      <c r="A44" s="216" t="s">
        <v>125</v>
      </c>
      <c r="F44" s="202"/>
      <c r="I44" s="215">
        <f>'[3]Go Jet'!BK$70+'[3]Go Jet'!BK$73</f>
        <v>0</v>
      </c>
      <c r="J44" s="204" t="e">
        <f>SUM(#REF!)</f>
        <v>#REF!</v>
      </c>
    </row>
    <row r="45" spans="1:10" hidden="1" x14ac:dyDescent="0.2">
      <c r="A45" s="216" t="s">
        <v>126</v>
      </c>
      <c r="F45" s="219"/>
      <c r="I45" s="215">
        <f>'[3]Go Jet'!BK$71+'[3]Go Jet'!BK$74</f>
        <v>0</v>
      </c>
      <c r="J45" s="204" t="e">
        <f>SUM(#REF!)</f>
        <v>#REF!</v>
      </c>
    </row>
    <row r="46" spans="1:10" x14ac:dyDescent="0.2">
      <c r="A46" s="254" t="s">
        <v>122</v>
      </c>
      <c r="C46" s="215">
        <f>'[3]Shuttle America_Delta'!$GT$70+'[3]Shuttle America_Delta'!$GT$73</f>
        <v>0</v>
      </c>
      <c r="D46" s="2"/>
      <c r="F46" s="215">
        <f>'[3]Atlantic Southeast'!$GT$70+'[3]Atlantic Southeast'!$GT$73</f>
        <v>0</v>
      </c>
      <c r="I46" s="215">
        <f>'[3]Go Jet'!$GT$70+'[3]Go Jet'!$GT$73</f>
        <v>0</v>
      </c>
      <c r="J46" s="265">
        <f>SUM(B46:I46)</f>
        <v>0</v>
      </c>
    </row>
    <row r="47" spans="1:10" x14ac:dyDescent="0.2">
      <c r="A47" s="266" t="s">
        <v>123</v>
      </c>
      <c r="C47" s="215">
        <f>'[3]Shuttle America_Delta'!$GT$71+'[3]Shuttle America_Delta'!$GT$74</f>
        <v>0</v>
      </c>
      <c r="D47" s="2"/>
      <c r="F47" s="215">
        <f>'[3]Atlantic Southeast'!$GT$71+'[3]Atlantic Southeast'!$GT$74</f>
        <v>0</v>
      </c>
      <c r="I47" s="215">
        <f>'[3]Go Jet'!$GT$71+'[3]Go Jet'!$GT$74</f>
        <v>0</v>
      </c>
      <c r="J47" s="265">
        <f>SUM(B47:I47)</f>
        <v>0</v>
      </c>
    </row>
  </sheetData>
  <phoneticPr fontId="6" type="noConversion"/>
  <printOptions horizontalCentered="1"/>
  <pageMargins left="0.25" right="0.25" top="0.75" bottom="0.75" header="0.3" footer="0.3"/>
  <pageSetup scale="91" orientation="landscape" r:id="rId1"/>
  <headerFooter alignWithMargins="0">
    <oddHeader>&amp;L
Schedule 5
&amp;CMinneapolis-St. Paul International Airport
&amp;"Arial,Bold"Other Regional
May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7" zoomScale="115" zoomScaleNormal="115" workbookViewId="0">
      <selection activeCell="I26" sqref="I2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7">
        <v>43952</v>
      </c>
      <c r="B2" s="357" t="s">
        <v>117</v>
      </c>
      <c r="C2" s="357" t="s">
        <v>153</v>
      </c>
      <c r="D2" s="358" t="s">
        <v>78</v>
      </c>
      <c r="E2" s="358" t="s">
        <v>154</v>
      </c>
      <c r="F2" s="357" t="s">
        <v>131</v>
      </c>
      <c r="G2" s="303" t="s">
        <v>79</v>
      </c>
    </row>
    <row r="3" spans="1:17" x14ac:dyDescent="0.2">
      <c r="A3" s="184" t="s">
        <v>3</v>
      </c>
      <c r="B3" s="121"/>
      <c r="C3" s="120"/>
      <c r="D3" s="120"/>
      <c r="E3" s="120"/>
      <c r="F3" s="120"/>
      <c r="G3" s="404"/>
    </row>
    <row r="4" spans="1:17" x14ac:dyDescent="0.2">
      <c r="A4" s="38" t="s">
        <v>29</v>
      </c>
      <c r="B4" s="290"/>
      <c r="C4" s="119"/>
      <c r="D4" s="119"/>
      <c r="E4" s="119"/>
      <c r="F4" s="119"/>
      <c r="G4" s="405"/>
    </row>
    <row r="5" spans="1:17" x14ac:dyDescent="0.2">
      <c r="A5" s="38" t="s">
        <v>30</v>
      </c>
      <c r="B5" s="290">
        <f>'[3]Charter Misc'!$GT$22</f>
        <v>0</v>
      </c>
      <c r="C5" s="119">
        <f>[3]Ryan!$GT$22</f>
        <v>0</v>
      </c>
      <c r="D5" s="119">
        <f>'[3]Charter Misc'!$GT$32</f>
        <v>0</v>
      </c>
      <c r="E5" s="119">
        <f>[3]Omni!$GT$32</f>
        <v>0</v>
      </c>
      <c r="F5" s="119">
        <f>[3]Xtra!$GT$32+[3]Xtra!$GT$22</f>
        <v>0</v>
      </c>
      <c r="G5" s="406">
        <f>SUM(B5:F5)</f>
        <v>0</v>
      </c>
    </row>
    <row r="6" spans="1:17" x14ac:dyDescent="0.2">
      <c r="A6" s="38" t="s">
        <v>31</v>
      </c>
      <c r="B6" s="291">
        <f>'[3]Charter Misc'!$GT$23</f>
        <v>0</v>
      </c>
      <c r="C6" s="122">
        <f>[3]Ryan!$GT$23</f>
        <v>0</v>
      </c>
      <c r="D6" s="122">
        <f>'[3]Charter Misc'!$GT$33</f>
        <v>0</v>
      </c>
      <c r="E6" s="122">
        <f>[3]Omni!$GT$33+[3]Omni!$GT$23</f>
        <v>0</v>
      </c>
      <c r="F6" s="122">
        <f>[3]Xtra!$GT$33+[3]Xtra!$GT$23</f>
        <v>0</v>
      </c>
      <c r="G6" s="407">
        <f>SUM(B6:F6)</f>
        <v>0</v>
      </c>
    </row>
    <row r="7" spans="1:17" ht="15.75" thickBot="1" x14ac:dyDescent="0.3">
      <c r="A7" s="118" t="s">
        <v>7</v>
      </c>
      <c r="B7" s="292">
        <f>SUM(B5:B6)</f>
        <v>0</v>
      </c>
      <c r="C7" s="194">
        <f>SUM(C5:C6)</f>
        <v>0</v>
      </c>
      <c r="D7" s="194">
        <f>SUM(D5:D6)</f>
        <v>0</v>
      </c>
      <c r="E7" s="194">
        <f>SUM(E5:E6)</f>
        <v>0</v>
      </c>
      <c r="F7" s="194">
        <f>SUM(F5:F6)</f>
        <v>0</v>
      </c>
      <c r="G7" s="408">
        <f>SUM(B7:F7)</f>
        <v>0</v>
      </c>
    </row>
    <row r="8" spans="1:17" ht="13.5" thickBot="1" x14ac:dyDescent="0.25">
      <c r="G8" s="38"/>
    </row>
    <row r="9" spans="1:17" x14ac:dyDescent="0.2">
      <c r="A9" s="116" t="s">
        <v>9</v>
      </c>
      <c r="B9" s="293"/>
      <c r="C9" s="23"/>
      <c r="D9" s="23"/>
      <c r="E9" s="23"/>
      <c r="F9" s="23"/>
      <c r="G9" s="409"/>
    </row>
    <row r="10" spans="1:17" x14ac:dyDescent="0.2">
      <c r="A10" s="117" t="s">
        <v>80</v>
      </c>
      <c r="B10" s="290">
        <f>'[3]Charter Misc'!$GT$4</f>
        <v>0</v>
      </c>
      <c r="C10" s="119">
        <f>[3]Ryan!$GT$4</f>
        <v>0</v>
      </c>
      <c r="D10" s="119">
        <f>'[3]Charter Misc'!$GT$15</f>
        <v>0</v>
      </c>
      <c r="E10" s="119">
        <f>[3]Omni!$GT$15+[3]Omni!$GT$4+[3]Omni!$GT$8</f>
        <v>0</v>
      </c>
      <c r="F10" s="119">
        <f>[3]Xtra!$GT$15+[3]Xtra!$GT$4+[3]Omni!$GT$8</f>
        <v>0</v>
      </c>
      <c r="G10" s="407">
        <f>SUM(B10:F10)</f>
        <v>0</v>
      </c>
    </row>
    <row r="11" spans="1:17" x14ac:dyDescent="0.2">
      <c r="A11" s="117" t="s">
        <v>81</v>
      </c>
      <c r="B11" s="290">
        <f>'[3]Charter Misc'!$GT$5</f>
        <v>0</v>
      </c>
      <c r="C11" s="119">
        <f>[3]Ryan!$GT$5</f>
        <v>0</v>
      </c>
      <c r="D11" s="119">
        <f>'[3]Charter Misc'!$GT$16</f>
        <v>0</v>
      </c>
      <c r="E11" s="119">
        <f>[3]Omni!$GT$16+[3]Omni!$GT$5+[3]Omni!$GT$9</f>
        <v>0</v>
      </c>
      <c r="F11" s="119">
        <f>[3]Xtra!$GT$16+[3]Xtra!$GT$5+[3]Omni!$GT$9</f>
        <v>0</v>
      </c>
      <c r="G11" s="407">
        <f>SUM(B11:F11)</f>
        <v>0</v>
      </c>
    </row>
    <row r="12" spans="1:17" ht="15.75" thickBot="1" x14ac:dyDescent="0.3">
      <c r="A12" s="183" t="s">
        <v>28</v>
      </c>
      <c r="B12" s="294">
        <f>SUM(B10:B11)</f>
        <v>0</v>
      </c>
      <c r="C12" s="195">
        <f>SUM(C10:C11)</f>
        <v>0</v>
      </c>
      <c r="D12" s="195">
        <f>SUM(D10:D11)</f>
        <v>0</v>
      </c>
      <c r="E12" s="195">
        <f>SUM(E10:E11)</f>
        <v>0</v>
      </c>
      <c r="F12" s="195">
        <f>SUM(F10:F11)</f>
        <v>0</v>
      </c>
      <c r="G12" s="410">
        <f>SUM(B12:F12)</f>
        <v>0</v>
      </c>
      <c r="Q12" s="83"/>
    </row>
    <row r="17" spans="1:16" x14ac:dyDescent="0.2">
      <c r="B17" s="461" t="s">
        <v>151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</row>
    <row r="18" spans="1:16" ht="13.5" thickBot="1" x14ac:dyDescent="0.25">
      <c r="A18" s="210"/>
      <c r="E18" s="140"/>
      <c r="G18" s="140"/>
      <c r="H18" s="140"/>
      <c r="L18" s="144"/>
      <c r="N18" s="4"/>
    </row>
    <row r="19" spans="1:16" ht="13.5" customHeight="1" thickBot="1" x14ac:dyDescent="0.25">
      <c r="A19" s="280"/>
      <c r="B19" s="464" t="s">
        <v>119</v>
      </c>
      <c r="C19" s="465"/>
      <c r="D19" s="465"/>
      <c r="E19" s="466"/>
      <c r="G19" s="464" t="s">
        <v>120</v>
      </c>
      <c r="H19" s="467"/>
      <c r="I19" s="467"/>
      <c r="J19" s="468"/>
      <c r="L19" s="469" t="s">
        <v>121</v>
      </c>
      <c r="M19" s="470"/>
      <c r="N19" s="470"/>
      <c r="O19" s="471"/>
    </row>
    <row r="20" spans="1:16" ht="13.5" thickBot="1" x14ac:dyDescent="0.25">
      <c r="A20" s="147" t="s">
        <v>100</v>
      </c>
      <c r="B20" s="418" t="s">
        <v>101</v>
      </c>
      <c r="C20" s="426" t="s">
        <v>102</v>
      </c>
      <c r="D20" s="5" t="s">
        <v>215</v>
      </c>
      <c r="E20" s="5" t="s">
        <v>202</v>
      </c>
      <c r="F20" s="153" t="s">
        <v>97</v>
      </c>
      <c r="G20" s="5" t="s">
        <v>101</v>
      </c>
      <c r="H20" s="5" t="s">
        <v>102</v>
      </c>
      <c r="I20" s="5" t="s">
        <v>215</v>
      </c>
      <c r="J20" s="5" t="s">
        <v>202</v>
      </c>
      <c r="K20" s="153" t="s">
        <v>97</v>
      </c>
      <c r="L20" s="152" t="s">
        <v>101</v>
      </c>
      <c r="M20" s="146" t="s">
        <v>102</v>
      </c>
      <c r="N20" s="5" t="s">
        <v>215</v>
      </c>
      <c r="O20" s="5" t="s">
        <v>202</v>
      </c>
      <c r="P20" s="153" t="s">
        <v>97</v>
      </c>
    </row>
    <row r="21" spans="1:16" ht="14.1" customHeight="1" x14ac:dyDescent="0.2">
      <c r="A21" s="156" t="s">
        <v>103</v>
      </c>
      <c r="B21" s="419">
        <f>+[4]Charter!$B$21</f>
        <v>154018</v>
      </c>
      <c r="C21" s="420">
        <f>+[4]Charter!$C$21</f>
        <v>145053</v>
      </c>
      <c r="D21" s="355">
        <f t="shared" ref="D21:D32" si="0">SUM(B21:C21)</f>
        <v>299071</v>
      </c>
      <c r="E21" s="356">
        <f>[5]Charter!$D$21</f>
        <v>266711</v>
      </c>
      <c r="F21" s="228">
        <f t="shared" ref="F21:F32" si="1">(D21-E21)/E21</f>
        <v>0.12132982891594273</v>
      </c>
      <c r="G21" s="224">
        <f t="shared" ref="G21:H23" si="2">L21-B21</f>
        <v>1288852</v>
      </c>
      <c r="H21" s="225">
        <f t="shared" si="2"/>
        <v>1327520</v>
      </c>
      <c r="I21" s="225">
        <f>SUM(G21:H21)</f>
        <v>2616372</v>
      </c>
      <c r="J21" s="226">
        <f>[5]Charter!$I$21</f>
        <v>2470130</v>
      </c>
      <c r="K21" s="157">
        <f t="shared" ref="K21:K32" si="3">(I21-J21)/J21</f>
        <v>5.9204171440369532E-2</v>
      </c>
      <c r="L21" s="224">
        <f>+[4]Charter!$L$21</f>
        <v>1442870</v>
      </c>
      <c r="M21" s="225">
        <f>+[4]Charter!$M$21</f>
        <v>1472573</v>
      </c>
      <c r="N21" s="225">
        <f t="shared" ref="N21:N32" si="4">SUM(L21:M21)</f>
        <v>2915443</v>
      </c>
      <c r="O21" s="226">
        <f>[5]Charter!$N$21</f>
        <v>2736841</v>
      </c>
      <c r="P21" s="157">
        <f>(N21-O21)/O21</f>
        <v>6.5258449431296883E-2</v>
      </c>
    </row>
    <row r="22" spans="1:16" ht="14.1" customHeight="1" x14ac:dyDescent="0.2">
      <c r="A22" s="158" t="s">
        <v>104</v>
      </c>
      <c r="B22" s="421">
        <f>+[6]Charter!$B$22</f>
        <v>152114</v>
      </c>
      <c r="C22" s="422">
        <f>+[6]Charter!$C$22</f>
        <v>153672</v>
      </c>
      <c r="D22" s="423">
        <f t="shared" ref="D22" si="5">SUM(B22:C22)</f>
        <v>305786</v>
      </c>
      <c r="E22" s="352">
        <f>[7]Charter!$D22</f>
        <v>274882</v>
      </c>
      <c r="F22" s="223">
        <f t="shared" si="1"/>
        <v>0.11242642297422166</v>
      </c>
      <c r="G22" s="353">
        <f t="shared" si="2"/>
        <v>1270024</v>
      </c>
      <c r="H22" s="354">
        <f t="shared" si="2"/>
        <v>1284803</v>
      </c>
      <c r="I22" s="354">
        <f>SUM(G22:H22)</f>
        <v>2554827</v>
      </c>
      <c r="J22" s="227">
        <f>[7]Charter!$I22</f>
        <v>2350129</v>
      </c>
      <c r="K22" s="160">
        <f t="shared" si="3"/>
        <v>8.7100750639645744E-2</v>
      </c>
      <c r="L22" s="353">
        <f>+[6]Charter!$L$22</f>
        <v>1422138</v>
      </c>
      <c r="M22" s="354">
        <f>+[6]Charter!$M$22</f>
        <v>1438475</v>
      </c>
      <c r="N22" s="354">
        <f t="shared" ref="N22" si="6">SUM(L22:M22)</f>
        <v>2860613</v>
      </c>
      <c r="O22" s="227">
        <f>[7]Charter!$N22</f>
        <v>2625011</v>
      </c>
      <c r="P22" s="159">
        <f t="shared" ref="P22:P32" si="7">(N22-O22)/O22</f>
        <v>8.9752766750310756E-2</v>
      </c>
    </row>
    <row r="23" spans="1:16" ht="14.1" customHeight="1" x14ac:dyDescent="0.2">
      <c r="A23" s="158" t="s">
        <v>105</v>
      </c>
      <c r="B23" s="421">
        <f>+[8]Charter!$B$23</f>
        <v>102884</v>
      </c>
      <c r="C23" s="422">
        <f>+[8]Charter!$C$23</f>
        <v>82442</v>
      </c>
      <c r="D23" s="423">
        <f t="shared" ref="D23" si="8">SUM(B23:C23)</f>
        <v>185326</v>
      </c>
      <c r="E23" s="352">
        <f>[9]Charter!$D23</f>
        <v>366937</v>
      </c>
      <c r="F23" s="159">
        <f t="shared" si="1"/>
        <v>-0.49493782311404955</v>
      </c>
      <c r="G23" s="353">
        <f t="shared" si="2"/>
        <v>853906</v>
      </c>
      <c r="H23" s="354">
        <f t="shared" si="2"/>
        <v>748879</v>
      </c>
      <c r="I23" s="354">
        <f>SUM(G23:H23)</f>
        <v>1602785</v>
      </c>
      <c r="J23" s="227">
        <f>[9]Charter!$I23</f>
        <v>3170467</v>
      </c>
      <c r="K23" s="160">
        <f t="shared" si="3"/>
        <v>-0.49446406475765242</v>
      </c>
      <c r="L23" s="353">
        <f>+[8]Charter!$L$23</f>
        <v>956790</v>
      </c>
      <c r="M23" s="354">
        <f>+[8]Charter!$M$23</f>
        <v>831321</v>
      </c>
      <c r="N23" s="354">
        <f t="shared" ref="N23" si="9">SUM(L23:M23)</f>
        <v>1788111</v>
      </c>
      <c r="O23" s="227">
        <f>[9]Charter!$N23</f>
        <v>3537404</v>
      </c>
      <c r="P23" s="159">
        <f t="shared" si="7"/>
        <v>-0.49451320799094478</v>
      </c>
    </row>
    <row r="24" spans="1:16" ht="14.1" customHeight="1" x14ac:dyDescent="0.2">
      <c r="A24" s="158" t="s">
        <v>106</v>
      </c>
      <c r="B24" s="421">
        <f>+[2]Charter!$B$24</f>
        <v>347</v>
      </c>
      <c r="C24" s="422">
        <f>+[2]Charter!$C$24</f>
        <v>541</v>
      </c>
      <c r="D24" s="423">
        <f t="shared" ref="D24" si="10">SUM(B24:C24)</f>
        <v>888</v>
      </c>
      <c r="E24" s="352">
        <f>[10]Charter!$D24</f>
        <v>249952</v>
      </c>
      <c r="F24" s="159">
        <f t="shared" si="1"/>
        <v>-0.99644731788503393</v>
      </c>
      <c r="G24" s="353">
        <f t="shared" ref="G24" si="11">L24-B24</f>
        <v>80644</v>
      </c>
      <c r="H24" s="354">
        <f t="shared" ref="H24" si="12">M24-C24</f>
        <v>69951</v>
      </c>
      <c r="I24" s="354">
        <f>SUM(G24:H24)</f>
        <v>150595</v>
      </c>
      <c r="J24" s="227">
        <f>[10]Charter!$I24</f>
        <v>2886078</v>
      </c>
      <c r="K24" s="160">
        <f t="shared" si="3"/>
        <v>-0.94782019058389966</v>
      </c>
      <c r="L24" s="353">
        <f>+[2]Charter!$L$24</f>
        <v>80991</v>
      </c>
      <c r="M24" s="354">
        <f>+[2]Charter!$M$24</f>
        <v>70492</v>
      </c>
      <c r="N24" s="354">
        <f t="shared" ref="N24" si="13">SUM(L24:M24)</f>
        <v>151483</v>
      </c>
      <c r="O24" s="227">
        <f>[10]Charter!$N24</f>
        <v>3136030</v>
      </c>
      <c r="P24" s="159">
        <f t="shared" si="7"/>
        <v>-0.95169593403124331</v>
      </c>
    </row>
    <row r="25" spans="1:16" ht="14.1" customHeight="1" x14ac:dyDescent="0.2">
      <c r="A25" s="145" t="s">
        <v>76</v>
      </c>
      <c r="B25" s="424">
        <f>'Intl Detail'!$P$4+'Intl Detail'!$P$9</f>
        <v>965</v>
      </c>
      <c r="C25" s="425">
        <f>'Intl Detail'!$P$5+'Intl Detail'!$P$10</f>
        <v>487</v>
      </c>
      <c r="D25" s="221">
        <f t="shared" ref="D25" si="14">SUM(B25:C25)</f>
        <v>1452</v>
      </c>
      <c r="E25" s="352">
        <f>[1]Charter!$D25</f>
        <v>253273</v>
      </c>
      <c r="F25" s="148">
        <f t="shared" si="1"/>
        <v>-0.99426705570668805</v>
      </c>
      <c r="G25" s="353">
        <f t="shared" ref="G25" si="15">L25-B25</f>
        <v>144345</v>
      </c>
      <c r="H25" s="354">
        <f t="shared" ref="H25" si="16">M25-C25</f>
        <v>138273</v>
      </c>
      <c r="I25" s="354">
        <f>SUM(G25:H25)</f>
        <v>282618</v>
      </c>
      <c r="J25" s="227">
        <f>[1]Charter!$I25</f>
        <v>3087539</v>
      </c>
      <c r="K25" s="154">
        <f t="shared" si="3"/>
        <v>-0.90846496190007642</v>
      </c>
      <c r="L25" s="353">
        <f>'Monthly Summary'!$B$11</f>
        <v>145310</v>
      </c>
      <c r="M25" s="354">
        <f>'Monthly Summary'!$C$11</f>
        <v>138760</v>
      </c>
      <c r="N25" s="354">
        <f t="shared" ref="N25" si="17">SUM(L25:M25)</f>
        <v>284070</v>
      </c>
      <c r="O25" s="227">
        <f>[1]Charter!$N25</f>
        <v>3340812</v>
      </c>
      <c r="P25" s="148">
        <f t="shared" si="7"/>
        <v>-0.91496977381546762</v>
      </c>
    </row>
    <row r="26" spans="1:16" ht="14.1" customHeight="1" x14ac:dyDescent="0.2">
      <c r="A26" s="158" t="s">
        <v>107</v>
      </c>
      <c r="B26" s="220"/>
      <c r="C26" s="222"/>
      <c r="D26" s="221">
        <f t="shared" si="0"/>
        <v>0</v>
      </c>
      <c r="E26" s="227"/>
      <c r="F26" s="159" t="e">
        <f t="shared" si="1"/>
        <v>#DIV/0!</v>
      </c>
      <c r="G26" s="220"/>
      <c r="H26" s="222"/>
      <c r="I26" s="221">
        <f t="shared" ref="I26:I32" si="18">SUM(G26:H26)</f>
        <v>0</v>
      </c>
      <c r="J26" s="227"/>
      <c r="K26" s="160" t="e">
        <f t="shared" si="3"/>
        <v>#DIV/0!</v>
      </c>
      <c r="L26" s="220"/>
      <c r="M26" s="222"/>
      <c r="N26" s="221">
        <f t="shared" si="4"/>
        <v>0</v>
      </c>
      <c r="O26" s="227"/>
      <c r="P26" s="159" t="e">
        <f t="shared" si="7"/>
        <v>#DIV/0!</v>
      </c>
    </row>
    <row r="27" spans="1:16" ht="14.1" customHeight="1" x14ac:dyDescent="0.2">
      <c r="A27" s="145" t="s">
        <v>108</v>
      </c>
      <c r="B27" s="220"/>
      <c r="C27" s="222"/>
      <c r="D27" s="221">
        <f t="shared" si="0"/>
        <v>0</v>
      </c>
      <c r="E27" s="227"/>
      <c r="F27" s="148" t="e">
        <f t="shared" si="1"/>
        <v>#DIV/0!</v>
      </c>
      <c r="G27" s="220"/>
      <c r="H27" s="222"/>
      <c r="I27" s="221">
        <f t="shared" si="18"/>
        <v>0</v>
      </c>
      <c r="J27" s="227"/>
      <c r="K27" s="154" t="e">
        <f t="shared" si="3"/>
        <v>#DIV/0!</v>
      </c>
      <c r="L27" s="220"/>
      <c r="M27" s="222"/>
      <c r="N27" s="221">
        <f t="shared" si="4"/>
        <v>0</v>
      </c>
      <c r="O27" s="227"/>
      <c r="P27" s="148" t="e">
        <f t="shared" si="7"/>
        <v>#DIV/0!</v>
      </c>
    </row>
    <row r="28" spans="1:16" ht="14.1" customHeight="1" x14ac:dyDescent="0.2">
      <c r="A28" s="158" t="s">
        <v>109</v>
      </c>
      <c r="B28" s="220"/>
      <c r="C28" s="222"/>
      <c r="D28" s="221">
        <f t="shared" si="0"/>
        <v>0</v>
      </c>
      <c r="E28" s="227"/>
      <c r="F28" s="159" t="e">
        <f t="shared" si="1"/>
        <v>#DIV/0!</v>
      </c>
      <c r="G28" s="220"/>
      <c r="H28" s="222"/>
      <c r="I28" s="221">
        <f t="shared" si="18"/>
        <v>0</v>
      </c>
      <c r="J28" s="227"/>
      <c r="K28" s="160" t="e">
        <f t="shared" si="3"/>
        <v>#DIV/0!</v>
      </c>
      <c r="L28" s="220"/>
      <c r="M28" s="222"/>
      <c r="N28" s="221">
        <f t="shared" si="4"/>
        <v>0</v>
      </c>
      <c r="O28" s="227"/>
      <c r="P28" s="159" t="e">
        <f t="shared" si="7"/>
        <v>#DIV/0!</v>
      </c>
    </row>
    <row r="29" spans="1:16" ht="14.1" customHeight="1" x14ac:dyDescent="0.2">
      <c r="A29" s="145" t="s">
        <v>110</v>
      </c>
      <c r="B29" s="220"/>
      <c r="C29" s="222"/>
      <c r="D29" s="221">
        <f t="shared" si="0"/>
        <v>0</v>
      </c>
      <c r="E29" s="227"/>
      <c r="F29" s="148" t="e">
        <f t="shared" si="1"/>
        <v>#DIV/0!</v>
      </c>
      <c r="G29" s="220"/>
      <c r="H29" s="222"/>
      <c r="I29" s="221">
        <f t="shared" si="18"/>
        <v>0</v>
      </c>
      <c r="J29" s="227"/>
      <c r="K29" s="154" t="e">
        <f t="shared" si="3"/>
        <v>#DIV/0!</v>
      </c>
      <c r="L29" s="220"/>
      <c r="M29" s="222"/>
      <c r="N29" s="221">
        <f t="shared" si="4"/>
        <v>0</v>
      </c>
      <c r="O29" s="227"/>
      <c r="P29" s="148" t="e">
        <f t="shared" si="7"/>
        <v>#DIV/0!</v>
      </c>
    </row>
    <row r="30" spans="1:16" ht="14.1" customHeight="1" x14ac:dyDescent="0.2">
      <c r="A30" s="158" t="s">
        <v>111</v>
      </c>
      <c r="B30" s="220"/>
      <c r="C30" s="222"/>
      <c r="D30" s="221">
        <f>SUM(B30:C30)</f>
        <v>0</v>
      </c>
      <c r="E30" s="227"/>
      <c r="F30" s="159" t="e">
        <f t="shared" si="1"/>
        <v>#DIV/0!</v>
      </c>
      <c r="G30" s="220"/>
      <c r="H30" s="222"/>
      <c r="I30" s="221">
        <f>SUM(G30:H30)</f>
        <v>0</v>
      </c>
      <c r="J30" s="227"/>
      <c r="K30" s="160" t="e">
        <f t="shared" si="3"/>
        <v>#DIV/0!</v>
      </c>
      <c r="L30" s="220"/>
      <c r="M30" s="222"/>
      <c r="N30" s="221">
        <f>SUM(L30:M30)</f>
        <v>0</v>
      </c>
      <c r="O30" s="227"/>
      <c r="P30" s="159" t="e">
        <f t="shared" si="7"/>
        <v>#DIV/0!</v>
      </c>
    </row>
    <row r="31" spans="1:16" ht="14.1" customHeight="1" x14ac:dyDescent="0.2">
      <c r="A31" s="145" t="s">
        <v>112</v>
      </c>
      <c r="B31" s="220"/>
      <c r="C31" s="222"/>
      <c r="D31" s="221">
        <f>SUM(B31:C31)</f>
        <v>0</v>
      </c>
      <c r="E31" s="227"/>
      <c r="F31" s="148" t="e">
        <f t="shared" si="1"/>
        <v>#DIV/0!</v>
      </c>
      <c r="G31" s="220"/>
      <c r="H31" s="222"/>
      <c r="I31" s="221">
        <f t="shared" si="18"/>
        <v>0</v>
      </c>
      <c r="J31" s="227"/>
      <c r="K31" s="154" t="e">
        <f t="shared" si="3"/>
        <v>#DIV/0!</v>
      </c>
      <c r="L31" s="220"/>
      <c r="M31" s="222"/>
      <c r="N31" s="221">
        <f>SUM(L31:M31)</f>
        <v>0</v>
      </c>
      <c r="O31" s="227"/>
      <c r="P31" s="148" t="e">
        <f t="shared" si="7"/>
        <v>#DIV/0!</v>
      </c>
    </row>
    <row r="32" spans="1:16" ht="14.1" customHeight="1" x14ac:dyDescent="0.2">
      <c r="A32" s="161" t="s">
        <v>113</v>
      </c>
      <c r="B32" s="220"/>
      <c r="C32" s="222"/>
      <c r="D32" s="104">
        <f t="shared" si="0"/>
        <v>0</v>
      </c>
      <c r="E32" s="227"/>
      <c r="F32" s="162" t="e">
        <f t="shared" si="1"/>
        <v>#DIV/0!</v>
      </c>
      <c r="G32" s="163"/>
      <c r="H32" s="104"/>
      <c r="I32" s="104">
        <f t="shared" si="18"/>
        <v>0</v>
      </c>
      <c r="J32" s="227"/>
      <c r="K32" s="162" t="e">
        <f t="shared" si="3"/>
        <v>#DIV/0!</v>
      </c>
      <c r="L32" s="220"/>
      <c r="M32" s="222"/>
      <c r="N32" s="104">
        <f t="shared" si="4"/>
        <v>0</v>
      </c>
      <c r="O32" s="227"/>
      <c r="P32" s="162" t="e">
        <f t="shared" si="7"/>
        <v>#DIV/0!</v>
      </c>
    </row>
    <row r="33" spans="1:16" ht="13.5" thickBot="1" x14ac:dyDescent="0.25">
      <c r="A33" s="155" t="s">
        <v>77</v>
      </c>
      <c r="B33" s="164">
        <f>SUM(B21:B32)</f>
        <v>410328</v>
      </c>
      <c r="C33" s="165">
        <f>SUM(C21:C32)</f>
        <v>382195</v>
      </c>
      <c r="D33" s="165">
        <f>SUM(D21:D32)</f>
        <v>792523</v>
      </c>
      <c r="E33" s="166">
        <f>SUM(E21:E32)</f>
        <v>1411755</v>
      </c>
      <c r="F33" s="150">
        <f>(D33-E33)/E33</f>
        <v>-0.43862568221823189</v>
      </c>
      <c r="G33" s="167">
        <f>SUM(G21:G32)</f>
        <v>3637771</v>
      </c>
      <c r="H33" s="165">
        <f>SUM(H21:H32)</f>
        <v>3569426</v>
      </c>
      <c r="I33" s="165">
        <f>SUM(I21:I32)</f>
        <v>7207197</v>
      </c>
      <c r="J33" s="168">
        <f>SUM(J21:J32)</f>
        <v>13964343</v>
      </c>
      <c r="K33" s="151">
        <f>(I33-J33)/J33</f>
        <v>-0.48388570804942271</v>
      </c>
      <c r="L33" s="167">
        <f>SUM(L21:L32)</f>
        <v>4048099</v>
      </c>
      <c r="M33" s="165">
        <f>SUM(M21:M32)</f>
        <v>3951621</v>
      </c>
      <c r="N33" s="165">
        <f>SUM(N21:N32)</f>
        <v>7999720</v>
      </c>
      <c r="O33" s="166">
        <f>SUM(O21:O32)</f>
        <v>15376098</v>
      </c>
      <c r="P33" s="149">
        <f>(N33-O33)/O33</f>
        <v>-0.47973016301014731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May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P16" sqref="P16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72" t="s">
        <v>228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4"/>
    </row>
    <row r="2" spans="1:20" s="21" customFormat="1" ht="39" customHeight="1" thickBot="1" x14ac:dyDescent="0.25">
      <c r="A2" s="442">
        <v>43952</v>
      </c>
      <c r="B2" s="303" t="s">
        <v>204</v>
      </c>
      <c r="C2" s="303" t="s">
        <v>177</v>
      </c>
      <c r="D2" s="358" t="s">
        <v>84</v>
      </c>
      <c r="E2" s="303" t="s">
        <v>229</v>
      </c>
      <c r="F2" s="357" t="s">
        <v>209</v>
      </c>
      <c r="G2" s="304" t="s">
        <v>82</v>
      </c>
      <c r="H2" s="357" t="s">
        <v>178</v>
      </c>
      <c r="I2" s="303" t="s">
        <v>230</v>
      </c>
      <c r="J2" s="357" t="s">
        <v>86</v>
      </c>
      <c r="K2" s="303" t="s">
        <v>231</v>
      </c>
      <c r="L2" s="303" t="s">
        <v>232</v>
      </c>
      <c r="M2" s="303" t="s">
        <v>226</v>
      </c>
      <c r="N2" s="304" t="s">
        <v>83</v>
      </c>
      <c r="O2" s="357" t="s">
        <v>128</v>
      </c>
      <c r="P2" s="357" t="s">
        <v>21</v>
      </c>
    </row>
    <row r="3" spans="1:20" ht="15" x14ac:dyDescent="0.25">
      <c r="A3" s="127" t="s">
        <v>9</v>
      </c>
      <c r="B3" s="443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1"/>
      <c r="R3" s="322"/>
      <c r="S3" s="322"/>
      <c r="T3" s="322"/>
    </row>
    <row r="4" spans="1:20" x14ac:dyDescent="0.2">
      <c r="A4" s="31" t="s">
        <v>53</v>
      </c>
      <c r="B4" s="163">
        <f>'[3]Atlas Air'!$GT$4</f>
        <v>20</v>
      </c>
      <c r="C4" s="104">
        <f>[3]DHL!$GT$4+[3]DHL_Atlas!$GT$4+[3]DHL_Atlas!$GT$8+[3]DHL_Atlas!$GT$15</f>
        <v>2</v>
      </c>
      <c r="D4" s="83">
        <f>[3]Bemidji!$GT$4</f>
        <v>192</v>
      </c>
      <c r="E4" s="104">
        <f>[3]DHL_Encore!$GT$4+[3]DHL_Encore!$GT$15</f>
        <v>42</v>
      </c>
      <c r="F4" s="104">
        <f>[3]Encore!$GT$4+[3]Encore!$GT$15</f>
        <v>0</v>
      </c>
      <c r="G4" s="104">
        <f>[3]FedEx!$GT$4+[3]FedEx!$GT$15</f>
        <v>118</v>
      </c>
      <c r="H4" s="104">
        <f>[3]IFL!$GT$4+[3]IFL!$GT$15</f>
        <v>15</v>
      </c>
      <c r="I4" s="104">
        <f>[3]DHL_Kalitta!$GT$4+[3]DHL_Kalitta!$GT$15</f>
        <v>0</v>
      </c>
      <c r="J4" s="83">
        <f>'[3]Mountain Cargo'!$GT$4</f>
        <v>21</v>
      </c>
      <c r="K4" s="104">
        <f>[3]DHL_Southair!$GT$4+[3]DHL_Southair!$GT$15</f>
        <v>0</v>
      </c>
      <c r="L4" s="104">
        <f>[3]DHL_Swift!$GT$4+[3]DHL_Swift!$GT$15</f>
        <v>19</v>
      </c>
      <c r="M4" s="104">
        <f>+'[3]Sun Country Cargo'!$GT$4+'[3]Sun Country Cargo'!$GT$8+'[3]Sun Country Cargo'!$GT$15</f>
        <v>19</v>
      </c>
      <c r="N4" s="104">
        <f>[3]UPS!$GT$4+[3]UPS!$GT$15</f>
        <v>132</v>
      </c>
      <c r="O4" s="83">
        <f>'[3]Misc Cargo'!$GT$4</f>
        <v>0</v>
      </c>
      <c r="P4" s="412">
        <f>SUM(B4:O4)</f>
        <v>580</v>
      </c>
      <c r="R4" s="322"/>
      <c r="S4" s="322"/>
      <c r="T4" s="192"/>
    </row>
    <row r="5" spans="1:20" x14ac:dyDescent="0.2">
      <c r="A5" s="31" t="s">
        <v>54</v>
      </c>
      <c r="B5" s="444">
        <f>'[3]Atlas Air'!$GT$5</f>
        <v>20</v>
      </c>
      <c r="C5" s="126">
        <f>[3]DHL!$GT$5+[3]DHL_Atlas!$GT$5+[3]DHL_Atlas!$GT$9+[3]DHL_Atlas!$GT$16</f>
        <v>2</v>
      </c>
      <c r="D5" s="84">
        <f>[3]Bemidji!$GT$5</f>
        <v>192</v>
      </c>
      <c r="E5" s="126">
        <f>[3]DHL_Encore!$GT$5</f>
        <v>42</v>
      </c>
      <c r="F5" s="126">
        <f>[3]Encore!$GT$5</f>
        <v>0</v>
      </c>
      <c r="G5" s="126">
        <f>[3]FedEx!$GT$5</f>
        <v>118</v>
      </c>
      <c r="H5" s="126">
        <f>[3]IFL!$GT$5</f>
        <v>15</v>
      </c>
      <c r="I5" s="126">
        <f>[3]DHL_Kalitta!$GT$5</f>
        <v>0</v>
      </c>
      <c r="J5" s="84">
        <f>'[3]Mountain Cargo'!$GT$5</f>
        <v>21</v>
      </c>
      <c r="K5" s="126">
        <f>[3]DHL_Southair!$GT$5</f>
        <v>0</v>
      </c>
      <c r="L5" s="126">
        <f>[3]DHL_Swift!$GT$5</f>
        <v>19</v>
      </c>
      <c r="M5" s="126">
        <f>+'[3]Sun Country Cargo'!$GT$5+'[3]Sun Country Cargo'!$GT$9+'[3]Sun Country Cargo'!$GT$16</f>
        <v>19</v>
      </c>
      <c r="N5" s="126">
        <f>[3]UPS!$GT$5+[3]UPS!$GT$16</f>
        <v>132</v>
      </c>
      <c r="O5" s="84">
        <f>'[3]Misc Cargo'!$GT$5</f>
        <v>0</v>
      </c>
      <c r="P5" s="412">
        <f t="shared" ref="P5:P10" si="0">SUM(B5:O5)</f>
        <v>580</v>
      </c>
      <c r="R5" s="322"/>
      <c r="S5" s="322"/>
      <c r="T5" s="192"/>
    </row>
    <row r="6" spans="1:20" s="123" customFormat="1" x14ac:dyDescent="0.2">
      <c r="A6" s="129" t="s">
        <v>55</v>
      </c>
      <c r="B6" s="445">
        <f t="shared" ref="B6:O6" si="1">SUM(B4:B5)</f>
        <v>40</v>
      </c>
      <c r="C6" s="130">
        <f t="shared" si="1"/>
        <v>4</v>
      </c>
      <c r="D6" s="82">
        <f t="shared" si="1"/>
        <v>384</v>
      </c>
      <c r="E6" s="130">
        <f t="shared" si="1"/>
        <v>84</v>
      </c>
      <c r="F6" s="130">
        <f t="shared" si="1"/>
        <v>0</v>
      </c>
      <c r="G6" s="130">
        <f t="shared" si="1"/>
        <v>236</v>
      </c>
      <c r="H6" s="130">
        <f t="shared" si="1"/>
        <v>30</v>
      </c>
      <c r="I6" s="130">
        <f t="shared" si="1"/>
        <v>0</v>
      </c>
      <c r="J6" s="82">
        <f t="shared" si="1"/>
        <v>42</v>
      </c>
      <c r="K6" s="130">
        <f t="shared" si="1"/>
        <v>0</v>
      </c>
      <c r="L6" s="130">
        <f t="shared" si="1"/>
        <v>38</v>
      </c>
      <c r="M6" s="130">
        <f t="shared" si="1"/>
        <v>38</v>
      </c>
      <c r="N6" s="130">
        <f t="shared" si="1"/>
        <v>264</v>
      </c>
      <c r="O6" s="82">
        <f t="shared" si="1"/>
        <v>0</v>
      </c>
      <c r="P6" s="412">
        <f t="shared" si="0"/>
        <v>1160</v>
      </c>
      <c r="T6" s="264"/>
    </row>
    <row r="7" spans="1:20" x14ac:dyDescent="0.2">
      <c r="A7" s="31"/>
      <c r="B7" s="163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2"/>
      <c r="R7" s="300"/>
      <c r="S7" s="322"/>
      <c r="T7" s="192"/>
    </row>
    <row r="8" spans="1:20" x14ac:dyDescent="0.2">
      <c r="A8" s="31" t="s">
        <v>56</v>
      </c>
      <c r="B8" s="163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Cargo'!$GT$8</f>
        <v>0</v>
      </c>
      <c r="P8" s="412">
        <f t="shared" si="0"/>
        <v>0</v>
      </c>
      <c r="R8" s="322"/>
      <c r="S8" s="322"/>
      <c r="T8" s="192"/>
    </row>
    <row r="9" spans="1:20" ht="15" x14ac:dyDescent="0.25">
      <c r="A9" s="31" t="s">
        <v>57</v>
      </c>
      <c r="B9" s="444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Cargo'!$GT$9</f>
        <v>0</v>
      </c>
      <c r="P9" s="412">
        <f t="shared" si="0"/>
        <v>0</v>
      </c>
      <c r="R9" s="322"/>
      <c r="S9" s="8"/>
      <c r="T9" s="192"/>
    </row>
    <row r="10" spans="1:20" s="123" customFormat="1" x14ac:dyDescent="0.2">
      <c r="A10" s="129" t="s">
        <v>58</v>
      </c>
      <c r="B10" s="445">
        <f t="shared" ref="B10:O10" si="2">SUM(B8:B9)</f>
        <v>0</v>
      </c>
      <c r="C10" s="130">
        <f t="shared" si="2"/>
        <v>0</v>
      </c>
      <c r="D10" s="82">
        <f t="shared" si="2"/>
        <v>0</v>
      </c>
      <c r="E10" s="130">
        <f t="shared" si="2"/>
        <v>0</v>
      </c>
      <c r="F10" s="130">
        <f t="shared" si="2"/>
        <v>0</v>
      </c>
      <c r="G10" s="130">
        <f t="shared" si="2"/>
        <v>0</v>
      </c>
      <c r="H10" s="130">
        <f t="shared" si="2"/>
        <v>0</v>
      </c>
      <c r="I10" s="130">
        <f t="shared" si="2"/>
        <v>0</v>
      </c>
      <c r="J10" s="82">
        <f t="shared" si="2"/>
        <v>0</v>
      </c>
      <c r="K10" s="130">
        <f t="shared" si="2"/>
        <v>0</v>
      </c>
      <c r="L10" s="130">
        <f t="shared" si="2"/>
        <v>0</v>
      </c>
      <c r="M10" s="130">
        <f t="shared" si="2"/>
        <v>0</v>
      </c>
      <c r="N10" s="130">
        <f t="shared" si="2"/>
        <v>0</v>
      </c>
      <c r="O10" s="82">
        <f t="shared" si="2"/>
        <v>0</v>
      </c>
      <c r="P10" s="412">
        <f t="shared" si="0"/>
        <v>0</v>
      </c>
      <c r="T10" s="264"/>
    </row>
    <row r="11" spans="1:20" x14ac:dyDescent="0.2">
      <c r="A11" s="31"/>
      <c r="B11" s="163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1"/>
      <c r="R11" s="322"/>
      <c r="S11" s="322"/>
      <c r="T11" s="192"/>
    </row>
    <row r="12" spans="1:20" ht="18" customHeight="1" thickBot="1" x14ac:dyDescent="0.25">
      <c r="A12" s="131" t="s">
        <v>28</v>
      </c>
      <c r="B12" s="446">
        <f t="shared" ref="B12:O12" si="3">B6+B10</f>
        <v>40</v>
      </c>
      <c r="C12" s="132">
        <f t="shared" si="3"/>
        <v>4</v>
      </c>
      <c r="D12" s="133">
        <f t="shared" si="3"/>
        <v>384</v>
      </c>
      <c r="E12" s="132">
        <f t="shared" si="3"/>
        <v>84</v>
      </c>
      <c r="F12" s="132">
        <f t="shared" si="3"/>
        <v>0</v>
      </c>
      <c r="G12" s="132">
        <f t="shared" si="3"/>
        <v>236</v>
      </c>
      <c r="H12" s="132">
        <f t="shared" si="3"/>
        <v>30</v>
      </c>
      <c r="I12" s="132">
        <f t="shared" si="3"/>
        <v>0</v>
      </c>
      <c r="J12" s="133">
        <f t="shared" si="3"/>
        <v>42</v>
      </c>
      <c r="K12" s="132">
        <f t="shared" si="3"/>
        <v>0</v>
      </c>
      <c r="L12" s="132">
        <f t="shared" si="3"/>
        <v>38</v>
      </c>
      <c r="M12" s="132">
        <f t="shared" si="3"/>
        <v>38</v>
      </c>
      <c r="N12" s="132">
        <f t="shared" si="3"/>
        <v>264</v>
      </c>
      <c r="O12" s="133">
        <f t="shared" si="3"/>
        <v>0</v>
      </c>
      <c r="P12" s="414">
        <f>SUM(B12:O12)</f>
        <v>1160</v>
      </c>
      <c r="R12" s="322"/>
      <c r="S12" s="322"/>
      <c r="T12" s="192"/>
    </row>
    <row r="13" spans="1:20" ht="18" customHeight="1" thickBot="1" x14ac:dyDescent="0.25">
      <c r="A13" s="114"/>
      <c r="B13" s="447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2"/>
      <c r="S13" s="322"/>
      <c r="T13" s="192"/>
    </row>
    <row r="14" spans="1:20" ht="15" x14ac:dyDescent="0.25">
      <c r="A14" s="134" t="s">
        <v>93</v>
      </c>
      <c r="B14" s="448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15"/>
      <c r="R14" s="322"/>
      <c r="S14" s="322"/>
      <c r="T14" s="192"/>
    </row>
    <row r="15" spans="1:20" x14ac:dyDescent="0.2">
      <c r="A15" s="136" t="s">
        <v>94</v>
      </c>
      <c r="B15" s="163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2"/>
      <c r="S15" s="322"/>
      <c r="T15" s="192"/>
    </row>
    <row r="16" spans="1:20" x14ac:dyDescent="0.2">
      <c r="A16" s="31" t="s">
        <v>37</v>
      </c>
      <c r="B16" s="163">
        <f>'[3]Atlas Air'!$GT$47</f>
        <v>1682654</v>
      </c>
      <c r="C16" s="104">
        <f>[3]DHL!$GT$47+[3]DHL_Atlas!$GT$47</f>
        <v>82735</v>
      </c>
      <c r="D16" s="475" t="s">
        <v>87</v>
      </c>
      <c r="E16" s="104">
        <f>[3]DHL_Encore!$GT$47</f>
        <v>80201</v>
      </c>
      <c r="F16" s="104">
        <f>[3]Encore!$GT$47</f>
        <v>0</v>
      </c>
      <c r="G16" s="104">
        <f>[3]FedEx!$GT$47</f>
        <v>8560552</v>
      </c>
      <c r="H16" s="104">
        <f>[3]IFL!$GT$47</f>
        <v>49063</v>
      </c>
      <c r="I16" s="104">
        <f>[3]DHL_Kalitta!$GT$47</f>
        <v>0</v>
      </c>
      <c r="J16" s="83">
        <f>'[3]Mountain Cargo'!$GT$47</f>
        <v>0</v>
      </c>
      <c r="K16" s="104">
        <f>[3]DHL_Southair!$GT$47</f>
        <v>0</v>
      </c>
      <c r="L16" s="104">
        <f>[3]DHL_Swift!$GT$47</f>
        <v>628262</v>
      </c>
      <c r="M16" s="104">
        <f>+'[3]Sun Country Cargo'!$GT$47</f>
        <v>409600</v>
      </c>
      <c r="N16" s="104">
        <f>[3]UPS!$GT$47</f>
        <v>6117875</v>
      </c>
      <c r="O16" s="83">
        <f>'[3]Misc Cargo'!$GT$47</f>
        <v>0</v>
      </c>
      <c r="P16" s="412">
        <f>SUM(B16:C16)+SUM(E16:O16)</f>
        <v>17610942</v>
      </c>
      <c r="R16" s="322"/>
      <c r="S16" s="322"/>
      <c r="T16" s="192"/>
    </row>
    <row r="17" spans="1:20" x14ac:dyDescent="0.2">
      <c r="A17" s="31" t="s">
        <v>38</v>
      </c>
      <c r="B17" s="163">
        <f>'[3]Atlas Air'!$GT$48</f>
        <v>0</v>
      </c>
      <c r="C17" s="104">
        <f>[3]DHL!$GT$48</f>
        <v>0</v>
      </c>
      <c r="D17" s="476"/>
      <c r="E17" s="104">
        <f>[3]DHL_Encore!$GT$48</f>
        <v>0</v>
      </c>
      <c r="F17" s="104">
        <f>[3]Encore!$GT$48</f>
        <v>0</v>
      </c>
      <c r="G17" s="104">
        <f>[3]FedEx!$GT$48</f>
        <v>0</v>
      </c>
      <c r="H17" s="104">
        <f>[3]IFL!$GT$48</f>
        <v>0</v>
      </c>
      <c r="I17" s="104">
        <f>[3]DHL_Kalitta!$GT$48</f>
        <v>0</v>
      </c>
      <c r="J17" s="83">
        <f>'[3]Mountain Cargo'!$GT$48</f>
        <v>61847</v>
      </c>
      <c r="K17" s="104">
        <f>[3]DHL_Southair!$GT$48</f>
        <v>0</v>
      </c>
      <c r="L17" s="104">
        <f>[3]DHL_Swift!$GT$48</f>
        <v>0</v>
      </c>
      <c r="M17" s="104">
        <f>+'[3]Sun Country Cargo'!$GT$48</f>
        <v>0</v>
      </c>
      <c r="N17" s="104">
        <f>[3]UPS!$GT$48</f>
        <v>0</v>
      </c>
      <c r="O17" s="83">
        <f>'[3]Misc Cargo'!$GT$48</f>
        <v>0</v>
      </c>
      <c r="P17" s="412">
        <f>SUM(B17:C17)+SUM(E17:O17)</f>
        <v>61847</v>
      </c>
      <c r="R17" s="322"/>
      <c r="S17" s="322"/>
      <c r="T17" s="192"/>
    </row>
    <row r="18" spans="1:20" ht="18" customHeight="1" x14ac:dyDescent="0.2">
      <c r="A18" s="137" t="s">
        <v>39</v>
      </c>
      <c r="B18" s="449">
        <f>SUM(B16:B17)</f>
        <v>1682654</v>
      </c>
      <c r="C18" s="196">
        <f>SUM(C16:C17)</f>
        <v>82735</v>
      </c>
      <c r="D18" s="476"/>
      <c r="E18" s="196">
        <f>SUM(E16:E17)</f>
        <v>80201</v>
      </c>
      <c r="F18" s="196">
        <f>SUM(F16:F17)</f>
        <v>0</v>
      </c>
      <c r="G18" s="196">
        <f>SUM(G16:G17)</f>
        <v>8560552</v>
      </c>
      <c r="H18" s="196">
        <f>SUM(H16:H17)</f>
        <v>49063</v>
      </c>
      <c r="I18" s="196">
        <f t="shared" ref="I18:O18" si="4">SUM(I16:I17)</f>
        <v>0</v>
      </c>
      <c r="J18" s="197">
        <f t="shared" si="4"/>
        <v>61847</v>
      </c>
      <c r="K18" s="196">
        <f t="shared" si="4"/>
        <v>0</v>
      </c>
      <c r="L18" s="196">
        <f t="shared" si="4"/>
        <v>628262</v>
      </c>
      <c r="M18" s="196">
        <f t="shared" si="4"/>
        <v>409600</v>
      </c>
      <c r="N18" s="196">
        <f t="shared" si="4"/>
        <v>6117875</v>
      </c>
      <c r="O18" s="197">
        <f t="shared" si="4"/>
        <v>0</v>
      </c>
      <c r="P18" s="416">
        <f>SUM(B18:C18)+SUM(E18:O18)</f>
        <v>17672789</v>
      </c>
      <c r="R18" s="322"/>
      <c r="S18" s="322"/>
      <c r="T18" s="192"/>
    </row>
    <row r="19" spans="1:20" x14ac:dyDescent="0.2">
      <c r="A19" s="31"/>
      <c r="B19" s="163"/>
      <c r="C19" s="104"/>
      <c r="D19" s="476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2"/>
      <c r="R19" s="300"/>
      <c r="S19" s="322"/>
      <c r="T19" s="192"/>
    </row>
    <row r="20" spans="1:20" x14ac:dyDescent="0.2">
      <c r="A20" s="136" t="s">
        <v>88</v>
      </c>
      <c r="B20" s="163"/>
      <c r="C20" s="104"/>
      <c r="D20" s="476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2"/>
      <c r="R20" s="300"/>
      <c r="S20" s="322"/>
      <c r="T20" s="192"/>
    </row>
    <row r="21" spans="1:20" x14ac:dyDescent="0.2">
      <c r="A21" s="31" t="s">
        <v>59</v>
      </c>
      <c r="B21" s="163">
        <f>'[3]Atlas Air'!$GT$52</f>
        <v>532881</v>
      </c>
      <c r="C21" s="104">
        <f>[3]DHL!$GT$52+[3]DHL_Atlas!$GT$52</f>
        <v>83847</v>
      </c>
      <c r="D21" s="476"/>
      <c r="E21" s="104">
        <f>[3]DHL_Encore!$GT$52</f>
        <v>47807</v>
      </c>
      <c r="F21" s="104">
        <f>[3]Encore!$GT$52</f>
        <v>0</v>
      </c>
      <c r="G21" s="104">
        <f>[3]FedEx!$GT$52</f>
        <v>7122467</v>
      </c>
      <c r="H21" s="104">
        <f>[3]IFL!$GT$52</f>
        <v>0</v>
      </c>
      <c r="I21" s="104">
        <f>[3]DHL_Kalitta!$GT$52</f>
        <v>0</v>
      </c>
      <c r="J21" s="83">
        <f>'[3]Mountain Cargo'!$GT$52</f>
        <v>0</v>
      </c>
      <c r="K21" s="104">
        <f>[3]DHL_Southair!$GT$52</f>
        <v>0</v>
      </c>
      <c r="L21" s="104">
        <f>[3]DHL_Swift!$GT$52</f>
        <v>435210</v>
      </c>
      <c r="M21" s="104">
        <f>+'[3]Sun Country Cargo'!$GT$52</f>
        <v>298000</v>
      </c>
      <c r="N21" s="104">
        <f>[3]UPS!$GT$52</f>
        <v>4613131</v>
      </c>
      <c r="O21" s="83">
        <f>'[3]Misc Cargo'!$GT$52</f>
        <v>0</v>
      </c>
      <c r="P21" s="412">
        <f>SUM(B21:C21)+SUM(E21:O21)</f>
        <v>13133343</v>
      </c>
      <c r="R21" s="322"/>
      <c r="S21" s="322"/>
      <c r="T21" s="192"/>
    </row>
    <row r="22" spans="1:20" x14ac:dyDescent="0.2">
      <c r="A22" s="31" t="s">
        <v>60</v>
      </c>
      <c r="B22" s="163">
        <f>'[3]Atlas Air'!$GT$53</f>
        <v>0</v>
      </c>
      <c r="C22" s="104">
        <f>[3]DHL!$GT$53</f>
        <v>0</v>
      </c>
      <c r="D22" s="476"/>
      <c r="E22" s="104">
        <f>[3]DHL_Encore!$GT$53</f>
        <v>0</v>
      </c>
      <c r="F22" s="104">
        <f>[3]Encore!$GT$53</f>
        <v>0</v>
      </c>
      <c r="G22" s="104">
        <f>[3]FedEx!$GT$53</f>
        <v>0</v>
      </c>
      <c r="H22" s="104">
        <f>[3]IFL!$GT$53</f>
        <v>0</v>
      </c>
      <c r="I22" s="104">
        <f>[3]DHL_Kalitta!$GT$53</f>
        <v>0</v>
      </c>
      <c r="J22" s="83">
        <f>'[3]Mountain Cargo'!$GT$53</f>
        <v>121151</v>
      </c>
      <c r="K22" s="104">
        <f>[3]DHL_Southair!$GT$53</f>
        <v>0</v>
      </c>
      <c r="L22" s="104">
        <f>[3]DHL_Swift!$GT$53</f>
        <v>0</v>
      </c>
      <c r="M22" s="104">
        <f>+'[3]Sun Country Cargo'!$GT$53</f>
        <v>0</v>
      </c>
      <c r="N22" s="104">
        <f>[3]UPS!$GT$53</f>
        <v>398340</v>
      </c>
      <c r="O22" s="83">
        <f>'[3]Misc Cargo'!$GT$53</f>
        <v>0</v>
      </c>
      <c r="P22" s="412">
        <f>SUM(B22:C22)+SUM(E22:O22)</f>
        <v>519491</v>
      </c>
      <c r="R22" s="322"/>
      <c r="S22" s="322"/>
      <c r="T22" s="192"/>
    </row>
    <row r="23" spans="1:20" ht="18" customHeight="1" x14ac:dyDescent="0.2">
      <c r="A23" s="137" t="s">
        <v>41</v>
      </c>
      <c r="B23" s="449">
        <f>SUM(B21:B22)</f>
        <v>532881</v>
      </c>
      <c r="C23" s="196">
        <f>SUM(C21:C22)</f>
        <v>83847</v>
      </c>
      <c r="D23" s="476"/>
      <c r="E23" s="196">
        <f t="shared" ref="E23:O23" si="5">SUM(E21:E22)</f>
        <v>47807</v>
      </c>
      <c r="F23" s="196">
        <f t="shared" si="5"/>
        <v>0</v>
      </c>
      <c r="G23" s="196">
        <f t="shared" si="5"/>
        <v>7122467</v>
      </c>
      <c r="H23" s="196">
        <f t="shared" si="5"/>
        <v>0</v>
      </c>
      <c r="I23" s="196">
        <f t="shared" si="5"/>
        <v>0</v>
      </c>
      <c r="J23" s="197">
        <f t="shared" si="5"/>
        <v>121151</v>
      </c>
      <c r="K23" s="196">
        <f t="shared" si="5"/>
        <v>0</v>
      </c>
      <c r="L23" s="196">
        <f t="shared" si="5"/>
        <v>435210</v>
      </c>
      <c r="M23" s="196">
        <f t="shared" si="5"/>
        <v>298000</v>
      </c>
      <c r="N23" s="196">
        <f t="shared" si="5"/>
        <v>5011471</v>
      </c>
      <c r="O23" s="197">
        <f t="shared" si="5"/>
        <v>0</v>
      </c>
      <c r="P23" s="416">
        <f t="shared" ref="P23" si="6">SUM(B23:C23)+SUM(E23:O23)</f>
        <v>13652834</v>
      </c>
      <c r="R23" s="322"/>
      <c r="S23" s="322"/>
      <c r="T23" s="192"/>
    </row>
    <row r="24" spans="1:20" x14ac:dyDescent="0.2">
      <c r="A24" s="31"/>
      <c r="B24" s="163"/>
      <c r="C24" s="104"/>
      <c r="D24" s="476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2"/>
      <c r="R24" s="322"/>
      <c r="S24" s="322"/>
      <c r="T24" s="192"/>
    </row>
    <row r="25" spans="1:20" x14ac:dyDescent="0.2">
      <c r="A25" s="136" t="s">
        <v>95</v>
      </c>
      <c r="B25" s="163"/>
      <c r="C25" s="104"/>
      <c r="D25" s="476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2"/>
      <c r="R25" s="322"/>
      <c r="S25" s="322"/>
      <c r="T25" s="192"/>
    </row>
    <row r="26" spans="1:20" x14ac:dyDescent="0.2">
      <c r="A26" s="31" t="s">
        <v>59</v>
      </c>
      <c r="B26" s="163">
        <f>'[3]Atlas Air'!$GT$57</f>
        <v>0</v>
      </c>
      <c r="C26" s="104">
        <f>[3]DHL!$GT$57</f>
        <v>0</v>
      </c>
      <c r="D26" s="476"/>
      <c r="E26" s="104">
        <f>[3]DHL_Encore!$GT$57</f>
        <v>0</v>
      </c>
      <c r="F26" s="104">
        <f>[3]Encore!$GT$57</f>
        <v>0</v>
      </c>
      <c r="G26" s="104">
        <f>[3]FedEx!$GT$57</f>
        <v>0</v>
      </c>
      <c r="H26" s="104">
        <f>[3]IFL!$GT$57</f>
        <v>0</v>
      </c>
      <c r="I26" s="104">
        <f>[3]DHL_Kalitta!$GT$57</f>
        <v>0</v>
      </c>
      <c r="J26" s="83">
        <f>'[3]Mountain Cargo'!$GT$57</f>
        <v>0</v>
      </c>
      <c r="K26" s="104">
        <f>[3]DHL_Southair!$GT$57</f>
        <v>0</v>
      </c>
      <c r="L26" s="104">
        <f>[3]DHL_Swift!$GT$57</f>
        <v>0</v>
      </c>
      <c r="M26" s="104">
        <f>+'[3]Sun Country Cargo'!$GT$57</f>
        <v>0</v>
      </c>
      <c r="N26" s="104">
        <f>[3]UPS!$GT$57</f>
        <v>0</v>
      </c>
      <c r="O26" s="83">
        <f>'[3]Misc Cargo'!$GT$57</f>
        <v>0</v>
      </c>
      <c r="P26" s="412">
        <f t="shared" ref="P26:P28" si="7">SUM(B26:C26)+SUM(E26:O26)</f>
        <v>0</v>
      </c>
      <c r="R26" s="322"/>
      <c r="S26" s="322"/>
      <c r="T26" s="322"/>
    </row>
    <row r="27" spans="1:20" x14ac:dyDescent="0.2">
      <c r="A27" s="31" t="s">
        <v>60</v>
      </c>
      <c r="B27" s="163">
        <f>'[3]Atlas Air'!$GT$58</f>
        <v>0</v>
      </c>
      <c r="C27" s="104">
        <f>[3]DHL!$GT$58</f>
        <v>0</v>
      </c>
      <c r="D27" s="476"/>
      <c r="E27" s="104">
        <f>[3]DHL_Encore!$GT$58</f>
        <v>0</v>
      </c>
      <c r="F27" s="104">
        <f>[3]Encore!$GT$58</f>
        <v>0</v>
      </c>
      <c r="G27" s="104">
        <f>[3]FedEx!$GT$58</f>
        <v>0</v>
      </c>
      <c r="H27" s="104">
        <f>[3]IFL!$GT$58</f>
        <v>0</v>
      </c>
      <c r="I27" s="104">
        <f>[3]DHL_Kalitta!$GT$58</f>
        <v>0</v>
      </c>
      <c r="J27" s="83">
        <f>'[3]Mountain Cargo'!$GT$58</f>
        <v>0</v>
      </c>
      <c r="K27" s="104">
        <f>[3]DHL_Southair!$GT$58</f>
        <v>0</v>
      </c>
      <c r="L27" s="104">
        <f>[3]DHL_Swift!$GT$58</f>
        <v>0</v>
      </c>
      <c r="M27" s="104">
        <f>+'[3]Sun Country Cargo'!$GT$58</f>
        <v>0</v>
      </c>
      <c r="N27" s="104">
        <f>[3]UPS!$GT$58</f>
        <v>0</v>
      </c>
      <c r="O27" s="83">
        <f>'[3]Misc Cargo'!$GT$58</f>
        <v>0</v>
      </c>
      <c r="P27" s="412">
        <f t="shared" si="7"/>
        <v>0</v>
      </c>
      <c r="R27" s="322"/>
      <c r="S27" s="322"/>
      <c r="T27" s="192"/>
    </row>
    <row r="28" spans="1:20" ht="18" customHeight="1" x14ac:dyDescent="0.2">
      <c r="A28" s="137" t="s">
        <v>43</v>
      </c>
      <c r="B28" s="449">
        <f>SUM(B26:B27)</f>
        <v>0</v>
      </c>
      <c r="C28" s="196">
        <f>SUM(C26:C27)</f>
        <v>0</v>
      </c>
      <c r="D28" s="476"/>
      <c r="E28" s="196">
        <f t="shared" ref="E28:O28" si="8">SUM(E26:E27)</f>
        <v>0</v>
      </c>
      <c r="F28" s="196">
        <f t="shared" si="8"/>
        <v>0</v>
      </c>
      <c r="G28" s="196">
        <f t="shared" si="8"/>
        <v>0</v>
      </c>
      <c r="H28" s="196">
        <f t="shared" si="8"/>
        <v>0</v>
      </c>
      <c r="I28" s="196">
        <f t="shared" si="8"/>
        <v>0</v>
      </c>
      <c r="J28" s="197">
        <f t="shared" si="8"/>
        <v>0</v>
      </c>
      <c r="K28" s="196">
        <f t="shared" si="8"/>
        <v>0</v>
      </c>
      <c r="L28" s="196">
        <f t="shared" si="8"/>
        <v>0</v>
      </c>
      <c r="M28" s="196">
        <f t="shared" si="8"/>
        <v>0</v>
      </c>
      <c r="N28" s="196">
        <f t="shared" si="8"/>
        <v>0</v>
      </c>
      <c r="O28" s="197">
        <f t="shared" si="8"/>
        <v>0</v>
      </c>
      <c r="P28" s="416">
        <f t="shared" si="7"/>
        <v>0</v>
      </c>
      <c r="R28" s="322"/>
      <c r="S28" s="322"/>
      <c r="T28" s="322"/>
    </row>
    <row r="29" spans="1:20" x14ac:dyDescent="0.2">
      <c r="A29" s="31"/>
      <c r="B29" s="163"/>
      <c r="C29" s="104"/>
      <c r="D29" s="476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2"/>
      <c r="R29" s="322"/>
      <c r="S29" s="322"/>
      <c r="T29" s="322"/>
    </row>
    <row r="30" spans="1:20" x14ac:dyDescent="0.2">
      <c r="A30" s="138" t="s">
        <v>44</v>
      </c>
      <c r="B30" s="163"/>
      <c r="C30" s="104"/>
      <c r="D30" s="476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2"/>
      <c r="R30" s="322"/>
      <c r="S30" s="322"/>
      <c r="T30" s="322"/>
    </row>
    <row r="31" spans="1:20" x14ac:dyDescent="0.2">
      <c r="A31" s="31" t="s">
        <v>89</v>
      </c>
      <c r="B31" s="163">
        <f>B26+B21+B16</f>
        <v>2215535</v>
      </c>
      <c r="C31" s="104">
        <f t="shared" ref="C31:O33" si="9">C26+C21+C16</f>
        <v>166582</v>
      </c>
      <c r="D31" s="476"/>
      <c r="E31" s="104">
        <f t="shared" ref="E31:M33" si="10">E26+E21+E16</f>
        <v>128008</v>
      </c>
      <c r="F31" s="104">
        <f t="shared" si="10"/>
        <v>0</v>
      </c>
      <c r="G31" s="104">
        <f t="shared" si="10"/>
        <v>15683019</v>
      </c>
      <c r="H31" s="104">
        <f t="shared" si="10"/>
        <v>49063</v>
      </c>
      <c r="I31" s="104">
        <f t="shared" si="10"/>
        <v>0</v>
      </c>
      <c r="J31" s="83">
        <f>J26+J21+J16</f>
        <v>0</v>
      </c>
      <c r="K31" s="104">
        <f t="shared" si="10"/>
        <v>0</v>
      </c>
      <c r="L31" s="104">
        <f t="shared" si="10"/>
        <v>1063472</v>
      </c>
      <c r="M31" s="104">
        <f t="shared" si="10"/>
        <v>707600</v>
      </c>
      <c r="N31" s="104">
        <f t="shared" si="9"/>
        <v>10731006</v>
      </c>
      <c r="O31" s="83">
        <f>O26+O21+O16</f>
        <v>0</v>
      </c>
      <c r="P31" s="412">
        <f>SUM(B31:C31)+SUM(E31:O31)</f>
        <v>30744285</v>
      </c>
    </row>
    <row r="32" spans="1:20" x14ac:dyDescent="0.2">
      <c r="A32" s="31" t="s">
        <v>60</v>
      </c>
      <c r="B32" s="163">
        <f>B27+B22+B17</f>
        <v>0</v>
      </c>
      <c r="C32" s="104">
        <f t="shared" si="9"/>
        <v>0</v>
      </c>
      <c r="D32" s="477"/>
      <c r="E32" s="104">
        <f t="shared" si="10"/>
        <v>0</v>
      </c>
      <c r="F32" s="104">
        <f t="shared" si="10"/>
        <v>0</v>
      </c>
      <c r="G32" s="104">
        <f t="shared" si="10"/>
        <v>0</v>
      </c>
      <c r="H32" s="104">
        <f t="shared" si="10"/>
        <v>0</v>
      </c>
      <c r="I32" s="104">
        <f t="shared" si="10"/>
        <v>0</v>
      </c>
      <c r="J32" s="83">
        <f>J27+J22+J17</f>
        <v>182998</v>
      </c>
      <c r="K32" s="104">
        <f t="shared" si="10"/>
        <v>0</v>
      </c>
      <c r="L32" s="104">
        <f t="shared" si="10"/>
        <v>0</v>
      </c>
      <c r="M32" s="104">
        <f t="shared" si="10"/>
        <v>0</v>
      </c>
      <c r="N32" s="104">
        <f t="shared" si="9"/>
        <v>398340</v>
      </c>
      <c r="O32" s="83">
        <f>O27+O22+O17</f>
        <v>0</v>
      </c>
      <c r="P32" s="413">
        <f>SUM(B32:C32)+SUM(E32:O32)</f>
        <v>581338</v>
      </c>
    </row>
    <row r="33" spans="1:16" ht="18" customHeight="1" thickBot="1" x14ac:dyDescent="0.25">
      <c r="A33" s="131" t="s">
        <v>46</v>
      </c>
      <c r="B33" s="446">
        <f>B28+B23+B18</f>
        <v>2215535</v>
      </c>
      <c r="C33" s="132">
        <f>C28+C23+C18</f>
        <v>166582</v>
      </c>
      <c r="D33" s="198">
        <f>D28+D23+D18</f>
        <v>0</v>
      </c>
      <c r="E33" s="132">
        <f>E28+E23+E18</f>
        <v>128008</v>
      </c>
      <c r="F33" s="132">
        <f>F28+F23+F18</f>
        <v>0</v>
      </c>
      <c r="G33" s="132">
        <f t="shared" si="10"/>
        <v>15683019</v>
      </c>
      <c r="H33" s="132">
        <f t="shared" si="10"/>
        <v>49063</v>
      </c>
      <c r="I33" s="132">
        <f t="shared" si="10"/>
        <v>0</v>
      </c>
      <c r="J33" s="133">
        <f>J28+J23+J18</f>
        <v>182998</v>
      </c>
      <c r="K33" s="132">
        <f t="shared" si="10"/>
        <v>0</v>
      </c>
      <c r="L33" s="132">
        <f t="shared" si="10"/>
        <v>1063472</v>
      </c>
      <c r="M33" s="132">
        <f t="shared" si="9"/>
        <v>707600</v>
      </c>
      <c r="N33" s="132">
        <f t="shared" si="9"/>
        <v>11129346</v>
      </c>
      <c r="O33" s="133">
        <f t="shared" si="9"/>
        <v>0</v>
      </c>
      <c r="P33" s="414">
        <f>SUM(B33:C33)+SUM(E33:O33)</f>
        <v>31325623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May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="115" zoomScaleNormal="115" workbookViewId="0">
      <selection activeCell="I6" sqref="I6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5.7109375" style="2" bestFit="1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7">
        <v>43952</v>
      </c>
      <c r="B2" s="50" t="s">
        <v>63</v>
      </c>
      <c r="C2" s="50" t="s">
        <v>64</v>
      </c>
      <c r="D2" s="50" t="s">
        <v>65</v>
      </c>
      <c r="E2" s="209" t="s">
        <v>75</v>
      </c>
      <c r="F2" s="51" t="s">
        <v>216</v>
      </c>
      <c r="G2" s="51" t="s">
        <v>203</v>
      </c>
      <c r="H2" s="52" t="s">
        <v>66</v>
      </c>
      <c r="I2" s="53" t="s">
        <v>214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396517</v>
      </c>
      <c r="C5" s="83">
        <f>'Regional Major'!M25</f>
        <v>3092</v>
      </c>
      <c r="D5" s="83">
        <f>Cargo!P16</f>
        <v>17610942</v>
      </c>
      <c r="E5" s="83">
        <f>SUM(B5:D5)</f>
        <v>18010551</v>
      </c>
      <c r="F5" s="83">
        <f>E5*0.00045359237</f>
        <v>8169.4485130958701</v>
      </c>
      <c r="G5" s="83">
        <f>'[1]Cargo Summary'!F5</f>
        <v>7615.31739428537</v>
      </c>
      <c r="H5" s="70">
        <f>(F5-G5)/G5</f>
        <v>7.2765334669612991E-2</v>
      </c>
      <c r="I5" s="83">
        <f>+F5+'[2]Cargo Summary'!I5</f>
        <v>42191.794222812081</v>
      </c>
      <c r="J5" s="83">
        <f>'[1]Cargo Summary'!I5</f>
        <v>43659.375553029393</v>
      </c>
      <c r="K5" s="58">
        <f>(I5-J5)/J5</f>
        <v>-3.3614345409836738E-2</v>
      </c>
      <c r="M5" s="19"/>
    </row>
    <row r="6" spans="1:18" x14ac:dyDescent="0.2">
      <c r="A6" s="38" t="s">
        <v>16</v>
      </c>
      <c r="B6" s="108">
        <f>'Major Airline Stats'!K29</f>
        <v>696500</v>
      </c>
      <c r="C6" s="83">
        <f>'Regional Major'!M26</f>
        <v>0</v>
      </c>
      <c r="D6" s="83">
        <f>Cargo!P17</f>
        <v>61847</v>
      </c>
      <c r="E6" s="83">
        <f>SUM(B6:D6)</f>
        <v>758347</v>
      </c>
      <c r="F6" s="83">
        <f>E6*0.00045359237</f>
        <v>343.98041301238999</v>
      </c>
      <c r="G6" s="83">
        <f>'[1]Cargo Summary'!F6</f>
        <v>898.78012697627003</v>
      </c>
      <c r="H6" s="3">
        <f>(F6-G6)/G6</f>
        <v>-0.61728079795263224</v>
      </c>
      <c r="I6" s="83">
        <f>+F6+'[2]Cargo Summary'!I6</f>
        <v>2728.0596417705397</v>
      </c>
      <c r="J6" s="83">
        <f>'[1]Cargo Summary'!I6</f>
        <v>4255.7977528743604</v>
      </c>
      <c r="K6" s="58">
        <f>(I6-J6)/J6</f>
        <v>-0.35897808115340735</v>
      </c>
      <c r="M6" s="19"/>
    </row>
    <row r="7" spans="1:18" ht="18" customHeight="1" thickBot="1" x14ac:dyDescent="0.25">
      <c r="A7" s="47" t="s">
        <v>72</v>
      </c>
      <c r="B7" s="110">
        <f>SUM(B5:B6)</f>
        <v>1093017</v>
      </c>
      <c r="C7" s="91">
        <f t="shared" ref="C7:J7" si="0">SUM(C5:C6)</f>
        <v>3092</v>
      </c>
      <c r="D7" s="91">
        <f t="shared" si="0"/>
        <v>17672789</v>
      </c>
      <c r="E7" s="91">
        <f t="shared" si="0"/>
        <v>18768898</v>
      </c>
      <c r="F7" s="91">
        <f t="shared" si="0"/>
        <v>8513.4289261082595</v>
      </c>
      <c r="G7" s="91">
        <f t="shared" si="0"/>
        <v>8514.0975212616395</v>
      </c>
      <c r="H7" s="22">
        <f>(F7-G7)/G7</f>
        <v>-7.8528012124641099E-5</v>
      </c>
      <c r="I7" s="91">
        <f t="shared" si="0"/>
        <v>44919.853864582619</v>
      </c>
      <c r="J7" s="91">
        <f t="shared" si="0"/>
        <v>47915.173305903751</v>
      </c>
      <c r="K7" s="211">
        <f>(I7-J7)/J7</f>
        <v>-6.2512962693428695E-2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223503</v>
      </c>
      <c r="C10" s="83">
        <f>'Regional Major'!M30</f>
        <v>968</v>
      </c>
      <c r="D10" s="83">
        <f>Cargo!P21</f>
        <v>13133343</v>
      </c>
      <c r="E10" s="83">
        <f>SUM(B10:D10)</f>
        <v>13357814</v>
      </c>
      <c r="F10" s="83">
        <f>E10*0.00045359237</f>
        <v>6059.0025102791797</v>
      </c>
      <c r="G10" s="83">
        <f>'[1]Cargo Summary'!F10</f>
        <v>8263.1752116937096</v>
      </c>
      <c r="H10" s="3">
        <f>(F10-G10)/G10</f>
        <v>-0.26674645580493977</v>
      </c>
      <c r="I10" s="83">
        <f>+F10+'[2]Cargo Summary'!I10</f>
        <v>34176.906402608969</v>
      </c>
      <c r="J10" s="83">
        <f>'[1]Cargo Summary'!I10</f>
        <v>38155.217662358715</v>
      </c>
      <c r="K10" s="58">
        <f>(I10-J10)/J10</f>
        <v>-0.10426650674501252</v>
      </c>
      <c r="M10" s="19"/>
    </row>
    <row r="11" spans="1:18" x14ac:dyDescent="0.2">
      <c r="A11" s="38" t="s">
        <v>16</v>
      </c>
      <c r="B11" s="108">
        <f>'Major Airline Stats'!K34</f>
        <v>737685</v>
      </c>
      <c r="C11" s="83">
        <f>'Regional Major'!M31</f>
        <v>0</v>
      </c>
      <c r="D11" s="83">
        <f>Cargo!P22</f>
        <v>519491</v>
      </c>
      <c r="E11" s="83">
        <f>SUM(B11:D11)</f>
        <v>1257176</v>
      </c>
      <c r="F11" s="83">
        <f>E11*0.00045359237</f>
        <v>570.24544134711994</v>
      </c>
      <c r="G11" s="83">
        <f>'[1]Cargo Summary'!F11</f>
        <v>1259.9122282754699</v>
      </c>
      <c r="H11" s="19">
        <f>(F11-G11)/G11</f>
        <v>-0.54739272423154839</v>
      </c>
      <c r="I11" s="83">
        <f>+F11+'[2]Cargo Summary'!I11</f>
        <v>4245.3206763121007</v>
      </c>
      <c r="J11" s="83">
        <f>'[1]Cargo Summary'!I11</f>
        <v>6381.0471962783695</v>
      </c>
      <c r="K11" s="58">
        <f>(I11-J11)/J11</f>
        <v>-0.33469843652181303</v>
      </c>
      <c r="M11" s="19"/>
    </row>
    <row r="12" spans="1:18" ht="18" customHeight="1" thickBot="1" x14ac:dyDescent="0.25">
      <c r="A12" s="47" t="s">
        <v>73</v>
      </c>
      <c r="B12" s="110">
        <f>SUM(B10:B11)</f>
        <v>961188</v>
      </c>
      <c r="C12" s="91">
        <f t="shared" ref="C12:J12" si="1">SUM(C10:C11)</f>
        <v>968</v>
      </c>
      <c r="D12" s="91">
        <f t="shared" si="1"/>
        <v>13652834</v>
      </c>
      <c r="E12" s="91">
        <f t="shared" si="1"/>
        <v>14614990</v>
      </c>
      <c r="F12" s="91">
        <f t="shared" si="1"/>
        <v>6629.2479516262993</v>
      </c>
      <c r="G12" s="91">
        <f t="shared" si="1"/>
        <v>9523.0874399691802</v>
      </c>
      <c r="H12" s="22">
        <f>(F12-G12)/G12</f>
        <v>-0.30387618580474218</v>
      </c>
      <c r="I12" s="91">
        <f t="shared" si="1"/>
        <v>38422.227078921067</v>
      </c>
      <c r="J12" s="91">
        <f t="shared" si="1"/>
        <v>44536.264858637085</v>
      </c>
      <c r="K12" s="211">
        <f>(I12-J12)/J12</f>
        <v>-0.13728223054004718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Cargo!N26</f>
        <v>0</v>
      </c>
      <c r="E15" s="83">
        <f>SUM(B15:D15)</f>
        <v>0</v>
      </c>
      <c r="F15" s="83">
        <f>E15*0.00045359237</f>
        <v>0</v>
      </c>
      <c r="G15" s="83">
        <f>'[1]Cargo Summary'!F15</f>
        <v>0</v>
      </c>
      <c r="H15" t="e">
        <f>(F15-G15)/G15</f>
        <v>#DIV/0!</v>
      </c>
      <c r="I15" s="83">
        <f>+F15+'[2]Cargo Summary'!I15</f>
        <v>0</v>
      </c>
      <c r="J15" s="83">
        <f>'[1]Cargo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Cargo!N27</f>
        <v>0</v>
      </c>
      <c r="E16" s="83">
        <f>SUM(B16:D16)</f>
        <v>0</v>
      </c>
      <c r="F16" s="83">
        <f>E16*0.00045359237</f>
        <v>0</v>
      </c>
      <c r="G16" s="83">
        <f>'[1]Cargo Summary'!F16</f>
        <v>0</v>
      </c>
      <c r="H16" s="3" t="e">
        <f>(F16-G16)/G16</f>
        <v>#DIV/0!</v>
      </c>
      <c r="I16" s="83">
        <f>+F16+'[2]Cargo Summary'!I16</f>
        <v>0</v>
      </c>
      <c r="J16" s="83">
        <f>'[1]Cargo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1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 t="shared" ref="B20:C21" si="3">B15+B10+B5</f>
        <v>620020</v>
      </c>
      <c r="C20" s="83">
        <f t="shared" si="3"/>
        <v>4060</v>
      </c>
      <c r="D20" s="83">
        <f>D15+D10+D5</f>
        <v>30744285</v>
      </c>
      <c r="E20" s="83">
        <f>SUM(B20:D20)</f>
        <v>31368365</v>
      </c>
      <c r="F20" s="83">
        <f>E20*0.00045359237</f>
        <v>14228.45102337505</v>
      </c>
      <c r="G20" s="83">
        <f>'[1]Cargo Summary'!F20</f>
        <v>15878.49260597908</v>
      </c>
      <c r="H20" s="3">
        <f>(F20-G20)/G20</f>
        <v>-0.10391676486864397</v>
      </c>
      <c r="I20" s="83">
        <f>+I5+I10+I15</f>
        <v>76368.700625421043</v>
      </c>
      <c r="J20" s="83">
        <f>+J5+J10+J15</f>
        <v>81814.5932153881</v>
      </c>
      <c r="K20" s="58">
        <f>(I20-J20)/J20</f>
        <v>-6.6563828969118027E-2</v>
      </c>
      <c r="M20" s="19"/>
    </row>
    <row r="21" spans="1:13" x14ac:dyDescent="0.2">
      <c r="A21" s="38" t="s">
        <v>16</v>
      </c>
      <c r="B21" s="108">
        <f t="shared" si="3"/>
        <v>1434185</v>
      </c>
      <c r="C21" s="84">
        <f t="shared" si="3"/>
        <v>0</v>
      </c>
      <c r="D21" s="84">
        <f>D16+D11+D6</f>
        <v>581338</v>
      </c>
      <c r="E21" s="83">
        <f>SUM(B21:D21)</f>
        <v>2015523</v>
      </c>
      <c r="F21" s="83">
        <f>E21*0.00045359237</f>
        <v>914.22585435950998</v>
      </c>
      <c r="G21" s="83">
        <f>'[1]Cargo Summary'!F21</f>
        <v>2158.6923552517401</v>
      </c>
      <c r="H21" s="3">
        <f>(F21-G21)/G21</f>
        <v>-0.57649090101451916</v>
      </c>
      <c r="I21" s="83">
        <f>+I6+I11+I16</f>
        <v>6973.3803180826399</v>
      </c>
      <c r="J21" s="83">
        <f>+J6+J11+J16</f>
        <v>10636.84494915273</v>
      </c>
      <c r="K21" s="58">
        <f>(I21-J21)/J21</f>
        <v>-0.34441271341102897</v>
      </c>
      <c r="M21" s="19"/>
    </row>
    <row r="22" spans="1:13" ht="18" customHeight="1" thickBot="1" x14ac:dyDescent="0.25">
      <c r="A22" s="60" t="s">
        <v>62</v>
      </c>
      <c r="B22" s="111">
        <f>SUM(B20:B21)</f>
        <v>2054205</v>
      </c>
      <c r="C22" s="112">
        <f t="shared" ref="C22:J22" si="4">SUM(C20:C21)</f>
        <v>4060</v>
      </c>
      <c r="D22" s="112">
        <f>SUM(D20:D21)</f>
        <v>31325623</v>
      </c>
      <c r="E22" s="112">
        <f t="shared" si="4"/>
        <v>33383888</v>
      </c>
      <c r="F22" s="112">
        <f t="shared" si="4"/>
        <v>15142.676877734561</v>
      </c>
      <c r="G22" s="112">
        <f t="shared" si="4"/>
        <v>18037.184961230822</v>
      </c>
      <c r="H22" s="217">
        <f>(F22-G22)/G22</f>
        <v>-0.16047449143077067</v>
      </c>
      <c r="I22" s="112">
        <f t="shared" si="4"/>
        <v>83342.080943503679</v>
      </c>
      <c r="J22" s="112">
        <f t="shared" si="4"/>
        <v>92451.438164540828</v>
      </c>
      <c r="K22" s="218">
        <f>(I22-J22)/J22</f>
        <v>-9.8531265731364101E-2</v>
      </c>
      <c r="M22" s="19"/>
    </row>
    <row r="23" spans="1:13" x14ac:dyDescent="0.2">
      <c r="G23" s="2"/>
    </row>
    <row r="26" spans="1:13" x14ac:dyDescent="0.2">
      <c r="A26" s="20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May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0"/>
  <sheetViews>
    <sheetView zoomScaleNormal="100" workbookViewId="0">
      <selection activeCell="L34" sqref="L34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3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3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18" ht="13.5" thickBot="1" x14ac:dyDescent="0.25">
      <c r="F1" s="142"/>
      <c r="K1"/>
    </row>
    <row r="2" spans="1:18" s="9" customFormat="1" ht="26.25" thickBot="1" x14ac:dyDescent="0.25">
      <c r="A2" s="484" t="s">
        <v>187</v>
      </c>
      <c r="B2" s="485"/>
      <c r="C2" s="314" t="s">
        <v>217</v>
      </c>
      <c r="D2" s="316" t="s">
        <v>205</v>
      </c>
      <c r="E2" s="317" t="s">
        <v>96</v>
      </c>
      <c r="F2" s="318" t="s">
        <v>218</v>
      </c>
      <c r="G2" s="316" t="s">
        <v>206</v>
      </c>
      <c r="H2" s="315" t="s">
        <v>97</v>
      </c>
      <c r="I2" s="317" t="s">
        <v>138</v>
      </c>
      <c r="J2" s="484" t="s">
        <v>183</v>
      </c>
      <c r="K2" s="485"/>
      <c r="L2" s="314" t="s">
        <v>219</v>
      </c>
      <c r="M2" s="316" t="s">
        <v>207</v>
      </c>
      <c r="N2" s="319" t="s">
        <v>97</v>
      </c>
      <c r="O2" s="320" t="s">
        <v>220</v>
      </c>
      <c r="P2" s="320" t="s">
        <v>208</v>
      </c>
      <c r="Q2" s="345" t="s">
        <v>97</v>
      </c>
      <c r="R2" s="317" t="s">
        <v>138</v>
      </c>
    </row>
    <row r="3" spans="1:18" s="9" customFormat="1" ht="13.5" customHeight="1" thickBot="1" x14ac:dyDescent="0.25">
      <c r="A3" s="486">
        <v>43952</v>
      </c>
      <c r="B3" s="487"/>
      <c r="C3" s="488" t="s">
        <v>9</v>
      </c>
      <c r="D3" s="489"/>
      <c r="E3" s="489"/>
      <c r="F3" s="489"/>
      <c r="G3" s="489"/>
      <c r="H3" s="490"/>
      <c r="I3" s="441"/>
      <c r="J3" s="486">
        <f>+A3</f>
        <v>43952</v>
      </c>
      <c r="K3" s="487"/>
      <c r="L3" s="481" t="s">
        <v>184</v>
      </c>
      <c r="M3" s="482"/>
      <c r="N3" s="482"/>
      <c r="O3" s="482"/>
      <c r="P3" s="482"/>
      <c r="Q3" s="482"/>
      <c r="R3" s="483"/>
    </row>
    <row r="4" spans="1:18" x14ac:dyDescent="0.2">
      <c r="A4" s="231"/>
      <c r="B4" s="232"/>
      <c r="C4" s="233"/>
      <c r="D4" s="234"/>
      <c r="E4" s="235"/>
      <c r="F4" s="321"/>
      <c r="G4" s="234"/>
      <c r="H4" s="334"/>
      <c r="I4" s="235"/>
      <c r="J4" s="236"/>
      <c r="K4" s="232"/>
      <c r="L4" s="242"/>
      <c r="N4" s="58"/>
      <c r="O4" s="31"/>
      <c r="R4" s="33"/>
    </row>
    <row r="5" spans="1:18" x14ac:dyDescent="0.2">
      <c r="A5" s="238" t="s">
        <v>233</v>
      </c>
      <c r="B5" s="33"/>
      <c r="C5" s="450">
        <f>SUM(C6:C7)</f>
        <v>78</v>
      </c>
      <c r="D5" s="450">
        <f>SUM(D6:D7)</f>
        <v>64</v>
      </c>
      <c r="E5" s="451">
        <f>(C5-D5)/D5</f>
        <v>0.21875</v>
      </c>
      <c r="F5" s="450">
        <f>SUM(F6:F7)</f>
        <v>314</v>
      </c>
      <c r="G5" s="450">
        <f>SUM(G6:G7)</f>
        <v>296</v>
      </c>
      <c r="H5" s="452">
        <f>(F5-G5)/G5</f>
        <v>6.0810810810810814E-2</v>
      </c>
      <c r="I5" s="451">
        <f>+F5/$F$33</f>
        <v>5.4381711118808448E-2</v>
      </c>
      <c r="J5" s="238" t="s">
        <v>233</v>
      </c>
      <c r="K5" s="33"/>
      <c r="L5" s="450">
        <f>SUM(L6:L7)</f>
        <v>2923135</v>
      </c>
      <c r="M5" s="450">
        <f>SUM(M6:M7)</f>
        <v>2204159</v>
      </c>
      <c r="N5" s="451">
        <f>(L5-M5)/M5</f>
        <v>0.32619062417910866</v>
      </c>
      <c r="O5" s="450">
        <f>SUM(O6:O7)</f>
        <v>13047389</v>
      </c>
      <c r="P5" s="450">
        <f>SUM(P6:P7)</f>
        <v>11013263</v>
      </c>
      <c r="Q5" s="452">
        <f>(O5-P5)/P5</f>
        <v>0.18469785021932192</v>
      </c>
      <c r="R5" s="451">
        <f>O5/$O$33</f>
        <v>8.365168152626383E-2</v>
      </c>
    </row>
    <row r="6" spans="1:18" x14ac:dyDescent="0.2">
      <c r="A6" s="31"/>
      <c r="B6" s="295" t="s">
        <v>234</v>
      </c>
      <c r="C6" s="299">
        <f>+'[3]Atlas Air'!$GT$19</f>
        <v>40</v>
      </c>
      <c r="D6" s="192">
        <f>+'[3]Atlas Air'!$GF$19</f>
        <v>64</v>
      </c>
      <c r="E6" s="301">
        <f>(C6-D6)/D6</f>
        <v>-0.375</v>
      </c>
      <c r="F6" s="299">
        <f>+SUM('[3]Atlas Air'!$GP$19:$GT$19)</f>
        <v>276</v>
      </c>
      <c r="G6" s="192">
        <f>+SUM('[3]Atlas Air'!$GB$19:$GF$19)</f>
        <v>296</v>
      </c>
      <c r="H6" s="300">
        <f>(F6-G6)/G6</f>
        <v>-6.7567567567567571E-2</v>
      </c>
      <c r="I6" s="301">
        <f>+F6/$F$33</f>
        <v>4.7800484932455839E-2</v>
      </c>
      <c r="J6" s="31"/>
      <c r="K6" s="295" t="s">
        <v>234</v>
      </c>
      <c r="L6" s="299">
        <f>+'[3]Atlas Air'!$GT$64</f>
        <v>2215535</v>
      </c>
      <c r="M6" s="192">
        <f>+'[3]Atlas Air'!$GF$64</f>
        <v>2204159</v>
      </c>
      <c r="N6" s="301">
        <f>(L6-M6)/M6</f>
        <v>5.1611521673345703E-3</v>
      </c>
      <c r="O6" s="192">
        <f>+SUM('[3]Atlas Air'!$GP$64:$GT$64)</f>
        <v>12339789</v>
      </c>
      <c r="P6" s="192">
        <f>+SUM('[3]Atlas Air'!$GB$64:$GF$64)</f>
        <v>11013263</v>
      </c>
      <c r="Q6" s="300">
        <f>(O6-P6)/P6</f>
        <v>0.12044804523418717</v>
      </c>
      <c r="R6" s="301">
        <f>O6/$O$33</f>
        <v>7.9114993776095252E-2</v>
      </c>
    </row>
    <row r="7" spans="1:18" x14ac:dyDescent="0.2">
      <c r="A7" s="31"/>
      <c r="B7" s="295" t="s">
        <v>49</v>
      </c>
      <c r="C7" s="299">
        <f>+'[3]Sun Country Cargo'!$GT$19</f>
        <v>38</v>
      </c>
      <c r="D7" s="192">
        <f>+'[3]Sun Country Cargo'!$GF$19</f>
        <v>0</v>
      </c>
      <c r="E7" s="301" t="e">
        <f>(C7-D7)/D7</f>
        <v>#DIV/0!</v>
      </c>
      <c r="F7" s="299">
        <f>+SUM('[3]Sun Country Cargo'!$GP$19:$GT$19)</f>
        <v>38</v>
      </c>
      <c r="G7" s="192">
        <f>+SUM('[3]Sun Country Cargo'!$GB$19:$GF$19)</f>
        <v>0</v>
      </c>
      <c r="H7" s="300" t="e">
        <f>(F7-G7)/G7</f>
        <v>#DIV/0!</v>
      </c>
      <c r="I7" s="301">
        <f>+F7/$F$33</f>
        <v>6.5812261863526155E-3</v>
      </c>
      <c r="J7" s="31"/>
      <c r="K7" s="295" t="s">
        <v>49</v>
      </c>
      <c r="L7" s="299">
        <f>+'[3]Sun Country Cargo'!$GT$64</f>
        <v>707600</v>
      </c>
      <c r="M7" s="192">
        <f>+'[3]Sun Country Cargo'!$GF$64</f>
        <v>0</v>
      </c>
      <c r="N7" s="301" t="e">
        <f>(L7-M7)/M7</f>
        <v>#DIV/0!</v>
      </c>
      <c r="O7" s="192">
        <f>+SUM('[3]Sun Country Cargo'!$GP$64:$GT$64)</f>
        <v>707600</v>
      </c>
      <c r="P7" s="192">
        <f>+SUM('[3]Sun Country Cargo'!$GB$64:$GF$64)</f>
        <v>0</v>
      </c>
      <c r="Q7" s="300" t="e">
        <f>(O7-P7)/P7</f>
        <v>#DIV/0!</v>
      </c>
      <c r="R7" s="301">
        <f>O7/$O$33</f>
        <v>4.5366877501685802E-3</v>
      </c>
    </row>
    <row r="8" spans="1:18" x14ac:dyDescent="0.2">
      <c r="A8" s="31"/>
      <c r="B8" s="33"/>
      <c r="F8" s="453"/>
      <c r="I8" s="58"/>
      <c r="J8" s="367"/>
      <c r="K8" s="33"/>
      <c r="N8" s="58"/>
      <c r="R8" s="33"/>
    </row>
    <row r="9" spans="1:18" ht="14.1" customHeight="1" x14ac:dyDescent="0.2">
      <c r="A9" s="238" t="s">
        <v>227</v>
      </c>
      <c r="B9" s="33"/>
      <c r="C9" s="450">
        <f>SUM(C10:C16)</f>
        <v>126</v>
      </c>
      <c r="D9" s="450">
        <f>SUM(D10:D16)</f>
        <v>136</v>
      </c>
      <c r="E9" s="451">
        <f>(C9-D9)/D9</f>
        <v>-7.3529411764705885E-2</v>
      </c>
      <c r="F9" s="450">
        <f>SUM(F10:F16)</f>
        <v>631</v>
      </c>
      <c r="G9" s="450">
        <f>SUM(G10:G16)</f>
        <v>640</v>
      </c>
      <c r="H9" s="452">
        <f>(F9-G9)/G9</f>
        <v>-1.40625E-2</v>
      </c>
      <c r="I9" s="451">
        <f>+F9/$F$33</f>
        <v>0.10928299272601316</v>
      </c>
      <c r="J9" s="238" t="s">
        <v>227</v>
      </c>
      <c r="K9" s="33"/>
      <c r="L9" s="450">
        <f>SUM(L10:L16)</f>
        <v>1358062</v>
      </c>
      <c r="M9" s="450">
        <f>SUM(M10:M16)</f>
        <v>1565182</v>
      </c>
      <c r="N9" s="451">
        <f t="shared" ref="N9:N16" si="0">(L9-M9)/M9</f>
        <v>-0.13232965878728481</v>
      </c>
      <c r="O9" s="450">
        <f>SUM(O10:O16)</f>
        <v>7215055</v>
      </c>
      <c r="P9" s="450">
        <f>SUM(P10:P16)</f>
        <v>7035560</v>
      </c>
      <c r="Q9" s="452">
        <f t="shared" ref="Q9:Q16" si="1">(O9-P9)/P9</f>
        <v>2.5512539158219105E-2</v>
      </c>
      <c r="R9" s="451">
        <f t="shared" ref="R9:R16" si="2">O9/$O$33</f>
        <v>4.625841101652426E-2</v>
      </c>
    </row>
    <row r="10" spans="1:18" ht="14.1" customHeight="1" x14ac:dyDescent="0.2">
      <c r="A10" s="238"/>
      <c r="B10" s="295" t="s">
        <v>235</v>
      </c>
      <c r="C10" s="299">
        <f>+[3]Airborne!$GT$19</f>
        <v>0</v>
      </c>
      <c r="D10" s="192">
        <f>+[3]Airborne!$GF$19</f>
        <v>0</v>
      </c>
      <c r="E10" s="301" t="e">
        <f>(C10-D10)/D10</f>
        <v>#DIV/0!</v>
      </c>
      <c r="F10" s="299">
        <f>+SUM([3]Airborne!$GP$19:$GT$19)</f>
        <v>0</v>
      </c>
      <c r="G10" s="192">
        <f>+SUM([3]Airborne!$GB$19:$GF$19)</f>
        <v>1</v>
      </c>
      <c r="H10" s="300">
        <f>(F10-G10)/G10</f>
        <v>-1</v>
      </c>
      <c r="I10" s="301">
        <f t="shared" ref="I10" si="3">+F10/$F$33</f>
        <v>0</v>
      </c>
      <c r="J10" s="238"/>
      <c r="K10" s="295" t="s">
        <v>235</v>
      </c>
      <c r="L10" s="299">
        <f>+[3]Airborne!$GT$64</f>
        <v>0</v>
      </c>
      <c r="M10" s="192">
        <f>+[3]Airborne!$GF$64</f>
        <v>0</v>
      </c>
      <c r="N10" s="301" t="e">
        <f t="shared" si="0"/>
        <v>#DIV/0!</v>
      </c>
      <c r="O10" s="299">
        <f>+SUM([3]Airborne!$GP$64:$GT$64)</f>
        <v>0</v>
      </c>
      <c r="P10" s="192">
        <f>+SUM([3]Airborne!$GB$64:$GF$64)</f>
        <v>0</v>
      </c>
      <c r="Q10" s="300" t="e">
        <f t="shared" si="1"/>
        <v>#DIV/0!</v>
      </c>
      <c r="R10" s="301">
        <f t="shared" si="2"/>
        <v>0</v>
      </c>
    </row>
    <row r="11" spans="1:18" ht="14.1" customHeight="1" x14ac:dyDescent="0.2">
      <c r="A11" s="238"/>
      <c r="B11" s="33" t="s">
        <v>234</v>
      </c>
      <c r="C11" s="299">
        <f>+[3]DHL_Atlas!$GT$19</f>
        <v>2</v>
      </c>
      <c r="D11" s="192">
        <f>+[3]DHL_Atlas!$GF$19</f>
        <v>2</v>
      </c>
      <c r="E11" s="301">
        <f t="shared" ref="E11:E16" si="4">(C11-D11)/D11</f>
        <v>0</v>
      </c>
      <c r="F11" s="299">
        <f>+SUM([3]DHL_Atlas!$GP$19:$GT$19)</f>
        <v>2</v>
      </c>
      <c r="G11" s="192">
        <f>+SUM([3]DHL_Atlas!$GB$19:$GF$19)</f>
        <v>4</v>
      </c>
      <c r="H11" s="300">
        <f t="shared" ref="H11:H16" si="5">(F11-G11)/G11</f>
        <v>-0.5</v>
      </c>
      <c r="I11" s="301">
        <f>+F11/$F$33</f>
        <v>3.4638032559750607E-4</v>
      </c>
      <c r="J11" s="238"/>
      <c r="K11" s="33" t="s">
        <v>234</v>
      </c>
      <c r="L11" s="299">
        <f>+[3]DHL_Atlas!$GT$64</f>
        <v>60721</v>
      </c>
      <c r="M11" s="192">
        <f>+[3]DHL_Atlas!$GF$64</f>
        <v>23188</v>
      </c>
      <c r="N11" s="301">
        <f t="shared" si="0"/>
        <v>1.6186389511816457</v>
      </c>
      <c r="O11" s="299">
        <f>+SUM([3]DHL_Atlas!$GP$64:$GT$64)</f>
        <v>60721</v>
      </c>
      <c r="P11" s="192">
        <f>+SUM([3]DHL_Atlas!$GB$64:$GF$64)</f>
        <v>41740</v>
      </c>
      <c r="Q11" s="300">
        <f t="shared" si="1"/>
        <v>0.45474365117393389</v>
      </c>
      <c r="R11" s="301">
        <f t="shared" si="2"/>
        <v>3.8930499841433914E-4</v>
      </c>
    </row>
    <row r="12" spans="1:18" ht="14.1" customHeight="1" x14ac:dyDescent="0.2">
      <c r="A12" s="238"/>
      <c r="B12" s="33" t="s">
        <v>236</v>
      </c>
      <c r="C12" s="299">
        <f>+[3]DHL!$GT$19</f>
        <v>2</v>
      </c>
      <c r="D12" s="192">
        <f>+[3]DHL!$GF$19</f>
        <v>0</v>
      </c>
      <c r="E12" s="301" t="e">
        <f t="shared" si="4"/>
        <v>#DIV/0!</v>
      </c>
      <c r="F12" s="299">
        <f>+SUM([3]DHL!$GP$19:$GT$19)</f>
        <v>163</v>
      </c>
      <c r="G12" s="192">
        <f>+SUM([3]DHL!$GB$19:$GF$19)</f>
        <v>0</v>
      </c>
      <c r="H12" s="300" t="e">
        <f t="shared" si="5"/>
        <v>#DIV/0!</v>
      </c>
      <c r="I12" s="301">
        <f>+F12/$F$33</f>
        <v>2.8229996536196744E-2</v>
      </c>
      <c r="J12" s="238"/>
      <c r="K12" s="33" t="s">
        <v>236</v>
      </c>
      <c r="L12" s="299">
        <f>+[3]DHL!$GT$64</f>
        <v>105861</v>
      </c>
      <c r="M12" s="192">
        <f>+[3]DHL!$GF$64</f>
        <v>0</v>
      </c>
      <c r="N12" s="301" t="e">
        <f t="shared" si="0"/>
        <v>#DIV/0!</v>
      </c>
      <c r="O12" s="299">
        <f>+SUM([3]DHL!$GP$64:$GT$64)</f>
        <v>5299897</v>
      </c>
      <c r="P12" s="192">
        <f>+SUM([3]DHL!$GB$64:$GF$64)</f>
        <v>0</v>
      </c>
      <c r="Q12" s="300" t="e">
        <f t="shared" si="1"/>
        <v>#DIV/0!</v>
      </c>
      <c r="R12" s="301">
        <f t="shared" si="2"/>
        <v>3.3979618141683453E-2</v>
      </c>
    </row>
    <row r="13" spans="1:18" ht="14.1" customHeight="1" x14ac:dyDescent="0.2">
      <c r="A13" s="238"/>
      <c r="B13" s="33" t="s">
        <v>210</v>
      </c>
      <c r="C13" s="299">
        <f>+[3]Encore!$GT$19+[3]DHL_Encore!$GT$12</f>
        <v>84</v>
      </c>
      <c r="D13" s="192">
        <f>+[3]Encore!$GF$19+[3]DHL_Encore!$GF$19</f>
        <v>90</v>
      </c>
      <c r="E13" s="301">
        <f t="shared" si="4"/>
        <v>-6.6666666666666666E-2</v>
      </c>
      <c r="F13" s="299">
        <f>+SUM([3]Encore!$GP$19:$GT$19)+SUM([3]DHL_Encore!$GP$19:$GT$19)</f>
        <v>420</v>
      </c>
      <c r="G13" s="192">
        <f>+SUM([3]Encore!$GB$19:$GF$19)+SUM([3]DHL_Encore!$GB$19:$GF$19)</f>
        <v>425</v>
      </c>
      <c r="H13" s="300">
        <f t="shared" si="5"/>
        <v>-1.1764705882352941E-2</v>
      </c>
      <c r="I13" s="301">
        <f t="shared" ref="I13:I16" si="6">+F13/$F$33</f>
        <v>7.2739868375476274E-2</v>
      </c>
      <c r="J13" s="238"/>
      <c r="K13" s="33" t="s">
        <v>210</v>
      </c>
      <c r="L13" s="299">
        <f>+[3]Encore!$GT$64+[3]DHL_Encore!$GT$64</f>
        <v>128008</v>
      </c>
      <c r="M13" s="192">
        <f>+[3]Encore!$GF$64+[3]DHL_Encore!$GF$64</f>
        <v>102048</v>
      </c>
      <c r="N13" s="301">
        <f t="shared" si="0"/>
        <v>0.25439009093759801</v>
      </c>
      <c r="O13" s="299">
        <f>+SUM([3]Encore!$GP$64:$GT$64)+SUM([3]DHL_Encore!$GP$64:$GT$64)</f>
        <v>600452</v>
      </c>
      <c r="P13" s="192">
        <f>+SUM([3]Encore!$GB$64:$GF$64)+SUM([3]DHL_Encore!$GB$64:$GF$64)</f>
        <v>520220</v>
      </c>
      <c r="Q13" s="300">
        <f t="shared" si="1"/>
        <v>0.15422705778324555</v>
      </c>
      <c r="R13" s="301">
        <f t="shared" si="2"/>
        <v>3.8497219233524938E-3</v>
      </c>
    </row>
    <row r="14" spans="1:18" ht="14.1" customHeight="1" x14ac:dyDescent="0.2">
      <c r="A14" s="238"/>
      <c r="B14" s="33" t="s">
        <v>237</v>
      </c>
      <c r="C14" s="299">
        <f>+[3]DHL_Kalitta!$GT$19</f>
        <v>0</v>
      </c>
      <c r="D14" s="192">
        <f>+[3]DHL_Kalitta!$GF$19</f>
        <v>44</v>
      </c>
      <c r="E14" s="301">
        <f t="shared" si="4"/>
        <v>-1</v>
      </c>
      <c r="F14" s="299">
        <f>+SUM([3]DHL_Kalitta!$GP$19:$GT$19)</f>
        <v>8</v>
      </c>
      <c r="G14" s="192">
        <f>+SUM([3]DHL_Kalitta!$GB$19:$GF$19)</f>
        <v>210</v>
      </c>
      <c r="H14" s="300">
        <f t="shared" si="5"/>
        <v>-0.96190476190476193</v>
      </c>
      <c r="I14" s="301">
        <f>+F14/$F$33</f>
        <v>1.3855213023900243E-3</v>
      </c>
      <c r="J14" s="238"/>
      <c r="K14" s="33" t="s">
        <v>237</v>
      </c>
      <c r="L14" s="299">
        <f>+[3]DHL_Kalitta!$GT$64</f>
        <v>0</v>
      </c>
      <c r="M14" s="192">
        <f>+[3]DHL_Kalitta!$GF$64</f>
        <v>1439946</v>
      </c>
      <c r="N14" s="301">
        <f t="shared" si="0"/>
        <v>-1</v>
      </c>
      <c r="O14" s="299">
        <f>+SUM([3]DHL_Kalitta!$GP$64:$GT$64)</f>
        <v>190513</v>
      </c>
      <c r="P14" s="192">
        <f>+SUM([3]DHL_Kalitta!$GB$64:$GF$64)</f>
        <v>6473600</v>
      </c>
      <c r="Q14" s="300">
        <f t="shared" si="1"/>
        <v>-0.97057077978250128</v>
      </c>
      <c r="R14" s="301">
        <f t="shared" si="2"/>
        <v>1.2214499623344642E-3</v>
      </c>
    </row>
    <row r="15" spans="1:18" ht="14.1" customHeight="1" x14ac:dyDescent="0.2">
      <c r="A15" s="238"/>
      <c r="B15" s="33" t="s">
        <v>238</v>
      </c>
      <c r="C15" s="299">
        <f>+[3]DHL_Southair!$GT$19</f>
        <v>0</v>
      </c>
      <c r="D15" s="192">
        <f>+[3]DHL_Southair!$GF$19</f>
        <v>0</v>
      </c>
      <c r="E15" s="301" t="e">
        <f t="shared" si="4"/>
        <v>#DIV/0!</v>
      </c>
      <c r="F15" s="299">
        <f>+SUM([3]DHL_Southair!$GP$19:$GT$19)</f>
        <v>0</v>
      </c>
      <c r="G15" s="192">
        <f>+SUM([3]DHL_Southair!$GB$19:$GF$19)</f>
        <v>0</v>
      </c>
      <c r="H15" s="300" t="e">
        <f t="shared" si="5"/>
        <v>#DIV/0!</v>
      </c>
      <c r="I15" s="301">
        <f>+F15/$F$33</f>
        <v>0</v>
      </c>
      <c r="J15" s="238"/>
      <c r="K15" s="33" t="s">
        <v>238</v>
      </c>
      <c r="L15" s="299">
        <f>+[3]DHL_Southair!$GT$64</f>
        <v>0</v>
      </c>
      <c r="M15" s="192">
        <f>+[3]DHL_Southair!$GF$64</f>
        <v>0</v>
      </c>
      <c r="N15" s="301" t="e">
        <f t="shared" si="0"/>
        <v>#DIV/0!</v>
      </c>
      <c r="O15" s="299">
        <f>+SUM([3]DHL_Southair!$GP$64:$GT$64)</f>
        <v>0</v>
      </c>
      <c r="P15" s="192">
        <f>+SUM([3]DHL_Southair!$GB$64:$GF$64)</f>
        <v>0</v>
      </c>
      <c r="Q15" s="300" t="e">
        <f t="shared" si="1"/>
        <v>#DIV/0!</v>
      </c>
      <c r="R15" s="301">
        <f t="shared" si="2"/>
        <v>0</v>
      </c>
    </row>
    <row r="16" spans="1:18" ht="14.1" customHeight="1" x14ac:dyDescent="0.2">
      <c r="A16" s="238"/>
      <c r="B16" s="33" t="s">
        <v>239</v>
      </c>
      <c r="C16" s="299">
        <f>+[3]DHL_Swift!$GT$19</f>
        <v>38</v>
      </c>
      <c r="D16" s="192">
        <f>+[3]DHL_Swift!$GF$19</f>
        <v>0</v>
      </c>
      <c r="E16" s="301" t="e">
        <f t="shared" si="4"/>
        <v>#DIV/0!</v>
      </c>
      <c r="F16" s="299">
        <f>+SUM([3]DHL_Swift!$GP$19:$GT$19)</f>
        <v>38</v>
      </c>
      <c r="G16" s="192">
        <f>+SUM([3]DHL_Swift!$GB$19:$GF$19)</f>
        <v>0</v>
      </c>
      <c r="H16" s="300" t="e">
        <f t="shared" si="5"/>
        <v>#DIV/0!</v>
      </c>
      <c r="I16" s="301">
        <f t="shared" si="6"/>
        <v>6.5812261863526155E-3</v>
      </c>
      <c r="J16" s="238"/>
      <c r="K16" s="33" t="s">
        <v>239</v>
      </c>
      <c r="L16" s="299">
        <f>+[3]DHL_Swift!$GT$64</f>
        <v>1063472</v>
      </c>
      <c r="M16" s="192">
        <f>+[3]DHL_Swift!$GF$64</f>
        <v>0</v>
      </c>
      <c r="N16" s="301" t="e">
        <f t="shared" si="0"/>
        <v>#DIV/0!</v>
      </c>
      <c r="O16" s="299">
        <f>+SUM([3]DHL_Swift!$GP$64:$GT$64)</f>
        <v>1063472</v>
      </c>
      <c r="P16" s="192">
        <f>+SUM([3]DHL_Swift!$GB$64:$GF$64)</f>
        <v>0</v>
      </c>
      <c r="Q16" s="300" t="e">
        <f t="shared" si="1"/>
        <v>#DIV/0!</v>
      </c>
      <c r="R16" s="301">
        <f t="shared" si="2"/>
        <v>6.8183159907395149E-3</v>
      </c>
    </row>
    <row r="17" spans="1:19" ht="14.1" customHeight="1" x14ac:dyDescent="0.2">
      <c r="A17" s="238"/>
      <c r="B17" s="33"/>
      <c r="C17" s="239"/>
      <c r="D17" s="115"/>
      <c r="E17" s="241"/>
      <c r="F17" s="239"/>
      <c r="G17" s="115"/>
      <c r="H17" s="240"/>
      <c r="I17" s="241"/>
      <c r="J17" s="238"/>
      <c r="K17" s="33"/>
      <c r="L17" s="242"/>
      <c r="N17" s="58"/>
      <c r="O17" s="242"/>
      <c r="P17" s="115"/>
      <c r="Q17" s="3"/>
      <c r="R17" s="58"/>
    </row>
    <row r="18" spans="1:19" ht="14.1" customHeight="1" x14ac:dyDescent="0.2">
      <c r="A18" s="238" t="s">
        <v>185</v>
      </c>
      <c r="B18" s="33"/>
      <c r="C18" s="454">
        <f>SUM(C19:C22)</f>
        <v>308</v>
      </c>
      <c r="D18" s="450">
        <f>SUM(D19:D22)</f>
        <v>352</v>
      </c>
      <c r="E18" s="451">
        <f>(C18-D18)/D18</f>
        <v>-0.125</v>
      </c>
      <c r="F18" s="454">
        <f>SUM(F19:F22)</f>
        <v>1533</v>
      </c>
      <c r="G18" s="450">
        <f>SUM(G19:G22)</f>
        <v>1614</v>
      </c>
      <c r="H18" s="452">
        <f t="shared" ref="H18:H19" si="7">(F18-G18)/G18</f>
        <v>-5.0185873605947957E-2</v>
      </c>
      <c r="I18" s="451">
        <f>+F18/$F$33</f>
        <v>0.26550051957048837</v>
      </c>
      <c r="J18" s="238" t="s">
        <v>185</v>
      </c>
      <c r="K18" s="33"/>
      <c r="L18" s="454">
        <f>SUM(L19:L22)</f>
        <v>15915080</v>
      </c>
      <c r="M18" s="450">
        <f>SUM(M19:M22)</f>
        <v>11585531</v>
      </c>
      <c r="N18" s="451">
        <f>(L18-M18)/M18</f>
        <v>0.37370311296046765</v>
      </c>
      <c r="O18" s="454">
        <f>SUM(O19:O22)</f>
        <v>79265019</v>
      </c>
      <c r="P18" s="450">
        <f>SUM(P19:P22)</f>
        <v>71708401</v>
      </c>
      <c r="Q18" s="452">
        <f t="shared" ref="Q18:Q20" si="8">(O18-P18)/P18</f>
        <v>0.10537981456315</v>
      </c>
      <c r="R18" s="451">
        <f>O18/$O$33</f>
        <v>0.5081976267865741</v>
      </c>
    </row>
    <row r="19" spans="1:19" x14ac:dyDescent="0.2">
      <c r="A19" s="31"/>
      <c r="B19" s="295" t="s">
        <v>185</v>
      </c>
      <c r="C19" s="299">
        <f>+[3]FedEx!$GT$19</f>
        <v>236</v>
      </c>
      <c r="D19" s="192">
        <f>+[3]FedEx!$GF$19</f>
        <v>270</v>
      </c>
      <c r="E19" s="301">
        <f>(C19-D19)/D19</f>
        <v>-0.12592592592592591</v>
      </c>
      <c r="F19" s="299">
        <f>+SUM([3]FedEx!$GP$19:$GT$19)</f>
        <v>1158</v>
      </c>
      <c r="G19" s="192">
        <f>+SUM([3]FedEx!$GB$19:$GF$19)</f>
        <v>1282</v>
      </c>
      <c r="H19" s="300">
        <f t="shared" si="7"/>
        <v>-9.6723868954758194E-2</v>
      </c>
      <c r="I19" s="301">
        <f>+F19/$F$33</f>
        <v>0.20055420852095601</v>
      </c>
      <c r="J19" s="238"/>
      <c r="K19" s="295" t="s">
        <v>185</v>
      </c>
      <c r="L19" s="299">
        <f>+[3]FedEx!$GT$64</f>
        <v>15683019</v>
      </c>
      <c r="M19" s="192">
        <f>+[3]FedEx!$GF$64</f>
        <v>11345449</v>
      </c>
      <c r="N19" s="301">
        <f>(L19-M19)/M19</f>
        <v>0.38231805545994696</v>
      </c>
      <c r="O19" s="299">
        <f>+SUM([3]FedEx!$GP$64:$GT$64)</f>
        <v>77668372</v>
      </c>
      <c r="P19" s="192">
        <f>+SUM([3]FedEx!$GB$64:$GF$64)</f>
        <v>71036730</v>
      </c>
      <c r="Q19" s="300">
        <f t="shared" si="8"/>
        <v>9.3355113615167809E-2</v>
      </c>
      <c r="R19" s="301">
        <f>O19/$O$33</f>
        <v>0.49796092683427978</v>
      </c>
    </row>
    <row r="20" spans="1:19" x14ac:dyDescent="0.2">
      <c r="A20" s="31"/>
      <c r="B20" s="295" t="s">
        <v>240</v>
      </c>
      <c r="C20" s="299">
        <f>+'[3]Mountain Cargo'!$GT$19</f>
        <v>42</v>
      </c>
      <c r="D20" s="192">
        <f>+'[3]Mountain Cargo'!$GF$19</f>
        <v>42</v>
      </c>
      <c r="E20" s="301">
        <f>(C20-D20)/D20</f>
        <v>0</v>
      </c>
      <c r="F20" s="299">
        <f>+SUM('[3]Mountain Cargo'!$GP$19:$GT$19)</f>
        <v>216</v>
      </c>
      <c r="G20" s="192">
        <f>+SUM('[3]Mountain Cargo'!$GB$19:$GF$19)</f>
        <v>160</v>
      </c>
      <c r="H20" s="300">
        <f>(F20-G20)/G20</f>
        <v>0.35</v>
      </c>
      <c r="I20" s="301">
        <f>+F20/$F$33</f>
        <v>3.7409075164530653E-2</v>
      </c>
      <c r="J20" s="367"/>
      <c r="K20" s="295" t="s">
        <v>240</v>
      </c>
      <c r="L20" s="299">
        <f>+'[3]Mountain Cargo'!$GT$64</f>
        <v>182998</v>
      </c>
      <c r="M20" s="192">
        <f>+'[3]Mountain Cargo'!$GF$64</f>
        <v>217469</v>
      </c>
      <c r="N20" s="301">
        <f>(L20-M20)/M20</f>
        <v>-0.15850994854439024</v>
      </c>
      <c r="O20" s="299">
        <f>+SUM('[3]Mountain Cargo'!$GP$64:$GT$64)</f>
        <v>1385703</v>
      </c>
      <c r="P20" s="192">
        <f>+SUM('[3]Mountain Cargo'!$GB$64:$GF$64)</f>
        <v>579726</v>
      </c>
      <c r="Q20" s="300">
        <f t="shared" si="8"/>
        <v>1.3902723010525662</v>
      </c>
      <c r="R20" s="301">
        <f>O20/$O$33</f>
        <v>8.884259221978311E-3</v>
      </c>
    </row>
    <row r="21" spans="1:19" x14ac:dyDescent="0.2">
      <c r="A21" s="31"/>
      <c r="B21" s="295" t="s">
        <v>178</v>
      </c>
      <c r="C21" s="299">
        <f>+[3]IFL!$GT$19</f>
        <v>30</v>
      </c>
      <c r="D21" s="192">
        <f>+[3]IFL!$GF$19</f>
        <v>34</v>
      </c>
      <c r="E21" s="301">
        <f>(C21-D21)/D21</f>
        <v>-0.11764705882352941</v>
      </c>
      <c r="F21" s="299">
        <f>+SUM([3]IFL!$GP$19:$GT$19)</f>
        <v>159</v>
      </c>
      <c r="G21" s="192">
        <f>+SUM([3]IFL!$GB$19:$GF$19)</f>
        <v>163</v>
      </c>
      <c r="H21" s="300">
        <f>(F21-G21)/G21</f>
        <v>-2.4539877300613498E-2</v>
      </c>
      <c r="I21" s="301">
        <f>+F21/$F$33</f>
        <v>2.7537235885001732E-2</v>
      </c>
      <c r="J21" s="367"/>
      <c r="K21" s="295" t="s">
        <v>178</v>
      </c>
      <c r="L21" s="299">
        <f>+[3]IFL!$GT$64</f>
        <v>49063</v>
      </c>
      <c r="M21" s="192">
        <f>+[3]IFL!$GF$64</f>
        <v>17762</v>
      </c>
      <c r="N21" s="301">
        <f>(L21-M21)/M21</f>
        <v>1.7622452426528543</v>
      </c>
      <c r="O21" s="299">
        <f>+SUM([3]IFL!$GP$64:$GT$64)</f>
        <v>210944</v>
      </c>
      <c r="P21" s="192">
        <f>+SUM([3]IFL!$GB$64:$GF$64)</f>
        <v>82259</v>
      </c>
      <c r="Q21" s="300">
        <f>(O21-P21)/P21</f>
        <v>1.5643880912726875</v>
      </c>
      <c r="R21" s="301">
        <f>O21/$O$33</f>
        <v>1.3524407303159428E-3</v>
      </c>
    </row>
    <row r="22" spans="1:19" ht="14.1" customHeight="1" x14ac:dyDescent="0.2">
      <c r="A22" s="238"/>
      <c r="B22" s="295" t="s">
        <v>85</v>
      </c>
      <c r="C22" s="299">
        <f>+'[3]CSA Air'!$GT$19</f>
        <v>0</v>
      </c>
      <c r="D22" s="192">
        <f>+'[3]CSA Air'!$GF$19</f>
        <v>6</v>
      </c>
      <c r="E22" s="301">
        <f>(C22-D22)/D22</f>
        <v>-1</v>
      </c>
      <c r="F22" s="299">
        <f>+SUM('[3]CSA Air'!$GP$19:$GT$19)</f>
        <v>0</v>
      </c>
      <c r="G22" s="192">
        <f>+SUM('[3]CSA Air'!$GB$19:$GF$19)</f>
        <v>9</v>
      </c>
      <c r="H22" s="300">
        <f t="shared" ref="H22" si="9">(F22-G22)/G22</f>
        <v>-1</v>
      </c>
      <c r="I22" s="301">
        <f>+F22/$F$33</f>
        <v>0</v>
      </c>
      <c r="J22" s="238"/>
      <c r="K22" s="295" t="s">
        <v>85</v>
      </c>
      <c r="L22" s="299">
        <f>+'[3]CSA Air'!$GT$64</f>
        <v>0</v>
      </c>
      <c r="M22" s="192">
        <f>+'[3]CSA Air'!$GF$64</f>
        <v>4851</v>
      </c>
      <c r="N22" s="301">
        <f>(L22-M22)/M22</f>
        <v>-1</v>
      </c>
      <c r="O22" s="299">
        <f>+SUM('[3]CSA Air'!$GP$64:$GT$64)</f>
        <v>0</v>
      </c>
      <c r="P22" s="192">
        <f>+SUM('[3]CSA Air'!$GB$64:$GF$64)</f>
        <v>9686</v>
      </c>
      <c r="Q22" s="300">
        <f t="shared" ref="Q22" si="10">(O22-P22)/P22</f>
        <v>-1</v>
      </c>
      <c r="R22" s="301">
        <f>O22/$O$33</f>
        <v>0</v>
      </c>
    </row>
    <row r="23" spans="1:19" ht="14.1" customHeight="1" x14ac:dyDescent="0.2">
      <c r="A23" s="238"/>
      <c r="B23" s="33"/>
      <c r="C23" s="239"/>
      <c r="D23" s="115"/>
      <c r="E23" s="241"/>
      <c r="F23" s="239"/>
      <c r="G23" s="115"/>
      <c r="H23" s="240"/>
      <c r="I23" s="241"/>
      <c r="J23" s="238"/>
      <c r="K23" s="33"/>
      <c r="L23" s="242"/>
      <c r="N23" s="58"/>
      <c r="O23" s="242"/>
      <c r="P23" s="115"/>
      <c r="Q23" s="3"/>
      <c r="R23" s="58"/>
    </row>
    <row r="24" spans="1:19" ht="14.1" customHeight="1" x14ac:dyDescent="0.2">
      <c r="A24" s="238"/>
      <c r="B24" s="33"/>
      <c r="C24" s="239"/>
      <c r="D24" s="115"/>
      <c r="E24" s="241"/>
      <c r="F24" s="239"/>
      <c r="G24" s="115"/>
      <c r="H24" s="240"/>
      <c r="I24" s="241"/>
      <c r="J24" s="238"/>
      <c r="K24" s="33"/>
      <c r="L24" s="242"/>
      <c r="N24" s="58"/>
      <c r="O24" s="242"/>
      <c r="P24" s="2"/>
      <c r="Q24" s="3"/>
      <c r="R24" s="58"/>
    </row>
    <row r="25" spans="1:19" ht="14.1" customHeight="1" x14ac:dyDescent="0.2">
      <c r="A25" s="238" t="s">
        <v>83</v>
      </c>
      <c r="B25" s="33"/>
      <c r="C25" s="450">
        <f>SUM(C26:C27)</f>
        <v>648</v>
      </c>
      <c r="D25" s="450">
        <f>SUM(D26:D27)</f>
        <v>726</v>
      </c>
      <c r="E25" s="451">
        <f>(C25-D25)/D25</f>
        <v>-0.10743801652892562</v>
      </c>
      <c r="F25" s="450">
        <f>SUM(F26:F27)</f>
        <v>3287</v>
      </c>
      <c r="G25" s="450">
        <f>SUM(G26:G27)</f>
        <v>3298</v>
      </c>
      <c r="H25" s="452">
        <f>(F25-G25)/G25</f>
        <v>-3.3353547604608852E-3</v>
      </c>
      <c r="I25" s="451">
        <f>+F25/$F$33</f>
        <v>0.56927606511950124</v>
      </c>
      <c r="J25" s="238" t="s">
        <v>83</v>
      </c>
      <c r="K25" s="33"/>
      <c r="L25" s="450">
        <f>SUM(L26:L27)</f>
        <v>11129346</v>
      </c>
      <c r="M25" s="450">
        <f>SUM(M26:M27)</f>
        <v>12789641</v>
      </c>
      <c r="N25" s="451">
        <f>(L25-M25)/M25</f>
        <v>-0.12981560623945582</v>
      </c>
      <c r="O25" s="450">
        <f>SUM(O26:O27)</f>
        <v>56180666</v>
      </c>
      <c r="P25" s="450">
        <f>SUM(P26:P27)</f>
        <v>56034524</v>
      </c>
      <c r="Q25" s="452">
        <f>(O25-P25)/P25</f>
        <v>2.6080706958445834E-3</v>
      </c>
      <c r="R25" s="451">
        <f>O25/$O$33</f>
        <v>0.36019522221383898</v>
      </c>
    </row>
    <row r="26" spans="1:19" ht="14.1" customHeight="1" x14ac:dyDescent="0.2">
      <c r="A26" s="238"/>
      <c r="B26" s="295" t="s">
        <v>83</v>
      </c>
      <c r="C26" s="299">
        <f>+[3]UPS!$GT$19</f>
        <v>264</v>
      </c>
      <c r="D26" s="192">
        <f>+[3]UPS!$GF$19</f>
        <v>300</v>
      </c>
      <c r="E26" s="301">
        <f>(C26-D26)/D26</f>
        <v>-0.12</v>
      </c>
      <c r="F26" s="299">
        <f>+SUM([3]UPS!$GP$19:$GT$19)</f>
        <v>1329</v>
      </c>
      <c r="G26" s="192">
        <f>+SUM([3]UPS!$GB$19:$GF$19)</f>
        <v>1370</v>
      </c>
      <c r="H26" s="300">
        <f>(F26-G26)/G26</f>
        <v>-2.9927007299270073E-2</v>
      </c>
      <c r="I26" s="301">
        <f>+F26/$F$33</f>
        <v>0.23016972635954278</v>
      </c>
      <c r="J26" s="238"/>
      <c r="K26" s="295" t="s">
        <v>83</v>
      </c>
      <c r="L26" s="299">
        <f>+[3]UPS!$GT$64</f>
        <v>11129346</v>
      </c>
      <c r="M26" s="192">
        <f>+[3]UPS!$GF$64</f>
        <v>12789641</v>
      </c>
      <c r="N26" s="301">
        <f>(L26-M26)/M26</f>
        <v>-0.12981560623945582</v>
      </c>
      <c r="O26" s="299">
        <f>+SUM([3]UPS!$GP$64:$GT$64)</f>
        <v>56180666</v>
      </c>
      <c r="P26" s="192">
        <f>+SUM([3]UPS!$GB$64:$GF$64)</f>
        <v>56034524</v>
      </c>
      <c r="Q26" s="300">
        <f>(O26-P26)/P26</f>
        <v>2.6080706958445834E-3</v>
      </c>
      <c r="R26" s="301">
        <f>O26/$O$33</f>
        <v>0.36019522221383898</v>
      </c>
    </row>
    <row r="27" spans="1:19" ht="14.1" customHeight="1" x14ac:dyDescent="0.2">
      <c r="A27" s="238"/>
      <c r="B27" s="295" t="s">
        <v>84</v>
      </c>
      <c r="C27" s="299">
        <f>+[3]Bemidji!$GT$19</f>
        <v>384</v>
      </c>
      <c r="D27" s="192">
        <f>+[3]Bemidji!$GF$19</f>
        <v>426</v>
      </c>
      <c r="E27" s="301">
        <f>(C27-D27)/D27</f>
        <v>-9.8591549295774641E-2</v>
      </c>
      <c r="F27" s="299">
        <f>+SUM([3]Bemidji!$GP$19:$GT$19)</f>
        <v>1958</v>
      </c>
      <c r="G27" s="192">
        <f>+SUM([3]Bemidji!$GB$19:$GF$19)</f>
        <v>1928</v>
      </c>
      <c r="H27" s="300">
        <f t="shared" ref="H27" si="11">(F27-G27)/G27</f>
        <v>1.5560165975103735E-2</v>
      </c>
      <c r="I27" s="301">
        <f>+F27/$F$33</f>
        <v>0.33910633875995844</v>
      </c>
      <c r="J27" s="238"/>
      <c r="K27" s="295" t="s">
        <v>84</v>
      </c>
      <c r="L27" s="478" t="s">
        <v>188</v>
      </c>
      <c r="M27" s="479"/>
      <c r="N27" s="479"/>
      <c r="O27" s="479"/>
      <c r="P27" s="479"/>
      <c r="Q27" s="479"/>
      <c r="R27" s="480"/>
    </row>
    <row r="28" spans="1:19" ht="14.1" customHeight="1" x14ac:dyDescent="0.2">
      <c r="A28" s="31"/>
      <c r="B28" s="33"/>
      <c r="C28" s="239"/>
      <c r="E28" s="58"/>
      <c r="F28" s="242"/>
      <c r="I28" s="58"/>
      <c r="J28" s="31"/>
      <c r="K28" s="33"/>
      <c r="L28" s="242"/>
      <c r="N28" s="58"/>
      <c r="O28" s="242"/>
      <c r="P28" s="2"/>
      <c r="Q28" s="3"/>
      <c r="R28" s="58"/>
    </row>
    <row r="29" spans="1:19" ht="14.1" customHeight="1" x14ac:dyDescent="0.2">
      <c r="A29" s="238" t="s">
        <v>128</v>
      </c>
      <c r="B29" s="33"/>
      <c r="C29" s="454">
        <f>+'[3]Misc Cargo'!$GT$19</f>
        <v>0</v>
      </c>
      <c r="D29" s="450">
        <f>+'[3]Misc Cargo'!$GF$19</f>
        <v>0</v>
      </c>
      <c r="E29" s="451" t="e">
        <f>(C29-D29)/D29</f>
        <v>#DIV/0!</v>
      </c>
      <c r="F29" s="454">
        <f>+SUM('[3]Misc Cargo'!$GP$19:$GT$19)</f>
        <v>9</v>
      </c>
      <c r="G29" s="450">
        <f>+SUM('[3]Misc Cargo'!$GB$19:$GF$19)</f>
        <v>0</v>
      </c>
      <c r="H29" s="452" t="e">
        <f>(F29-G29)/G29</f>
        <v>#DIV/0!</v>
      </c>
      <c r="I29" s="451">
        <f>+F29/$F$33</f>
        <v>1.5587114651887772E-3</v>
      </c>
      <c r="J29" s="238" t="s">
        <v>128</v>
      </c>
      <c r="K29" s="33"/>
      <c r="L29" s="454">
        <f>+'[3]Misc Cargo'!$GT$64</f>
        <v>0</v>
      </c>
      <c r="M29" s="450">
        <f>+'[3]Misc Cargo'!$GF$64</f>
        <v>0</v>
      </c>
      <c r="N29" s="451" t="e">
        <f>(L29-M29)/M29</f>
        <v>#DIV/0!</v>
      </c>
      <c r="O29" s="454">
        <f>+SUM('[3]Misc Cargo'!$GP$64:$GT$64)</f>
        <v>264695</v>
      </c>
      <c r="P29" s="450">
        <f>+SUM('[3]Misc Cargo'!$GB$64:$GF$64)</f>
        <v>0</v>
      </c>
      <c r="Q29" s="452" t="e">
        <f>(O29-P29)/P29</f>
        <v>#DIV/0!</v>
      </c>
      <c r="R29" s="451">
        <f>O29/$O$33</f>
        <v>1.6970584567988587E-3</v>
      </c>
      <c r="S29" s="322"/>
    </row>
    <row r="30" spans="1:19" ht="14.1" customHeight="1" x14ac:dyDescent="0.2">
      <c r="A30" s="31"/>
      <c r="B30" s="33"/>
      <c r="C30" s="239"/>
      <c r="E30" s="58"/>
      <c r="F30" s="242"/>
      <c r="I30" s="58"/>
      <c r="J30" s="31"/>
      <c r="K30" s="33"/>
      <c r="L30" s="242"/>
      <c r="N30" s="58"/>
      <c r="O30" s="242"/>
      <c r="P30" s="2"/>
      <c r="Q30" s="3"/>
      <c r="R30" s="58"/>
    </row>
    <row r="31" spans="1:19" ht="14.1" customHeight="1" thickBot="1" x14ac:dyDescent="0.25">
      <c r="A31" s="323"/>
      <c r="B31" s="324"/>
      <c r="C31" s="325"/>
      <c r="D31" s="327"/>
      <c r="E31" s="328"/>
      <c r="F31" s="325"/>
      <c r="G31" s="327"/>
      <c r="H31" s="326"/>
      <c r="I31" s="328"/>
      <c r="J31" s="238"/>
      <c r="K31" s="33"/>
      <c r="L31" s="245"/>
      <c r="M31" s="247"/>
      <c r="N31" s="248"/>
      <c r="O31" s="245"/>
      <c r="P31" s="247"/>
      <c r="Q31" s="246"/>
      <c r="R31" s="324"/>
      <c r="S31" s="322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29" t="s">
        <v>186</v>
      </c>
      <c r="C33" s="330">
        <f>+C29+C25+C18+C9+C5</f>
        <v>1160</v>
      </c>
      <c r="D33" s="330">
        <f>+D29+D25+D18+D9+D5</f>
        <v>1278</v>
      </c>
      <c r="E33" s="331">
        <f>(C33-D33)/D33</f>
        <v>-9.2331768388106417E-2</v>
      </c>
      <c r="F33" s="330">
        <f>+F29+F25+F18+F9+F5</f>
        <v>5774</v>
      </c>
      <c r="G33" s="330">
        <f>+G29+G25+G18+G9+G5</f>
        <v>5848</v>
      </c>
      <c r="H33" s="332">
        <f>(F33-G33)/G33</f>
        <v>-1.2653898768809849E-2</v>
      </c>
      <c r="I33" s="344"/>
      <c r="J33"/>
      <c r="K33" s="329" t="s">
        <v>186</v>
      </c>
      <c r="L33" s="330">
        <f>+L29+L25+L18+L9+L5</f>
        <v>31325623</v>
      </c>
      <c r="M33" s="330">
        <f>+M29+M25+M18+M9+M5</f>
        <v>28144513</v>
      </c>
      <c r="N33" s="333">
        <f>(L33-M33)/M33</f>
        <v>0.1130277152068682</v>
      </c>
      <c r="O33" s="330">
        <f>+O29+O25+O18+O9+O5</f>
        <v>155972824</v>
      </c>
      <c r="P33" s="330">
        <f>+P29+P25+P18+P9+P5</f>
        <v>145791748</v>
      </c>
      <c r="Q33" s="332">
        <f t="shared" ref="Q33" si="12">(O33-P33)/P33</f>
        <v>6.9833005911966978E-2</v>
      </c>
      <c r="R33" s="344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2"/>
      <c r="K103"/>
    </row>
    <row r="104" spans="4:14" x14ac:dyDescent="0.2">
      <c r="F104" s="142"/>
      <c r="K104"/>
    </row>
    <row r="105" spans="4:14" x14ac:dyDescent="0.2">
      <c r="F105" s="142"/>
      <c r="K105"/>
    </row>
    <row r="106" spans="4:14" x14ac:dyDescent="0.2">
      <c r="F106" s="142"/>
      <c r="K106"/>
    </row>
    <row r="107" spans="4:14" x14ac:dyDescent="0.2">
      <c r="F107" s="142"/>
      <c r="K107"/>
    </row>
    <row r="108" spans="4:14" x14ac:dyDescent="0.2">
      <c r="F108" s="142"/>
      <c r="K108"/>
    </row>
    <row r="109" spans="4:14" x14ac:dyDescent="0.2">
      <c r="F109" s="142"/>
      <c r="K109"/>
    </row>
    <row r="110" spans="4:14" x14ac:dyDescent="0.2">
      <c r="F110" s="142"/>
      <c r="K110"/>
    </row>
    <row r="111" spans="4:14" x14ac:dyDescent="0.2">
      <c r="F111" s="142"/>
      <c r="K111"/>
    </row>
    <row r="112" spans="4:14" x14ac:dyDescent="0.2">
      <c r="F112" s="142"/>
      <c r="K112"/>
    </row>
    <row r="113" spans="6:11" x14ac:dyDescent="0.2">
      <c r="F113" s="142"/>
      <c r="K113"/>
    </row>
    <row r="114" spans="6:11" x14ac:dyDescent="0.2">
      <c r="F114" s="142"/>
      <c r="K114"/>
    </row>
    <row r="115" spans="6:11" x14ac:dyDescent="0.2">
      <c r="F115" s="142"/>
      <c r="K115"/>
    </row>
    <row r="116" spans="6:11" x14ac:dyDescent="0.2">
      <c r="F116" s="142"/>
      <c r="K116"/>
    </row>
    <row r="117" spans="6:11" x14ac:dyDescent="0.2">
      <c r="F117" s="142"/>
      <c r="K117"/>
    </row>
    <row r="118" spans="6:11" x14ac:dyDescent="0.2">
      <c r="F118" s="142"/>
      <c r="K118"/>
    </row>
    <row r="119" spans="6:11" x14ac:dyDescent="0.2">
      <c r="F119" s="142"/>
      <c r="K119"/>
    </row>
    <row r="120" spans="6:11" x14ac:dyDescent="0.2">
      <c r="F120" s="142"/>
      <c r="K120"/>
    </row>
    <row r="121" spans="6:11" x14ac:dyDescent="0.2">
      <c r="F121" s="142"/>
      <c r="K121"/>
    </row>
    <row r="122" spans="6:11" x14ac:dyDescent="0.2">
      <c r="F122" s="142"/>
      <c r="K122"/>
    </row>
    <row r="123" spans="6:11" x14ac:dyDescent="0.2">
      <c r="F123" s="142"/>
      <c r="K123"/>
    </row>
    <row r="124" spans="6:11" x14ac:dyDescent="0.2">
      <c r="F124" s="142"/>
      <c r="K124"/>
    </row>
    <row r="125" spans="6:11" x14ac:dyDescent="0.2">
      <c r="F125" s="142"/>
      <c r="K125"/>
    </row>
    <row r="126" spans="6:11" x14ac:dyDescent="0.2">
      <c r="F126" s="142"/>
      <c r="K126"/>
    </row>
    <row r="127" spans="6:11" x14ac:dyDescent="0.2">
      <c r="F127" s="142"/>
      <c r="K127"/>
    </row>
    <row r="128" spans="6:11" x14ac:dyDescent="0.2">
      <c r="F128" s="142"/>
      <c r="K128"/>
    </row>
    <row r="129" spans="6:11" x14ac:dyDescent="0.2">
      <c r="F129" s="142"/>
      <c r="K129"/>
    </row>
    <row r="130" spans="6:11" x14ac:dyDescent="0.2">
      <c r="F130" s="142"/>
      <c r="K130"/>
    </row>
    <row r="131" spans="6:11" x14ac:dyDescent="0.2">
      <c r="F131" s="142"/>
      <c r="K131"/>
    </row>
    <row r="132" spans="6:11" x14ac:dyDescent="0.2">
      <c r="F132" s="142"/>
      <c r="K132"/>
    </row>
    <row r="133" spans="6:11" x14ac:dyDescent="0.2">
      <c r="F133" s="142"/>
      <c r="K133"/>
    </row>
    <row r="134" spans="6:11" x14ac:dyDescent="0.2">
      <c r="F134" s="142"/>
      <c r="K134"/>
    </row>
    <row r="135" spans="6:11" x14ac:dyDescent="0.2">
      <c r="F135" s="142"/>
      <c r="K135"/>
    </row>
    <row r="136" spans="6:11" x14ac:dyDescent="0.2">
      <c r="F136" s="142"/>
      <c r="K136"/>
    </row>
    <row r="137" spans="6:11" x14ac:dyDescent="0.2">
      <c r="F137" s="142"/>
      <c r="K137"/>
    </row>
    <row r="138" spans="6:11" x14ac:dyDescent="0.2">
      <c r="F138" s="142"/>
      <c r="K138"/>
    </row>
    <row r="139" spans="6:11" x14ac:dyDescent="0.2">
      <c r="F139" s="142"/>
      <c r="K139"/>
    </row>
    <row r="140" spans="6:11" x14ac:dyDescent="0.2">
      <c r="F140" s="142"/>
      <c r="K140"/>
    </row>
    <row r="141" spans="6:11" x14ac:dyDescent="0.2">
      <c r="F141" s="142"/>
      <c r="K141"/>
    </row>
    <row r="142" spans="6:11" x14ac:dyDescent="0.2">
      <c r="F142" s="142"/>
      <c r="K142"/>
    </row>
    <row r="143" spans="6:11" x14ac:dyDescent="0.2">
      <c r="F143" s="142"/>
      <c r="K143"/>
    </row>
    <row r="144" spans="6:11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May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2020-04-09T16:45:55Z</cp:lastPrinted>
  <dcterms:created xsi:type="dcterms:W3CDTF">2007-09-24T12:26:24Z</dcterms:created>
  <dcterms:modified xsi:type="dcterms:W3CDTF">2021-02-24T18:11:31Z</dcterms:modified>
</cp:coreProperties>
</file>